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OS\4. Presupuesto y planos\"/>
    </mc:Choice>
  </mc:AlternateContent>
  <xr:revisionPtr revIDLastSave="0" documentId="13_ncr:1_{3EEA787B-D1EA-41AA-8B6B-EC11C7C7262E}" xr6:coauthVersionLast="47" xr6:coauthVersionMax="47" xr10:uidLastSave="{00000000-0000-0000-0000-000000000000}"/>
  <bookViews>
    <workbookView xWindow="-120" yWindow="-120" windowWidth="20730" windowHeight="11160" tabRatio="929" xr2:uid="{00000000-000D-0000-FFFF-FFFF00000000}"/>
  </bookViews>
  <sheets>
    <sheet name="P. Adecuación" sheetId="117" r:id="rId1"/>
    <sheet name="P. Interventoria" sheetId="129" r:id="rId2"/>
    <sheet name="CRONOGRAMA" sheetId="130" r:id="rId3"/>
    <sheet name="1.1" sheetId="59" r:id="rId4"/>
    <sheet name="1.2" sheetId="60" r:id="rId5"/>
    <sheet name="1.3" sheetId="132" r:id="rId6"/>
    <sheet name="1.4" sheetId="133" r:id="rId7"/>
    <sheet name="1.5" sheetId="134" r:id="rId8"/>
    <sheet name="2.1" sheetId="63" r:id="rId9"/>
    <sheet name="3.1" sheetId="64" r:id="rId10"/>
    <sheet name="3.2" sheetId="65" r:id="rId11"/>
    <sheet name="3.3" sheetId="66" r:id="rId12"/>
    <sheet name="7.5" sheetId="115" r:id="rId13"/>
    <sheet name="4.1" sheetId="67" r:id="rId14"/>
    <sheet name="4.2" sheetId="68" r:id="rId15"/>
    <sheet name="4.3" sheetId="69" r:id="rId16"/>
    <sheet name="4.4" sheetId="70" r:id="rId17"/>
    <sheet name="4.5" sheetId="71" r:id="rId18"/>
    <sheet name="5.1" sheetId="72" r:id="rId19"/>
    <sheet name="5.2" sheetId="74" r:id="rId20"/>
    <sheet name="5.3" sheetId="73" r:id="rId21"/>
    <sheet name="5.4" sheetId="75" r:id="rId22"/>
    <sheet name="5.5" sheetId="76" r:id="rId23"/>
    <sheet name="6.1" sheetId="78" r:id="rId24"/>
    <sheet name="6.2" sheetId="79" r:id="rId25"/>
    <sheet name="6.3" sheetId="80" r:id="rId26"/>
    <sheet name="6.4" sheetId="81" r:id="rId27"/>
    <sheet name="6.5" sheetId="82" r:id="rId28"/>
    <sheet name="6.6" sheetId="83" r:id="rId29"/>
    <sheet name="6.7" sheetId="84" r:id="rId30"/>
    <sheet name="7.1" sheetId="85" r:id="rId31"/>
    <sheet name="7.2" sheetId="86" r:id="rId32"/>
    <sheet name="7.3" sheetId="87" r:id="rId33"/>
    <sheet name="7.4" sheetId="88" r:id="rId34"/>
    <sheet name="8.1" sheetId="89" r:id="rId35"/>
    <sheet name="8.2" sheetId="90" r:id="rId36"/>
    <sheet name="8.3" sheetId="91" r:id="rId37"/>
    <sheet name="8.4" sheetId="94" r:id="rId38"/>
    <sheet name="8.5" sheetId="93" r:id="rId39"/>
    <sheet name="8.6" sheetId="137" r:id="rId40"/>
    <sheet name="9.1" sheetId="101" r:id="rId41"/>
    <sheet name="9.2" sheetId="102" r:id="rId42"/>
    <sheet name="9.3" sheetId="103" r:id="rId43"/>
    <sheet name="9.4" sheetId="104" r:id="rId44"/>
    <sheet name="9.5" sheetId="105" r:id="rId45"/>
    <sheet name="9.6" sheetId="106" r:id="rId46"/>
    <sheet name="9.7" sheetId="107" r:id="rId47"/>
    <sheet name="9.8" sheetId="110" r:id="rId48"/>
    <sheet name="9.9" sheetId="114" r:id="rId49"/>
    <sheet name="10.1" sheetId="97" r:id="rId50"/>
    <sheet name="10.2" sheetId="135" r:id="rId51"/>
    <sheet name="11.1" sheetId="98" r:id="rId52"/>
    <sheet name="1. PRELIMINARES" sheetId="118" r:id="rId53"/>
    <sheet name="2. URBANISMO" sheetId="119" r:id="rId54"/>
    <sheet name="3. CUBIERTA" sheetId="120" r:id="rId55"/>
    <sheet name="4. MAMPOSTERIA" sheetId="121" r:id="rId56"/>
    <sheet name="5. PISOS" sheetId="122" r:id="rId57"/>
    <sheet name="6. BAÑOS" sheetId="123" r:id="rId58"/>
    <sheet name="7. CARPINTERIA" sheetId="124" r:id="rId59"/>
    <sheet name="8. ELECTRICO" sheetId="125" r:id="rId60"/>
    <sheet name="9. HIDROSANITARIAS" sheetId="126" r:id="rId61"/>
    <sheet name="10. EQUIPOS" sheetId="127" r:id="rId62"/>
    <sheet name="11. ASEO" sheetId="128" r:id="rId63"/>
  </sheets>
  <definedNames>
    <definedName name="_xlnm.Print_Area" localSheetId="52">'1. PRELIMINARES'!$B$1:$I$197</definedName>
    <definedName name="_xlnm.Print_Area" localSheetId="3">'1.1'!$A$1:$AN$54</definedName>
    <definedName name="_xlnm.Print_Area" localSheetId="4">'1.2'!$A$1:$AN$48</definedName>
    <definedName name="_xlnm.Print_Area" localSheetId="5">'1.3'!$A$1:$AN$45</definedName>
    <definedName name="_xlnm.Print_Area" localSheetId="6">'1.4'!$A$1:$AN$49</definedName>
    <definedName name="_xlnm.Print_Area" localSheetId="7">'1.5'!$A$1:$AN$43</definedName>
    <definedName name="_xlnm.Print_Area" localSheetId="61">'10. EQUIPOS'!$B$1:$I$89</definedName>
    <definedName name="_xlnm.Print_Area" localSheetId="49">'10.1'!$A$1:$AN$54</definedName>
    <definedName name="_xlnm.Print_Area" localSheetId="50">'10.2'!$A$1:$AN$54</definedName>
    <definedName name="_xlnm.Print_Area" localSheetId="62">'11. ASEO'!$B$1:$I$134</definedName>
    <definedName name="_xlnm.Print_Area" localSheetId="51">'11.1'!$A$1:$AN$57</definedName>
    <definedName name="_xlnm.Print_Area" localSheetId="53">'2. URBANISMO'!$B$1:$I$45</definedName>
    <definedName name="_xlnm.Print_Area" localSheetId="8">'2.1'!$A$1:$AN$54</definedName>
    <definedName name="_xlnm.Print_Area" localSheetId="54">'3. CUBIERTA'!$B$1:$I$135</definedName>
    <definedName name="_xlnm.Print_Area" localSheetId="9">'3.1'!$A$1:$AN$54</definedName>
    <definedName name="_xlnm.Print_Area" localSheetId="10">'3.2'!$A$1:$AN$55</definedName>
    <definedName name="_xlnm.Print_Area" localSheetId="11">'3.3'!$A$1:$AN$54</definedName>
    <definedName name="_xlnm.Print_Area" localSheetId="55">'4. MAMPOSTERIA'!$B$1:$I$453</definedName>
    <definedName name="_xlnm.Print_Area" localSheetId="13">'4.1'!$A$1:$AN$62</definedName>
    <definedName name="_xlnm.Print_Area" localSheetId="14">'4.2'!$A$1:$AN$54</definedName>
    <definedName name="_xlnm.Print_Area" localSheetId="15">'4.3'!$A$1:$AN$54</definedName>
    <definedName name="_xlnm.Print_Area" localSheetId="16">'4.4'!$A$1:$AN$54</definedName>
    <definedName name="_xlnm.Print_Area" localSheetId="17">'4.5'!$A$1:$AN$54</definedName>
    <definedName name="_xlnm.Print_Area" localSheetId="56">'5. PISOS'!$B$1:$I$225</definedName>
    <definedName name="_xlnm.Print_Area" localSheetId="18">'5.1'!$A$1:$AN$54</definedName>
    <definedName name="_xlnm.Print_Area" localSheetId="19">'5.2'!$A$1:$AN$54</definedName>
    <definedName name="_xlnm.Print_Area" localSheetId="20">'5.3'!$A$1:$AN$54</definedName>
    <definedName name="_xlnm.Print_Area" localSheetId="21">'5.4'!$A$1:$AN$54</definedName>
    <definedName name="_xlnm.Print_Area" localSheetId="22">'5.5'!$A$1:$AN$54</definedName>
    <definedName name="_xlnm.Print_Area" localSheetId="57">'6. BAÑOS'!$B$1:$I$314</definedName>
    <definedName name="_xlnm.Print_Area" localSheetId="23">'6.1'!$A$1:$AN$54</definedName>
    <definedName name="_xlnm.Print_Area" localSheetId="24">'6.2'!$A$1:$AN$54</definedName>
    <definedName name="_xlnm.Print_Area" localSheetId="25">'6.3'!$A$1:$AN$54</definedName>
    <definedName name="_xlnm.Print_Area" localSheetId="26">'6.4'!$A$1:$AN$54</definedName>
    <definedName name="_xlnm.Print_Area" localSheetId="27">'6.5'!$A$1:$AN$54</definedName>
    <definedName name="_xlnm.Print_Area" localSheetId="28">'6.6'!$A$1:$AN$54</definedName>
    <definedName name="_xlnm.Print_Area" localSheetId="29">'6.7'!$A$1:$AN$54</definedName>
    <definedName name="_xlnm.Print_Area" localSheetId="58">'7. CARPINTERIA'!$B$1:$I$180</definedName>
    <definedName name="_xlnm.Print_Area" localSheetId="30">'7.1'!$A$1:$AN$54</definedName>
    <definedName name="_xlnm.Print_Area" localSheetId="31">'7.2'!$A$1:$AN$54</definedName>
    <definedName name="_xlnm.Print_Area" localSheetId="32">'7.3'!$A$1:$AN$54</definedName>
    <definedName name="_xlnm.Print_Area" localSheetId="33">'7.4'!$A$1:$AN$54</definedName>
    <definedName name="_xlnm.Print_Area" localSheetId="12">'7.5'!$A$1:$AN$54</definedName>
    <definedName name="_xlnm.Print_Area" localSheetId="59">'8. ELECTRICO'!$B$1:$I$270</definedName>
    <definedName name="_xlnm.Print_Area" localSheetId="34">'8.1'!$A$1:$AN$54</definedName>
    <definedName name="_xlnm.Print_Area" localSheetId="35">'8.2'!$A$1:$AN$54</definedName>
    <definedName name="_xlnm.Print_Area" localSheetId="36">'8.3'!$A$1:$AN$54</definedName>
    <definedName name="_xlnm.Print_Area" localSheetId="37">'8.4'!$A$1:$AN$54</definedName>
    <definedName name="_xlnm.Print_Area" localSheetId="38">'8.5'!$A$1:$AN$54</definedName>
    <definedName name="_xlnm.Print_Area" localSheetId="39">'8.6'!$A$1:$AN$54</definedName>
    <definedName name="_xlnm.Print_Area" localSheetId="60">'9. HIDROSANITARIAS'!$B$1:$I$406</definedName>
    <definedName name="_xlnm.Print_Area" localSheetId="40">'9.1'!$A$1:$AN$54</definedName>
    <definedName name="_xlnm.Print_Area" localSheetId="41">'9.2'!$A$1:$AN$54</definedName>
    <definedName name="_xlnm.Print_Area" localSheetId="42">'9.3'!$A$1:$AN$54</definedName>
    <definedName name="_xlnm.Print_Area" localSheetId="43">'9.4'!$A$1:$AN$54</definedName>
    <definedName name="_xlnm.Print_Area" localSheetId="44">'9.5'!$A$1:$AN$54</definedName>
    <definedName name="_xlnm.Print_Area" localSheetId="45">'9.6'!$A$1:$AN$54</definedName>
    <definedName name="_xlnm.Print_Area" localSheetId="46">'9.7'!$A$1:$AN$54</definedName>
    <definedName name="_xlnm.Print_Area" localSheetId="47">'9.8'!$A$1:$AN$54</definedName>
    <definedName name="_xlnm.Print_Area" localSheetId="48">'9.9'!$A$1:$AN$54</definedName>
    <definedName name="_xlnm.Print_Area" localSheetId="0">'P. Adecuación'!$B$2:$G$89</definedName>
    <definedName name="_xlnm.Print_Area" localSheetId="1">'P. Interventoria'!$A$1:$H$29</definedName>
    <definedName name="_xlnm.Print_Titles" localSheetId="2">CRONOGRAMA!$1:$7</definedName>
    <definedName name="_xlnm.Print_Titles" localSheetId="0">'P. Adecuación'!$2:$5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3" i="63" l="1"/>
  <c r="AO16" i="63" s="1"/>
  <c r="AN18" i="83"/>
  <c r="AN17" i="83"/>
  <c r="AN16" i="83"/>
  <c r="AN15" i="83"/>
  <c r="AN14" i="83"/>
  <c r="AN13" i="83"/>
  <c r="AN17" i="82"/>
  <c r="AN16" i="82"/>
  <c r="AN15" i="82"/>
  <c r="AN14" i="82"/>
  <c r="AN13" i="82"/>
  <c r="AN12" i="82"/>
  <c r="AN17" i="81"/>
  <c r="AN16" i="81"/>
  <c r="AN15" i="81"/>
  <c r="AN14" i="81"/>
  <c r="AN13" i="81"/>
  <c r="AN12" i="81"/>
  <c r="AN17" i="80"/>
  <c r="AN16" i="80"/>
  <c r="AN15" i="80"/>
  <c r="AN14" i="80"/>
  <c r="AN13" i="80"/>
  <c r="AN12" i="80"/>
  <c r="AN19" i="106"/>
  <c r="AN18" i="106"/>
  <c r="AN17" i="106"/>
  <c r="AN16" i="106"/>
  <c r="AN15" i="106"/>
  <c r="AN14" i="106"/>
  <c r="AN19" i="105"/>
  <c r="AN18" i="105"/>
  <c r="AN17" i="105"/>
  <c r="AN16" i="105"/>
  <c r="AN15" i="105"/>
  <c r="AN14" i="105"/>
  <c r="AN19" i="103"/>
  <c r="AN18" i="103"/>
  <c r="AN17" i="103"/>
  <c r="AN16" i="103"/>
  <c r="AN15" i="103"/>
  <c r="AN14" i="103"/>
  <c r="AN18" i="102"/>
  <c r="AN14" i="102"/>
  <c r="AN15" i="102"/>
  <c r="AN16" i="102"/>
  <c r="AN17" i="102"/>
  <c r="H18" i="117"/>
  <c r="AN26" i="98"/>
  <c r="AP29" i="98" s="1"/>
  <c r="AN14" i="98"/>
  <c r="AN15" i="98"/>
  <c r="AN16" i="98"/>
  <c r="AN17" i="98"/>
  <c r="AN18" i="98"/>
  <c r="AN19" i="98"/>
  <c r="AN20" i="98"/>
  <c r="AN21" i="98"/>
  <c r="AN22" i="98"/>
  <c r="AN23" i="98"/>
  <c r="AN24" i="98"/>
  <c r="AN25" i="98"/>
  <c r="AN13" i="98"/>
  <c r="AJ25" i="98"/>
  <c r="AJ21" i="98"/>
  <c r="AL18" i="98"/>
  <c r="AN29" i="76"/>
  <c r="AM28" i="76"/>
  <c r="AM27" i="76"/>
  <c r="AM26" i="76"/>
  <c r="AN26" i="76" s="1"/>
  <c r="AN25" i="76"/>
  <c r="AM23" i="76"/>
  <c r="AN22" i="76"/>
  <c r="AM22" i="76"/>
  <c r="AM20" i="76"/>
  <c r="AM19" i="76"/>
  <c r="AN19" i="76" s="1"/>
  <c r="AM17" i="76"/>
  <c r="AN16" i="76" s="1"/>
  <c r="AM16" i="76"/>
  <c r="AM14" i="76"/>
  <c r="AM13" i="76"/>
  <c r="AN13" i="76" s="1"/>
  <c r="AJ25" i="75"/>
  <c r="AN25" i="75" s="1"/>
  <c r="AN24" i="75"/>
  <c r="AN23" i="75"/>
  <c r="AN22" i="75"/>
  <c r="AN21" i="75"/>
  <c r="AJ21" i="75"/>
  <c r="AN20" i="75"/>
  <c r="AN19" i="75"/>
  <c r="AN18" i="75"/>
  <c r="AL18" i="75"/>
  <c r="AN17" i="75"/>
  <c r="AN16" i="75"/>
  <c r="AN15" i="75"/>
  <c r="AN14" i="75"/>
  <c r="AN13" i="75"/>
  <c r="AJ25" i="72"/>
  <c r="AN25" i="72" s="1"/>
  <c r="AN24" i="72"/>
  <c r="AN23" i="72"/>
  <c r="AN22" i="72"/>
  <c r="AJ21" i="72"/>
  <c r="AN21" i="72" s="1"/>
  <c r="AN20" i="72"/>
  <c r="AN19" i="72"/>
  <c r="AN18" i="72"/>
  <c r="AL18" i="72"/>
  <c r="AN17" i="72"/>
  <c r="AN16" i="72"/>
  <c r="AN15" i="72"/>
  <c r="AN14" i="72"/>
  <c r="AN13" i="72"/>
  <c r="AO19" i="70"/>
  <c r="AM35" i="70"/>
  <c r="AN35" i="70" s="1"/>
  <c r="AM34" i="70"/>
  <c r="AN34" i="70" s="1"/>
  <c r="AM33" i="70"/>
  <c r="AN33" i="70" s="1"/>
  <c r="AM32" i="70"/>
  <c r="AN32" i="70" s="1"/>
  <c r="AM31" i="70"/>
  <c r="AN31" i="70" s="1"/>
  <c r="AM30" i="70"/>
  <c r="AN30" i="70" s="1"/>
  <c r="AM29" i="70"/>
  <c r="AN29" i="70" s="1"/>
  <c r="AM28" i="70"/>
  <c r="AN28" i="70" s="1"/>
  <c r="AM27" i="70"/>
  <c r="AN27" i="70" s="1"/>
  <c r="AM26" i="70"/>
  <c r="AN26" i="70" s="1"/>
  <c r="AM25" i="70"/>
  <c r="AN25" i="70" s="1"/>
  <c r="AM24" i="70"/>
  <c r="AN24" i="70" s="1"/>
  <c r="AM23" i="70"/>
  <c r="AN23" i="70" s="1"/>
  <c r="AM22" i="70"/>
  <c r="AN22" i="70" s="1"/>
  <c r="AM21" i="70"/>
  <c r="AN21" i="70" s="1"/>
  <c r="AM20" i="70"/>
  <c r="AN20" i="70" s="1"/>
  <c r="AM19" i="70"/>
  <c r="AN19" i="70" s="1"/>
  <c r="AM18" i="70"/>
  <c r="AN18" i="70" s="1"/>
  <c r="AM17" i="70"/>
  <c r="AN17" i="70" s="1"/>
  <c r="AM16" i="70"/>
  <c r="AN16" i="70" s="1"/>
  <c r="AM15" i="70"/>
  <c r="AN15" i="70" s="1"/>
  <c r="AM14" i="70"/>
  <c r="AN14" i="70" s="1"/>
  <c r="AM13" i="70"/>
  <c r="AN13" i="70" s="1"/>
  <c r="AO15" i="67"/>
  <c r="AN14" i="67"/>
  <c r="AN15" i="67"/>
  <c r="AN16" i="67"/>
  <c r="AN18" i="67"/>
  <c r="AN19" i="67"/>
  <c r="AN20" i="67"/>
  <c r="AN21" i="67"/>
  <c r="AN13" i="67"/>
  <c r="AN24" i="67"/>
  <c r="AN25" i="67"/>
  <c r="AN26" i="67"/>
  <c r="AN27" i="67"/>
  <c r="AN28" i="67"/>
  <c r="AN29" i="67"/>
  <c r="AN30" i="67"/>
  <c r="AN31" i="67"/>
  <c r="AN32" i="67"/>
  <c r="AN33" i="67"/>
  <c r="AN34" i="67"/>
  <c r="AN35" i="67"/>
  <c r="AN36" i="67"/>
  <c r="AN37" i="67"/>
  <c r="AN38" i="67"/>
  <c r="AN39" i="67"/>
  <c r="AN40" i="67"/>
  <c r="AN41" i="67"/>
  <c r="AN42" i="67"/>
  <c r="AN43" i="67"/>
  <c r="AN44" i="67"/>
  <c r="AN45" i="67"/>
  <c r="AN23" i="67"/>
  <c r="AM24" i="67"/>
  <c r="AM25" i="67"/>
  <c r="AM26" i="67"/>
  <c r="AM27" i="67"/>
  <c r="AM28" i="67"/>
  <c r="AM29" i="67"/>
  <c r="AM30" i="67"/>
  <c r="AM31" i="67"/>
  <c r="AM32" i="67"/>
  <c r="AM33" i="67"/>
  <c r="AM34" i="67"/>
  <c r="AM35" i="67"/>
  <c r="AM36" i="67"/>
  <c r="AM37" i="67"/>
  <c r="AM38" i="67"/>
  <c r="AM39" i="67"/>
  <c r="AM40" i="67"/>
  <c r="AM41" i="67"/>
  <c r="AM42" i="67"/>
  <c r="AM43" i="67"/>
  <c r="AM44" i="67"/>
  <c r="AM45" i="67"/>
  <c r="AM23" i="67"/>
  <c r="AM21" i="67"/>
  <c r="AM20" i="67"/>
  <c r="AM19" i="67"/>
  <c r="AM18" i="67"/>
  <c r="AM16" i="67"/>
  <c r="AM15" i="67"/>
  <c r="AM14" i="67"/>
  <c r="AM13" i="67"/>
  <c r="AN35" i="73"/>
  <c r="AN34" i="73"/>
  <c r="AN33" i="73"/>
  <c r="AN32" i="73"/>
  <c r="AN31" i="73"/>
  <c r="AN30" i="73"/>
  <c r="AN29" i="73"/>
  <c r="AN28" i="73"/>
  <c r="AN27" i="73"/>
  <c r="AN26" i="73"/>
  <c r="AN25" i="73"/>
  <c r="AN24" i="73"/>
  <c r="AN23" i="73"/>
  <c r="AN22" i="73"/>
  <c r="AN21" i="73"/>
  <c r="AN20" i="73"/>
  <c r="AN19" i="73"/>
  <c r="AN18" i="73"/>
  <c r="AN17" i="73"/>
  <c r="AN16" i="73"/>
  <c r="AN15" i="73"/>
  <c r="AN14" i="73"/>
  <c r="AN13" i="73"/>
  <c r="AO17" i="70" l="1"/>
  <c r="AP29" i="67"/>
  <c r="AO17" i="67"/>
  <c r="AN14" i="66" l="1"/>
  <c r="AN15" i="66"/>
  <c r="AN16" i="66"/>
  <c r="AN17" i="66"/>
  <c r="AN18" i="66"/>
  <c r="AN19" i="66"/>
  <c r="AN20" i="66"/>
  <c r="AN21" i="66"/>
  <c r="AN22" i="66"/>
  <c r="AN23" i="66"/>
  <c r="AN24" i="66"/>
  <c r="AN25" i="66"/>
  <c r="AN26" i="66"/>
  <c r="AN27" i="66"/>
  <c r="AN28" i="66"/>
  <c r="AN29" i="66"/>
  <c r="AN30" i="66"/>
  <c r="AN31" i="66"/>
  <c r="AN32" i="66"/>
  <c r="AN33" i="66"/>
  <c r="AN34" i="66"/>
  <c r="AN35" i="66"/>
  <c r="AN13" i="66"/>
  <c r="AO15" i="66"/>
  <c r="AN14" i="65"/>
  <c r="AM19" i="65"/>
  <c r="AM20" i="65"/>
  <c r="AM21" i="65"/>
  <c r="AM22" i="65"/>
  <c r="AM15" i="65"/>
  <c r="AM16" i="65"/>
  <c r="AM17" i="65"/>
  <c r="AM14" i="65"/>
  <c r="AN39" i="64"/>
  <c r="AN29" i="64"/>
  <c r="AM28" i="64"/>
  <c r="AN26" i="64" s="1"/>
  <c r="AM27" i="64"/>
  <c r="AM26" i="64"/>
  <c r="AN25" i="64"/>
  <c r="AM23" i="64"/>
  <c r="AM22" i="64"/>
  <c r="AN22" i="64" s="1"/>
  <c r="AM20" i="64"/>
  <c r="AM19" i="64"/>
  <c r="AN19" i="64" s="1"/>
  <c r="AM17" i="64"/>
  <c r="AN16" i="64"/>
  <c r="AM16" i="64"/>
  <c r="AM14" i="64"/>
  <c r="AM13" i="64"/>
  <c r="AN13" i="64" s="1"/>
  <c r="AN32" i="133"/>
  <c r="AM30" i="133"/>
  <c r="AM31" i="133"/>
  <c r="AM29" i="133"/>
  <c r="AN28" i="133"/>
  <c r="AM26" i="133"/>
  <c r="AN25" i="133" s="1"/>
  <c r="AM25" i="133"/>
  <c r="AM23" i="133"/>
  <c r="AN22" i="133" s="1"/>
  <c r="AM22" i="133"/>
  <c r="AM19" i="133"/>
  <c r="AM20" i="133"/>
  <c r="AN19" i="133" s="1"/>
  <c r="AM17" i="133"/>
  <c r="AN16" i="133" s="1"/>
  <c r="AM16" i="133"/>
  <c r="AO20" i="65" l="1"/>
  <c r="AN29" i="133"/>
  <c r="AN43" i="59"/>
  <c r="AJ25" i="59"/>
  <c r="AN26" i="59"/>
  <c r="AJ21" i="59"/>
  <c r="AN21" i="59"/>
  <c r="AN22" i="59"/>
  <c r="AN23" i="59"/>
  <c r="AN24" i="59"/>
  <c r="AN14" i="59"/>
  <c r="AN15" i="59"/>
  <c r="AN16" i="59"/>
  <c r="AN17" i="59"/>
  <c r="AN18" i="59"/>
  <c r="AN19" i="59"/>
  <c r="AN20" i="59"/>
  <c r="AN13" i="59"/>
  <c r="AL18" i="59"/>
  <c r="AN25" i="59" l="1"/>
  <c r="AO18" i="59" s="1"/>
  <c r="D48" i="130"/>
  <c r="C48" i="130"/>
  <c r="B48" i="130"/>
  <c r="E65" i="130"/>
  <c r="D65" i="130"/>
  <c r="C65" i="130"/>
  <c r="B65" i="130"/>
  <c r="H6" i="117"/>
  <c r="H12" i="117"/>
  <c r="H14" i="117"/>
  <c r="H19" i="117"/>
  <c r="H25" i="117"/>
  <c r="H31" i="117"/>
  <c r="H39" i="117"/>
  <c r="H45" i="117"/>
  <c r="H52" i="117"/>
  <c r="H62" i="117"/>
  <c r="H65" i="117"/>
  <c r="D52" i="130"/>
  <c r="C52" i="130"/>
  <c r="B52" i="130"/>
  <c r="AE9" i="98" l="1"/>
  <c r="AE9" i="114"/>
  <c r="AE9" i="110"/>
  <c r="AE9" i="107"/>
  <c r="AE9" i="106"/>
  <c r="AE9" i="105"/>
  <c r="AE9" i="104"/>
  <c r="AE9" i="103"/>
  <c r="AE9" i="102"/>
  <c r="AE9" i="101"/>
  <c r="AE9" i="93"/>
  <c r="AE9" i="94"/>
  <c r="AE9" i="91"/>
  <c r="AE9" i="90"/>
  <c r="AE9" i="89"/>
  <c r="AE9" i="115"/>
  <c r="AE9" i="88"/>
  <c r="AE9" i="87"/>
  <c r="AE9" i="86"/>
  <c r="AE9" i="85"/>
  <c r="AE9" i="84"/>
  <c r="AE9" i="83"/>
  <c r="AE9" i="82"/>
  <c r="AE9" i="81"/>
  <c r="AE9" i="80"/>
  <c r="AE9" i="79"/>
  <c r="AE9" i="78"/>
  <c r="AE9" i="76"/>
  <c r="AE9" i="75"/>
  <c r="AE9" i="73"/>
  <c r="AE9" i="74"/>
  <c r="AE9" i="72"/>
  <c r="AE9" i="71"/>
  <c r="AE9" i="70"/>
  <c r="AE9" i="69"/>
  <c r="AE9" i="68"/>
  <c r="AE9" i="67"/>
  <c r="AE9" i="66"/>
  <c r="AE9" i="65"/>
  <c r="AE9" i="64"/>
  <c r="AE9" i="63"/>
  <c r="AE9" i="134"/>
  <c r="AE9" i="133"/>
  <c r="AE9" i="132"/>
  <c r="AE9" i="60"/>
  <c r="AE9" i="59"/>
  <c r="J83" i="117" l="1"/>
  <c r="N83" i="117" s="1"/>
  <c r="O83" i="117" s="1"/>
  <c r="O4" i="117"/>
  <c r="G105" i="125" l="1"/>
  <c r="AM13" i="91"/>
  <c r="AE9" i="137"/>
  <c r="AN13" i="137"/>
  <c r="AN43" i="137" s="1"/>
  <c r="AN45" i="137" s="1"/>
  <c r="E51" i="117" s="1"/>
  <c r="E52" i="130" s="1"/>
  <c r="E230" i="125"/>
  <c r="F268" i="125"/>
  <c r="I260" i="125"/>
  <c r="I259" i="125"/>
  <c r="F258" i="125"/>
  <c r="I258" i="125" s="1"/>
  <c r="I261" i="125" s="1"/>
  <c r="G254" i="125"/>
  <c r="I255" i="125" s="1"/>
  <c r="G253" i="125"/>
  <c r="I249" i="125"/>
  <c r="I248" i="125"/>
  <c r="I247" i="125"/>
  <c r="I246" i="125"/>
  <c r="I245" i="125"/>
  <c r="I244" i="125"/>
  <c r="I243" i="125"/>
  <c r="I242" i="125"/>
  <c r="I241" i="125"/>
  <c r="G237" i="125"/>
  <c r="E49" i="125"/>
  <c r="E4" i="125"/>
  <c r="I250" i="125" l="1"/>
  <c r="F236" i="125"/>
  <c r="G236" i="125" s="1"/>
  <c r="F235" i="125"/>
  <c r="G235" i="125" s="1"/>
  <c r="I238" i="125" l="1"/>
  <c r="I263" i="125" s="1"/>
  <c r="G267" i="125" l="1"/>
  <c r="F51" i="117"/>
  <c r="G51" i="117" s="1"/>
  <c r="H51" i="117" s="1"/>
  <c r="G266" i="125"/>
  <c r="F52" i="130" l="1"/>
  <c r="G268" i="125"/>
  <c r="I269" i="125" s="1"/>
  <c r="G270" i="125" s="1"/>
  <c r="AN14" i="101" l="1"/>
  <c r="AN13" i="115"/>
  <c r="AN14" i="87"/>
  <c r="AN12" i="87"/>
  <c r="E49" i="127" l="1"/>
  <c r="AE9" i="97"/>
  <c r="AE9" i="135"/>
  <c r="A9" i="135"/>
  <c r="AN13" i="135"/>
  <c r="AN43" i="135" s="1"/>
  <c r="AN45" i="135" s="1"/>
  <c r="AN21" i="71"/>
  <c r="AN20" i="71"/>
  <c r="AN18" i="71"/>
  <c r="AN16" i="71"/>
  <c r="AN15" i="71"/>
  <c r="AN14" i="71"/>
  <c r="AN13" i="71"/>
  <c r="AN16" i="68"/>
  <c r="AN13" i="68"/>
  <c r="D11" i="130" l="1"/>
  <c r="D12" i="130"/>
  <c r="D13" i="130"/>
  <c r="C11" i="130"/>
  <c r="C12" i="130"/>
  <c r="C13" i="130"/>
  <c r="E49" i="120"/>
  <c r="D165" i="118"/>
  <c r="E164" i="118"/>
  <c r="F195" i="118"/>
  <c r="I187" i="118"/>
  <c r="I186" i="118"/>
  <c r="I185" i="118"/>
  <c r="I188" i="118" s="1"/>
  <c r="F169" i="118" s="1"/>
  <c r="G169" i="118" s="1"/>
  <c r="F185" i="118"/>
  <c r="G181" i="118"/>
  <c r="I182" i="118" s="1"/>
  <c r="G180" i="118"/>
  <c r="I176" i="118"/>
  <c r="I175" i="118"/>
  <c r="I177" i="118" s="1"/>
  <c r="G133" i="118"/>
  <c r="E126" i="118"/>
  <c r="D127" i="118"/>
  <c r="F157" i="118"/>
  <c r="I149" i="118"/>
  <c r="I148" i="118"/>
  <c r="F147" i="118"/>
  <c r="I147" i="118" s="1"/>
  <c r="I150" i="118" s="1"/>
  <c r="G143" i="118"/>
  <c r="G142" i="118"/>
  <c r="I138" i="118"/>
  <c r="I137" i="118"/>
  <c r="I139" i="118" s="1"/>
  <c r="E88" i="118"/>
  <c r="E43" i="118"/>
  <c r="AN32" i="134"/>
  <c r="AN34" i="134" s="1"/>
  <c r="E11" i="117" s="1"/>
  <c r="AN38" i="133"/>
  <c r="AN40" i="133" s="1"/>
  <c r="E10" i="117" s="1"/>
  <c r="AN14" i="132"/>
  <c r="AN13" i="132"/>
  <c r="F36" i="118"/>
  <c r="I28" i="118"/>
  <c r="I27" i="118"/>
  <c r="F26" i="118"/>
  <c r="I26" i="118" s="1"/>
  <c r="I29" i="118" s="1"/>
  <c r="G22" i="118"/>
  <c r="G21" i="118"/>
  <c r="I23" i="118" s="1"/>
  <c r="I17" i="118"/>
  <c r="I16" i="118"/>
  <c r="I15" i="118"/>
  <c r="G11" i="118"/>
  <c r="I144" i="118" l="1"/>
  <c r="AN34" i="132"/>
  <c r="AN36" i="132" s="1"/>
  <c r="E9" i="117" s="1"/>
  <c r="E12" i="130"/>
  <c r="E13" i="130"/>
  <c r="F170" i="118"/>
  <c r="G170" i="118" s="1"/>
  <c r="I172" i="118" s="1"/>
  <c r="I190" i="118" s="1"/>
  <c r="F132" i="118"/>
  <c r="G132" i="118" s="1"/>
  <c r="F131" i="118"/>
  <c r="G131" i="118" s="1"/>
  <c r="I18" i="118"/>
  <c r="F10" i="118"/>
  <c r="G10" i="118" s="1"/>
  <c r="F9" i="118"/>
  <c r="G9" i="118" s="1"/>
  <c r="AN13" i="102"/>
  <c r="AN13" i="88"/>
  <c r="AJ18" i="79"/>
  <c r="AN18" i="79" s="1"/>
  <c r="AN17" i="79"/>
  <c r="AN16" i="79"/>
  <c r="AN15" i="79"/>
  <c r="AN14" i="79"/>
  <c r="AN17" i="78"/>
  <c r="AJ17" i="78"/>
  <c r="AN16" i="78"/>
  <c r="AN15" i="78"/>
  <c r="AN14" i="78"/>
  <c r="AN13" i="78"/>
  <c r="AN14" i="74"/>
  <c r="AN13" i="74"/>
  <c r="AM14" i="69"/>
  <c r="I134" i="118" l="1"/>
  <c r="I152" i="118" s="1"/>
  <c r="G156" i="118" s="1"/>
  <c r="E11" i="130"/>
  <c r="G194" i="118"/>
  <c r="G193" i="118"/>
  <c r="G195" i="118" s="1"/>
  <c r="I196" i="118" s="1"/>
  <c r="G197" i="118" s="1"/>
  <c r="F11" i="117" s="1"/>
  <c r="G11" i="117" s="1"/>
  <c r="H11" i="117" s="1"/>
  <c r="G155" i="118"/>
  <c r="I12" i="118"/>
  <c r="I31" i="118" s="1"/>
  <c r="F7" i="117" s="1"/>
  <c r="G150" i="123"/>
  <c r="G289" i="123"/>
  <c r="G288" i="123"/>
  <c r="G285" i="123"/>
  <c r="G154" i="123"/>
  <c r="G153" i="123"/>
  <c r="G105" i="123"/>
  <c r="G15" i="120"/>
  <c r="C29" i="130"/>
  <c r="D67" i="130"/>
  <c r="D64" i="130"/>
  <c r="B64" i="130"/>
  <c r="C64" i="130"/>
  <c r="B66" i="130"/>
  <c r="C66" i="130"/>
  <c r="B67" i="130"/>
  <c r="C67" i="130"/>
  <c r="B63" i="130"/>
  <c r="C63" i="130"/>
  <c r="B59" i="130"/>
  <c r="C59" i="130"/>
  <c r="D59" i="130"/>
  <c r="B60" i="130"/>
  <c r="C60" i="130"/>
  <c r="D60" i="130"/>
  <c r="B61" i="130"/>
  <c r="C61" i="130"/>
  <c r="D61" i="130"/>
  <c r="B62" i="130"/>
  <c r="C62" i="130"/>
  <c r="D62" i="130"/>
  <c r="B46" i="130"/>
  <c r="C46" i="130"/>
  <c r="B47" i="130"/>
  <c r="C47" i="130"/>
  <c r="D47" i="130"/>
  <c r="B49" i="130"/>
  <c r="C49" i="130"/>
  <c r="D49" i="130"/>
  <c r="B50" i="130"/>
  <c r="C50" i="130"/>
  <c r="D50" i="130"/>
  <c r="B51" i="130"/>
  <c r="C51" i="130"/>
  <c r="D51" i="130"/>
  <c r="B53" i="130"/>
  <c r="C53" i="130"/>
  <c r="B54" i="130"/>
  <c r="C54" i="130"/>
  <c r="D54" i="130"/>
  <c r="B55" i="130"/>
  <c r="C55" i="130"/>
  <c r="D55" i="130"/>
  <c r="B56" i="130"/>
  <c r="C56" i="130"/>
  <c r="D56" i="130"/>
  <c r="B57" i="130"/>
  <c r="C57" i="130"/>
  <c r="D57" i="130"/>
  <c r="B58" i="130"/>
  <c r="C58" i="130"/>
  <c r="D58" i="130"/>
  <c r="B32" i="130"/>
  <c r="C32" i="130"/>
  <c r="B33" i="130"/>
  <c r="C33" i="130"/>
  <c r="D33" i="130"/>
  <c r="B34" i="130"/>
  <c r="C34" i="130"/>
  <c r="D34" i="130"/>
  <c r="B35" i="130"/>
  <c r="C35" i="130"/>
  <c r="D35" i="130"/>
  <c r="B36" i="130"/>
  <c r="C36" i="130"/>
  <c r="D36" i="130"/>
  <c r="B37" i="130"/>
  <c r="C37" i="130"/>
  <c r="D37" i="130"/>
  <c r="B38" i="130"/>
  <c r="C38" i="130"/>
  <c r="D38" i="130"/>
  <c r="B39" i="130"/>
  <c r="C39" i="130"/>
  <c r="D39" i="130"/>
  <c r="B40" i="130"/>
  <c r="C40" i="130"/>
  <c r="B41" i="130"/>
  <c r="C41" i="130"/>
  <c r="D41" i="130"/>
  <c r="B42" i="130"/>
  <c r="C42" i="130"/>
  <c r="D42" i="130"/>
  <c r="B43" i="130"/>
  <c r="C43" i="130"/>
  <c r="D43" i="130"/>
  <c r="B44" i="130"/>
  <c r="C44" i="130"/>
  <c r="D44" i="130"/>
  <c r="B45" i="130"/>
  <c r="C45" i="130"/>
  <c r="D45" i="130"/>
  <c r="B16" i="130"/>
  <c r="C16" i="130"/>
  <c r="B17" i="130"/>
  <c r="C17" i="130"/>
  <c r="D17" i="130"/>
  <c r="B18" i="130"/>
  <c r="C18" i="130"/>
  <c r="D18" i="130"/>
  <c r="B19" i="130"/>
  <c r="C19" i="130"/>
  <c r="D19" i="130"/>
  <c r="B20" i="130"/>
  <c r="C20" i="130"/>
  <c r="B21" i="130"/>
  <c r="C21" i="130"/>
  <c r="D21" i="130"/>
  <c r="B22" i="130"/>
  <c r="C22" i="130"/>
  <c r="D22" i="130"/>
  <c r="B23" i="130"/>
  <c r="C23" i="130"/>
  <c r="D23" i="130"/>
  <c r="B24" i="130"/>
  <c r="C24" i="130"/>
  <c r="D24" i="130"/>
  <c r="B25" i="130"/>
  <c r="C25" i="130"/>
  <c r="D25" i="130"/>
  <c r="B26" i="130"/>
  <c r="C26" i="130"/>
  <c r="B27" i="130"/>
  <c r="C27" i="130"/>
  <c r="D27" i="130"/>
  <c r="B28" i="130"/>
  <c r="C28" i="130"/>
  <c r="D28" i="130"/>
  <c r="B29" i="130"/>
  <c r="D29" i="130"/>
  <c r="B30" i="130"/>
  <c r="C30" i="130"/>
  <c r="D30" i="130"/>
  <c r="B31" i="130"/>
  <c r="C31" i="130"/>
  <c r="D31" i="130"/>
  <c r="B15" i="130"/>
  <c r="C15" i="130"/>
  <c r="D15" i="130"/>
  <c r="C14" i="130"/>
  <c r="B14" i="130"/>
  <c r="D9" i="130"/>
  <c r="D10" i="130"/>
  <c r="C9" i="130"/>
  <c r="C10" i="130"/>
  <c r="C8" i="130"/>
  <c r="B3" i="130"/>
  <c r="H17" i="129"/>
  <c r="H18" i="129" s="1"/>
  <c r="H10" i="129"/>
  <c r="H11" i="129" s="1"/>
  <c r="H5" i="129"/>
  <c r="H6" i="129" s="1"/>
  <c r="H13" i="129" s="1"/>
  <c r="F13" i="130" l="1"/>
  <c r="G13" i="130" s="1"/>
  <c r="H13" i="130" s="1"/>
  <c r="G157" i="118"/>
  <c r="I158" i="118" s="1"/>
  <c r="G159" i="118" s="1"/>
  <c r="F10" i="117" s="1"/>
  <c r="G10" i="117" s="1"/>
  <c r="H10" i="117" s="1"/>
  <c r="G35" i="118"/>
  <c r="G34" i="118"/>
  <c r="H20" i="129"/>
  <c r="F12" i="130" l="1"/>
  <c r="G12" i="130" s="1"/>
  <c r="H12" i="130" s="1"/>
  <c r="G36" i="118"/>
  <c r="I37" i="118" s="1"/>
  <c r="G38" i="118" s="1"/>
  <c r="H21" i="129"/>
  <c r="H22" i="129" s="1"/>
  <c r="F132" i="128" l="1"/>
  <c r="I124" i="128"/>
  <c r="I123" i="128"/>
  <c r="F122" i="128"/>
  <c r="I122" i="128" s="1"/>
  <c r="I125" i="128" s="1"/>
  <c r="G118" i="128"/>
  <c r="G117" i="128"/>
  <c r="I113" i="128"/>
  <c r="I112" i="128"/>
  <c r="I111" i="128"/>
  <c r="I110" i="128"/>
  <c r="I109" i="128"/>
  <c r="I108" i="128"/>
  <c r="I107" i="128"/>
  <c r="I106" i="128"/>
  <c r="I105" i="128"/>
  <c r="G101" i="128"/>
  <c r="F87" i="128"/>
  <c r="I79" i="128"/>
  <c r="I78" i="128"/>
  <c r="F77" i="128"/>
  <c r="I77" i="128" s="1"/>
  <c r="I80" i="128" s="1"/>
  <c r="G73" i="128"/>
  <c r="G72" i="128"/>
  <c r="I74" i="128" s="1"/>
  <c r="I68" i="128"/>
  <c r="I67" i="128"/>
  <c r="I66" i="128"/>
  <c r="I65" i="128"/>
  <c r="I64" i="128"/>
  <c r="I63" i="128"/>
  <c r="I62" i="128"/>
  <c r="I61" i="128"/>
  <c r="I60" i="128"/>
  <c r="G56" i="128"/>
  <c r="F42" i="128"/>
  <c r="I34" i="128"/>
  <c r="I33" i="128"/>
  <c r="F32" i="128"/>
  <c r="I32" i="128" s="1"/>
  <c r="I35" i="128" s="1"/>
  <c r="G28" i="128"/>
  <c r="G27" i="128"/>
  <c r="I29" i="128" s="1"/>
  <c r="I23" i="128"/>
  <c r="I22" i="128"/>
  <c r="I21" i="128"/>
  <c r="I20" i="128"/>
  <c r="I19" i="128"/>
  <c r="I18" i="128"/>
  <c r="I17" i="128"/>
  <c r="I16" i="128"/>
  <c r="I15" i="128"/>
  <c r="G11" i="128"/>
  <c r="F132" i="127"/>
  <c r="I124" i="127"/>
  <c r="I123" i="127"/>
  <c r="F122" i="127"/>
  <c r="I122" i="127" s="1"/>
  <c r="I125" i="127" s="1"/>
  <c r="G118" i="127"/>
  <c r="G117" i="127"/>
  <c r="I119" i="127" s="1"/>
  <c r="I113" i="127"/>
  <c r="I112" i="127"/>
  <c r="I114" i="127" s="1"/>
  <c r="I111" i="127"/>
  <c r="I110" i="127"/>
  <c r="I109" i="127"/>
  <c r="I108" i="127"/>
  <c r="I107" i="127"/>
  <c r="I106" i="127"/>
  <c r="I105" i="127"/>
  <c r="G101" i="127"/>
  <c r="F87" i="127"/>
  <c r="I79" i="127"/>
  <c r="I78" i="127"/>
  <c r="F77" i="127"/>
  <c r="I77" i="127" s="1"/>
  <c r="I80" i="127" s="1"/>
  <c r="G73" i="127"/>
  <c r="G72" i="127"/>
  <c r="I74" i="127" s="1"/>
  <c r="I68" i="127"/>
  <c r="I67" i="127"/>
  <c r="I66" i="127"/>
  <c r="I65" i="127"/>
  <c r="I64" i="127"/>
  <c r="I63" i="127"/>
  <c r="I62" i="127"/>
  <c r="I61" i="127"/>
  <c r="I60" i="127"/>
  <c r="G56" i="127"/>
  <c r="F42" i="127"/>
  <c r="I34" i="127"/>
  <c r="I33" i="127"/>
  <c r="F32" i="127"/>
  <c r="I32" i="127" s="1"/>
  <c r="I35" i="127" s="1"/>
  <c r="G28" i="127"/>
  <c r="G27" i="127"/>
  <c r="I23" i="127"/>
  <c r="I22" i="127"/>
  <c r="I21" i="127"/>
  <c r="I20" i="127"/>
  <c r="I19" i="127"/>
  <c r="I18" i="127"/>
  <c r="I17" i="127"/>
  <c r="I16" i="127"/>
  <c r="G15" i="127"/>
  <c r="I15" i="127" s="1"/>
  <c r="G11" i="127"/>
  <c r="F404" i="126"/>
  <c r="I396" i="126"/>
  <c r="I395" i="126"/>
  <c r="F394" i="126"/>
  <c r="I394" i="126" s="1"/>
  <c r="I397" i="126" s="1"/>
  <c r="G390" i="126"/>
  <c r="G389" i="126"/>
  <c r="I391" i="126" s="1"/>
  <c r="I385" i="126"/>
  <c r="I384" i="126"/>
  <c r="I383" i="126"/>
  <c r="G382" i="126"/>
  <c r="I382" i="126" s="1"/>
  <c r="G381" i="126"/>
  <c r="I381" i="126" s="1"/>
  <c r="G380" i="126"/>
  <c r="I380" i="126" s="1"/>
  <c r="G379" i="126"/>
  <c r="I379" i="126" s="1"/>
  <c r="G378" i="126"/>
  <c r="I378" i="126" s="1"/>
  <c r="G377" i="126"/>
  <c r="I377" i="126" s="1"/>
  <c r="G373" i="126"/>
  <c r="F359" i="126"/>
  <c r="I351" i="126"/>
  <c r="I350" i="126"/>
  <c r="F349" i="126"/>
  <c r="I349" i="126" s="1"/>
  <c r="I352" i="126" s="1"/>
  <c r="G345" i="126"/>
  <c r="G344" i="126"/>
  <c r="I346" i="126" s="1"/>
  <c r="I340" i="126"/>
  <c r="I339" i="126"/>
  <c r="I338" i="126"/>
  <c r="I337" i="126"/>
  <c r="G336" i="126"/>
  <c r="I336" i="126" s="1"/>
  <c r="G335" i="126"/>
  <c r="I335" i="126" s="1"/>
  <c r="G334" i="126"/>
  <c r="I334" i="126" s="1"/>
  <c r="G333" i="126"/>
  <c r="I333" i="126" s="1"/>
  <c r="G332" i="126"/>
  <c r="I332" i="126" s="1"/>
  <c r="G328" i="126"/>
  <c r="F314" i="126"/>
  <c r="I306" i="126"/>
  <c r="I305" i="126"/>
  <c r="F304" i="126"/>
  <c r="I304" i="126" s="1"/>
  <c r="I307" i="126" s="1"/>
  <c r="G300" i="126"/>
  <c r="G299" i="126"/>
  <c r="I295" i="126"/>
  <c r="I294" i="126"/>
  <c r="I293" i="126"/>
  <c r="G292" i="126"/>
  <c r="I292" i="126" s="1"/>
  <c r="G291" i="126"/>
  <c r="I291" i="126" s="1"/>
  <c r="G290" i="126"/>
  <c r="I290" i="126" s="1"/>
  <c r="G289" i="126"/>
  <c r="I289" i="126" s="1"/>
  <c r="G288" i="126"/>
  <c r="I288" i="126" s="1"/>
  <c r="G287" i="126"/>
  <c r="I287" i="126" s="1"/>
  <c r="G283" i="126"/>
  <c r="F268" i="126"/>
  <c r="I260" i="126"/>
  <c r="I259" i="126"/>
  <c r="F258" i="126"/>
  <c r="I258" i="126" s="1"/>
  <c r="I261" i="126" s="1"/>
  <c r="I249" i="126"/>
  <c r="G248" i="126"/>
  <c r="I248" i="126" s="1"/>
  <c r="G247" i="126"/>
  <c r="I247" i="126" s="1"/>
  <c r="G246" i="126"/>
  <c r="I246" i="126" s="1"/>
  <c r="G245" i="126"/>
  <c r="I245" i="126" s="1"/>
  <c r="E244" i="126"/>
  <c r="D254" i="126" s="1"/>
  <c r="G254" i="126" s="1"/>
  <c r="E243" i="126"/>
  <c r="I243" i="126" s="1"/>
  <c r="E242" i="126"/>
  <c r="I242" i="126" s="1"/>
  <c r="G241" i="126"/>
  <c r="E241" i="126"/>
  <c r="G237" i="126"/>
  <c r="G236" i="126"/>
  <c r="F222" i="126"/>
  <c r="I214" i="126"/>
  <c r="I213" i="126"/>
  <c r="F212" i="126"/>
  <c r="I212" i="126" s="1"/>
  <c r="I215" i="126" s="1"/>
  <c r="G208" i="126"/>
  <c r="G207" i="126"/>
  <c r="I203" i="126"/>
  <c r="I202" i="126"/>
  <c r="I201" i="126"/>
  <c r="I200" i="126"/>
  <c r="G199" i="126"/>
  <c r="I199" i="126" s="1"/>
  <c r="G198" i="126"/>
  <c r="I198" i="126" s="1"/>
  <c r="G197" i="126"/>
  <c r="I197" i="126" s="1"/>
  <c r="G196" i="126"/>
  <c r="I196" i="126" s="1"/>
  <c r="G195" i="126"/>
  <c r="I195" i="126" s="1"/>
  <c r="G191" i="126"/>
  <c r="F177" i="126"/>
  <c r="I169" i="126"/>
  <c r="I168" i="126"/>
  <c r="F167" i="126"/>
  <c r="I167" i="126" s="1"/>
  <c r="I170" i="126" s="1"/>
  <c r="G163" i="126"/>
  <c r="G162" i="126"/>
  <c r="I158" i="126"/>
  <c r="I157" i="126"/>
  <c r="I156" i="126"/>
  <c r="I155" i="126"/>
  <c r="G154" i="126"/>
  <c r="I154" i="126" s="1"/>
  <c r="G153" i="126"/>
  <c r="I153" i="126" s="1"/>
  <c r="G152" i="126"/>
  <c r="I152" i="126" s="1"/>
  <c r="G151" i="126"/>
  <c r="I151" i="126" s="1"/>
  <c r="G150" i="126"/>
  <c r="I150" i="126" s="1"/>
  <c r="G146" i="126"/>
  <c r="F132" i="126"/>
  <c r="I124" i="126"/>
  <c r="I123" i="126"/>
  <c r="F122" i="126"/>
  <c r="I122" i="126" s="1"/>
  <c r="I125" i="126" s="1"/>
  <c r="G118" i="126"/>
  <c r="G117" i="126"/>
  <c r="I113" i="126"/>
  <c r="I112" i="126"/>
  <c r="I111" i="126"/>
  <c r="I110" i="126"/>
  <c r="G109" i="126"/>
  <c r="I109" i="126" s="1"/>
  <c r="G108" i="126"/>
  <c r="I108" i="126" s="1"/>
  <c r="G107" i="126"/>
  <c r="I107" i="126" s="1"/>
  <c r="G106" i="126"/>
  <c r="I106" i="126" s="1"/>
  <c r="G105" i="126"/>
  <c r="I105" i="126" s="1"/>
  <c r="G101" i="126"/>
  <c r="F87" i="126"/>
  <c r="I79" i="126"/>
  <c r="I78" i="126"/>
  <c r="F77" i="126"/>
  <c r="I77" i="126" s="1"/>
  <c r="I80" i="126" s="1"/>
  <c r="G73" i="126"/>
  <c r="G72" i="126"/>
  <c r="I68" i="126"/>
  <c r="I67" i="126"/>
  <c r="I66" i="126"/>
  <c r="I65" i="126"/>
  <c r="G64" i="126"/>
  <c r="I64" i="126" s="1"/>
  <c r="G63" i="126"/>
  <c r="I63" i="126" s="1"/>
  <c r="G62" i="126"/>
  <c r="I62" i="126" s="1"/>
  <c r="G61" i="126"/>
  <c r="I61" i="126" s="1"/>
  <c r="G60" i="126"/>
  <c r="I60" i="126" s="1"/>
  <c r="G56" i="126"/>
  <c r="F42" i="126"/>
  <c r="I34" i="126"/>
  <c r="I33" i="126"/>
  <c r="F32" i="126"/>
  <c r="I32" i="126" s="1"/>
  <c r="I35" i="126" s="1"/>
  <c r="G28" i="126"/>
  <c r="G27" i="126"/>
  <c r="I23" i="126"/>
  <c r="I22" i="126"/>
  <c r="I21" i="126"/>
  <c r="I20" i="126"/>
  <c r="G19" i="126"/>
  <c r="I19" i="126" s="1"/>
  <c r="G18" i="126"/>
  <c r="I18" i="126" s="1"/>
  <c r="G17" i="126"/>
  <c r="I17" i="126" s="1"/>
  <c r="G16" i="126"/>
  <c r="I16" i="126" s="1"/>
  <c r="G15" i="126"/>
  <c r="I15" i="126" s="1"/>
  <c r="G11" i="126"/>
  <c r="F223" i="125"/>
  <c r="I215" i="125"/>
  <c r="I214" i="125"/>
  <c r="F213" i="125"/>
  <c r="I213" i="125" s="1"/>
  <c r="I216" i="125" s="1"/>
  <c r="G209" i="125"/>
  <c r="G208" i="125"/>
  <c r="I204" i="125"/>
  <c r="I203" i="125"/>
  <c r="I202" i="125"/>
  <c r="I201" i="125"/>
  <c r="I200" i="125"/>
  <c r="G199" i="125"/>
  <c r="I199" i="125" s="1"/>
  <c r="G198" i="125"/>
  <c r="I198" i="125" s="1"/>
  <c r="G197" i="125"/>
  <c r="I197" i="125" s="1"/>
  <c r="G196" i="125"/>
  <c r="I196" i="125" s="1"/>
  <c r="G192" i="125"/>
  <c r="F178" i="125"/>
  <c r="I170" i="125"/>
  <c r="I169" i="125"/>
  <c r="F168" i="125"/>
  <c r="I168" i="125" s="1"/>
  <c r="I171" i="125" s="1"/>
  <c r="G164" i="125"/>
  <c r="G163" i="125"/>
  <c r="I165" i="125" s="1"/>
  <c r="I159" i="125"/>
  <c r="I158" i="125"/>
  <c r="I157" i="125"/>
  <c r="I156" i="125"/>
  <c r="I155" i="125"/>
  <c r="I154" i="125"/>
  <c r="I153" i="125"/>
  <c r="I152" i="125"/>
  <c r="I151" i="125"/>
  <c r="G147" i="125"/>
  <c r="F132" i="125"/>
  <c r="I124" i="125"/>
  <c r="I123" i="125"/>
  <c r="F122" i="125"/>
  <c r="I122" i="125" s="1"/>
  <c r="I125" i="125" s="1"/>
  <c r="G118" i="125"/>
  <c r="G117" i="125"/>
  <c r="I119" i="125" s="1"/>
  <c r="I113" i="125"/>
  <c r="I112" i="125"/>
  <c r="G111" i="125"/>
  <c r="I111" i="125" s="1"/>
  <c r="G110" i="125"/>
  <c r="I110" i="125" s="1"/>
  <c r="G109" i="125"/>
  <c r="I109" i="125" s="1"/>
  <c r="I108" i="125"/>
  <c r="G108" i="125"/>
  <c r="G107" i="125"/>
  <c r="I107" i="125" s="1"/>
  <c r="I105" i="125"/>
  <c r="I114" i="125" s="1"/>
  <c r="G101" i="125"/>
  <c r="F87" i="125"/>
  <c r="I79" i="125"/>
  <c r="I78" i="125"/>
  <c r="F77" i="125"/>
  <c r="I77" i="125" s="1"/>
  <c r="I80" i="125" s="1"/>
  <c r="G73" i="125"/>
  <c r="G72" i="125"/>
  <c r="I68" i="125"/>
  <c r="I67" i="125"/>
  <c r="I66" i="125"/>
  <c r="I65" i="125"/>
  <c r="I64" i="125"/>
  <c r="I61" i="125"/>
  <c r="I60" i="125"/>
  <c r="G56" i="125"/>
  <c r="F42" i="125"/>
  <c r="I34" i="125"/>
  <c r="I33" i="125"/>
  <c r="F32" i="125"/>
  <c r="I32" i="125" s="1"/>
  <c r="I35" i="125" s="1"/>
  <c r="G28" i="125"/>
  <c r="G27" i="125"/>
  <c r="I23" i="125"/>
  <c r="I22" i="125"/>
  <c r="I21" i="125"/>
  <c r="I20" i="125"/>
  <c r="I19" i="125"/>
  <c r="I18" i="125"/>
  <c r="I17" i="125"/>
  <c r="I16" i="125"/>
  <c r="I15" i="125"/>
  <c r="G11" i="125"/>
  <c r="F177" i="124"/>
  <c r="I169" i="124"/>
  <c r="I168" i="124"/>
  <c r="F167" i="124"/>
  <c r="I167" i="124" s="1"/>
  <c r="I170" i="124" s="1"/>
  <c r="D163" i="124"/>
  <c r="G163" i="124" s="1"/>
  <c r="G162" i="124"/>
  <c r="D162" i="124"/>
  <c r="I158" i="124"/>
  <c r="I157" i="124"/>
  <c r="I156" i="124"/>
  <c r="I155" i="124"/>
  <c r="I154" i="124"/>
  <c r="I153" i="124"/>
  <c r="I152" i="124"/>
  <c r="I151" i="124"/>
  <c r="G150" i="124"/>
  <c r="I150" i="124" s="1"/>
  <c r="G146" i="124"/>
  <c r="F132" i="124"/>
  <c r="I124" i="124"/>
  <c r="I123" i="124"/>
  <c r="F122" i="124"/>
  <c r="I122" i="124" s="1"/>
  <c r="I125" i="124" s="1"/>
  <c r="G118" i="124"/>
  <c r="G117" i="124"/>
  <c r="I113" i="124"/>
  <c r="I112" i="124"/>
  <c r="I111" i="124"/>
  <c r="I110" i="124"/>
  <c r="I109" i="124"/>
  <c r="I108" i="124"/>
  <c r="I107" i="124"/>
  <c r="G106" i="124"/>
  <c r="I106" i="124" s="1"/>
  <c r="G105" i="124"/>
  <c r="I105" i="124" s="1"/>
  <c r="G101" i="124"/>
  <c r="F87" i="124"/>
  <c r="I79" i="124"/>
  <c r="I78" i="124"/>
  <c r="F77" i="124"/>
  <c r="I77" i="124" s="1"/>
  <c r="I80" i="124" s="1"/>
  <c r="G73" i="124"/>
  <c r="G72" i="124"/>
  <c r="I68" i="124"/>
  <c r="I67" i="124"/>
  <c r="I66" i="124"/>
  <c r="I65" i="124"/>
  <c r="I64" i="124"/>
  <c r="I63" i="124"/>
  <c r="I62" i="124"/>
  <c r="I61" i="124"/>
  <c r="I60" i="124"/>
  <c r="G56" i="124"/>
  <c r="F42" i="124"/>
  <c r="I34" i="124"/>
  <c r="I33" i="124"/>
  <c r="F32" i="124"/>
  <c r="I32" i="124" s="1"/>
  <c r="I35" i="124" s="1"/>
  <c r="G28" i="124"/>
  <c r="G27" i="124"/>
  <c r="I29" i="124" s="1"/>
  <c r="I23" i="124"/>
  <c r="I22" i="124"/>
  <c r="I21" i="124"/>
  <c r="I20" i="124"/>
  <c r="I19" i="124"/>
  <c r="I18" i="124"/>
  <c r="I17" i="124"/>
  <c r="I16" i="124"/>
  <c r="I15" i="124"/>
  <c r="G11" i="124"/>
  <c r="F312" i="123"/>
  <c r="I304" i="123"/>
  <c r="I303" i="123"/>
  <c r="F302" i="123"/>
  <c r="I302" i="123" s="1"/>
  <c r="I305" i="123" s="1"/>
  <c r="G298" i="123"/>
  <c r="G297" i="123"/>
  <c r="I299" i="123" s="1"/>
  <c r="I293" i="123"/>
  <c r="I292" i="123"/>
  <c r="I291" i="123"/>
  <c r="I290" i="123"/>
  <c r="I289" i="123"/>
  <c r="I288" i="123"/>
  <c r="G287" i="123"/>
  <c r="I287" i="123" s="1"/>
  <c r="G286" i="123"/>
  <c r="I286" i="123" s="1"/>
  <c r="I285" i="123"/>
  <c r="G281" i="123"/>
  <c r="F267" i="123"/>
  <c r="I259" i="123"/>
  <c r="I258" i="123"/>
  <c r="F257" i="123"/>
  <c r="I257" i="123" s="1"/>
  <c r="I260" i="123" s="1"/>
  <c r="G253" i="123"/>
  <c r="G252" i="123"/>
  <c r="I248" i="123"/>
  <c r="I247" i="123"/>
  <c r="I246" i="123"/>
  <c r="I245" i="123"/>
  <c r="I244" i="123"/>
  <c r="I243" i="123"/>
  <c r="I242" i="123"/>
  <c r="I241" i="123"/>
  <c r="G240" i="123"/>
  <c r="I240" i="123" s="1"/>
  <c r="G236" i="123"/>
  <c r="F222" i="123"/>
  <c r="I214" i="123"/>
  <c r="I213" i="123"/>
  <c r="F212" i="123"/>
  <c r="I212" i="123" s="1"/>
  <c r="I215" i="123" s="1"/>
  <c r="G208" i="123"/>
  <c r="G207" i="123"/>
  <c r="I209" i="123" s="1"/>
  <c r="I203" i="123"/>
  <c r="I202" i="123"/>
  <c r="I201" i="123"/>
  <c r="I200" i="123"/>
  <c r="I199" i="123"/>
  <c r="I198" i="123"/>
  <c r="I197" i="123"/>
  <c r="I196" i="123"/>
  <c r="G195" i="123"/>
  <c r="I195" i="123" s="1"/>
  <c r="G191" i="123"/>
  <c r="F177" i="123"/>
  <c r="I169" i="123"/>
  <c r="I168" i="123"/>
  <c r="F167" i="123"/>
  <c r="I167" i="123" s="1"/>
  <c r="I170" i="123" s="1"/>
  <c r="G163" i="123"/>
  <c r="G162" i="123"/>
  <c r="I164" i="123" s="1"/>
  <c r="I158" i="123"/>
  <c r="I157" i="123"/>
  <c r="I156" i="123"/>
  <c r="I155" i="123"/>
  <c r="I154" i="123"/>
  <c r="I153" i="123"/>
  <c r="G152" i="123"/>
  <c r="I152" i="123" s="1"/>
  <c r="G151" i="123"/>
  <c r="I151" i="123" s="1"/>
  <c r="I150" i="123"/>
  <c r="G146" i="123"/>
  <c r="F132" i="123"/>
  <c r="I124" i="123"/>
  <c r="I123" i="123"/>
  <c r="F122" i="123"/>
  <c r="I122" i="123" s="1"/>
  <c r="I125" i="123" s="1"/>
  <c r="G118" i="123"/>
  <c r="G117" i="123"/>
  <c r="I113" i="123"/>
  <c r="I112" i="123"/>
  <c r="I111" i="123"/>
  <c r="I110" i="123"/>
  <c r="I109" i="123"/>
  <c r="I108" i="123"/>
  <c r="G107" i="123"/>
  <c r="I107" i="123" s="1"/>
  <c r="G106" i="123"/>
  <c r="I106" i="123" s="1"/>
  <c r="I105" i="123"/>
  <c r="G101" i="123"/>
  <c r="F87" i="123"/>
  <c r="I79" i="123"/>
  <c r="I78" i="123"/>
  <c r="F77" i="123"/>
  <c r="I77" i="123" s="1"/>
  <c r="I80" i="123" s="1"/>
  <c r="G73" i="123"/>
  <c r="G72" i="123"/>
  <c r="I68" i="123"/>
  <c r="I67" i="123"/>
  <c r="I66" i="123"/>
  <c r="I65" i="123"/>
  <c r="I64" i="123"/>
  <c r="I63" i="123"/>
  <c r="G62" i="123"/>
  <c r="I62" i="123" s="1"/>
  <c r="G61" i="123"/>
  <c r="I61" i="123" s="1"/>
  <c r="G60" i="123"/>
  <c r="I60" i="123" s="1"/>
  <c r="G56" i="123"/>
  <c r="F42" i="123"/>
  <c r="I34" i="123"/>
  <c r="I33" i="123"/>
  <c r="F32" i="123"/>
  <c r="I32" i="123" s="1"/>
  <c r="I35" i="123" s="1"/>
  <c r="G28" i="123"/>
  <c r="G27" i="123"/>
  <c r="I29" i="123" s="1"/>
  <c r="I23" i="123"/>
  <c r="I22" i="123"/>
  <c r="I21" i="123"/>
  <c r="I20" i="123"/>
  <c r="I19" i="123"/>
  <c r="I18" i="123"/>
  <c r="G17" i="123"/>
  <c r="I17" i="123" s="1"/>
  <c r="I16" i="123"/>
  <c r="I15" i="123"/>
  <c r="G11" i="123"/>
  <c r="F223" i="122"/>
  <c r="I215" i="122"/>
  <c r="I214" i="122"/>
  <c r="F213" i="122"/>
  <c r="I213" i="122" s="1"/>
  <c r="I216" i="122" s="1"/>
  <c r="G209" i="122"/>
  <c r="G208" i="122"/>
  <c r="I204" i="122"/>
  <c r="I203" i="122"/>
  <c r="I202" i="122"/>
  <c r="G201" i="122"/>
  <c r="I201" i="122" s="1"/>
  <c r="I200" i="122"/>
  <c r="I199" i="122"/>
  <c r="I198" i="122"/>
  <c r="G197" i="122"/>
  <c r="I197" i="122" s="1"/>
  <c r="I196" i="122"/>
  <c r="G192" i="122"/>
  <c r="F178" i="122"/>
  <c r="I170" i="122"/>
  <c r="I169" i="122"/>
  <c r="F168" i="122"/>
  <c r="I168" i="122" s="1"/>
  <c r="I171" i="122" s="1"/>
  <c r="G164" i="122"/>
  <c r="G163" i="122"/>
  <c r="I165" i="122" s="1"/>
  <c r="I159" i="122"/>
  <c r="I158" i="122"/>
  <c r="I157" i="122"/>
  <c r="I156" i="122"/>
  <c r="I155" i="122"/>
  <c r="I154" i="122"/>
  <c r="G153" i="122"/>
  <c r="I153" i="122" s="1"/>
  <c r="G152" i="122"/>
  <c r="I152" i="122" s="1"/>
  <c r="I151" i="122"/>
  <c r="G147" i="122"/>
  <c r="F132" i="122"/>
  <c r="I124" i="122"/>
  <c r="I123" i="122"/>
  <c r="F122" i="122"/>
  <c r="I122" i="122" s="1"/>
  <c r="I125" i="122" s="1"/>
  <c r="G118" i="122"/>
  <c r="G117" i="122"/>
  <c r="I119" i="122" s="1"/>
  <c r="I113" i="122"/>
  <c r="I112" i="122"/>
  <c r="I111" i="122"/>
  <c r="I110" i="122"/>
  <c r="I109" i="122"/>
  <c r="I108" i="122"/>
  <c r="I107" i="122"/>
  <c r="G106" i="122"/>
  <c r="I106" i="122" s="1"/>
  <c r="G105" i="122"/>
  <c r="I105" i="122" s="1"/>
  <c r="G101" i="122"/>
  <c r="F87" i="122"/>
  <c r="I79" i="122"/>
  <c r="I78" i="122"/>
  <c r="F77" i="122"/>
  <c r="I77" i="122" s="1"/>
  <c r="I80" i="122" s="1"/>
  <c r="G73" i="122"/>
  <c r="G72" i="122"/>
  <c r="I68" i="122"/>
  <c r="I67" i="122"/>
  <c r="I66" i="122"/>
  <c r="I65" i="122"/>
  <c r="I64" i="122"/>
  <c r="I63" i="122"/>
  <c r="G62" i="122"/>
  <c r="I62" i="122" s="1"/>
  <c r="G61" i="122"/>
  <c r="I61" i="122" s="1"/>
  <c r="G60" i="122"/>
  <c r="I60" i="122" s="1"/>
  <c r="G56" i="122"/>
  <c r="F42" i="122"/>
  <c r="I34" i="122"/>
  <c r="I33" i="122"/>
  <c r="F32" i="122"/>
  <c r="I32" i="122" s="1"/>
  <c r="I35" i="122" s="1"/>
  <c r="G28" i="122"/>
  <c r="G27" i="122"/>
  <c r="I29" i="122" s="1"/>
  <c r="I23" i="122"/>
  <c r="I22" i="122"/>
  <c r="I21" i="122"/>
  <c r="I20" i="122"/>
  <c r="I19" i="122"/>
  <c r="I18" i="122"/>
  <c r="I17" i="122"/>
  <c r="I16" i="122"/>
  <c r="G15" i="122"/>
  <c r="I15" i="122" s="1"/>
  <c r="G11" i="122"/>
  <c r="F451" i="121"/>
  <c r="I443" i="121"/>
  <c r="I442" i="121"/>
  <c r="F441" i="121"/>
  <c r="I441" i="121" s="1"/>
  <c r="I444" i="121" s="1"/>
  <c r="G437" i="121"/>
  <c r="G436" i="121"/>
  <c r="I438" i="121" s="1"/>
  <c r="I432" i="121"/>
  <c r="I431" i="121"/>
  <c r="I430" i="121"/>
  <c r="I429" i="121"/>
  <c r="I428" i="121"/>
  <c r="I427" i="121"/>
  <c r="I426" i="121"/>
  <c r="I425" i="121"/>
  <c r="G424" i="121"/>
  <c r="I424" i="121" s="1"/>
  <c r="G420" i="121"/>
  <c r="F406" i="121"/>
  <c r="I398" i="121"/>
  <c r="I397" i="121"/>
  <c r="I396" i="121"/>
  <c r="I399" i="121" s="1"/>
  <c r="F396" i="121"/>
  <c r="G392" i="121"/>
  <c r="G391" i="121"/>
  <c r="I393" i="121" s="1"/>
  <c r="I387" i="121"/>
  <c r="I386" i="121"/>
  <c r="I385" i="121"/>
  <c r="I384" i="121"/>
  <c r="I383" i="121"/>
  <c r="I382" i="121"/>
  <c r="I381" i="121"/>
  <c r="I380" i="121"/>
  <c r="G380" i="121"/>
  <c r="G379" i="121"/>
  <c r="I379" i="121" s="1"/>
  <c r="G375" i="121"/>
  <c r="F361" i="121"/>
  <c r="I353" i="121"/>
  <c r="I352" i="121"/>
  <c r="F351" i="121"/>
  <c r="I351" i="121" s="1"/>
  <c r="I354" i="121" s="1"/>
  <c r="G347" i="121"/>
  <c r="G346" i="121"/>
  <c r="I342" i="121"/>
  <c r="I341" i="121"/>
  <c r="I340" i="121"/>
  <c r="I339" i="121"/>
  <c r="I338" i="121"/>
  <c r="I337" i="121"/>
  <c r="I336" i="121"/>
  <c r="I335" i="121"/>
  <c r="G334" i="121"/>
  <c r="I334" i="121" s="1"/>
  <c r="G330" i="121"/>
  <c r="F316" i="121"/>
  <c r="I308" i="121"/>
  <c r="I307" i="121"/>
  <c r="F306" i="121"/>
  <c r="I306" i="121" s="1"/>
  <c r="I309" i="121" s="1"/>
  <c r="G302" i="121"/>
  <c r="G301" i="121"/>
  <c r="I297" i="121"/>
  <c r="I296" i="121"/>
  <c r="I295" i="121"/>
  <c r="I294" i="121"/>
  <c r="I293" i="121"/>
  <c r="I292" i="121"/>
  <c r="I291" i="121"/>
  <c r="I290" i="121"/>
  <c r="G289" i="121"/>
  <c r="I289" i="121" s="1"/>
  <c r="G285" i="121"/>
  <c r="F271" i="121"/>
  <c r="I263" i="121"/>
  <c r="I262" i="121"/>
  <c r="F261" i="121"/>
  <c r="I261" i="121" s="1"/>
  <c r="I264" i="121" s="1"/>
  <c r="G257" i="121"/>
  <c r="G256" i="121"/>
  <c r="I252" i="121"/>
  <c r="I251" i="121"/>
  <c r="I250" i="121"/>
  <c r="I249" i="121"/>
  <c r="I248" i="121"/>
  <c r="I247" i="121"/>
  <c r="I246" i="121"/>
  <c r="I245" i="121"/>
  <c r="G244" i="121"/>
  <c r="I244" i="121" s="1"/>
  <c r="G240" i="121"/>
  <c r="F226" i="121"/>
  <c r="I218" i="121"/>
  <c r="I217" i="121"/>
  <c r="F216" i="121"/>
  <c r="I216" i="121" s="1"/>
  <c r="I219" i="121" s="1"/>
  <c r="G212" i="121"/>
  <c r="G211" i="121"/>
  <c r="I207" i="121"/>
  <c r="I206" i="121"/>
  <c r="I205" i="121"/>
  <c r="I204" i="121"/>
  <c r="I203" i="121"/>
  <c r="I202" i="121"/>
  <c r="I201" i="121"/>
  <c r="G200" i="121"/>
  <c r="I200" i="121" s="1"/>
  <c r="G199" i="121"/>
  <c r="I199" i="121" s="1"/>
  <c r="G195" i="121"/>
  <c r="F181" i="121"/>
  <c r="I173" i="121"/>
  <c r="I172" i="121"/>
  <c r="F171" i="121"/>
  <c r="I171" i="121" s="1"/>
  <c r="I174" i="121" s="1"/>
  <c r="I162" i="121"/>
  <c r="I161" i="121"/>
  <c r="I160" i="121"/>
  <c r="I159" i="121"/>
  <c r="I158" i="121"/>
  <c r="E157" i="121"/>
  <c r="D167" i="121" s="1"/>
  <c r="G167" i="121" s="1"/>
  <c r="E156" i="121"/>
  <c r="D166" i="121" s="1"/>
  <c r="G166" i="121" s="1"/>
  <c r="I168" i="121" s="1"/>
  <c r="E155" i="121"/>
  <c r="I155" i="121" s="1"/>
  <c r="G154" i="121"/>
  <c r="E154" i="121"/>
  <c r="G150" i="121"/>
  <c r="G149" i="121"/>
  <c r="G148" i="121"/>
  <c r="F134" i="121"/>
  <c r="I126" i="121"/>
  <c r="I125" i="121"/>
  <c r="F124" i="121"/>
  <c r="I124" i="121" s="1"/>
  <c r="I127" i="121" s="1"/>
  <c r="I115" i="121"/>
  <c r="I114" i="121"/>
  <c r="I113" i="121"/>
  <c r="I112" i="121"/>
  <c r="I111" i="121"/>
  <c r="E110" i="121"/>
  <c r="I110" i="121" s="1"/>
  <c r="E109" i="121"/>
  <c r="I109" i="121" s="1"/>
  <c r="E108" i="121"/>
  <c r="I108" i="121" s="1"/>
  <c r="G107" i="121"/>
  <c r="I107" i="121" s="1"/>
  <c r="E107" i="121"/>
  <c r="G103" i="121"/>
  <c r="G102" i="121"/>
  <c r="G101" i="121"/>
  <c r="F87" i="121"/>
  <c r="I79" i="121"/>
  <c r="I78" i="121"/>
  <c r="F77" i="121"/>
  <c r="I77" i="121" s="1"/>
  <c r="I80" i="121" s="1"/>
  <c r="G73" i="121"/>
  <c r="G72" i="121"/>
  <c r="I68" i="121"/>
  <c r="I67" i="121"/>
  <c r="I66" i="121"/>
  <c r="I65" i="121"/>
  <c r="I64" i="121"/>
  <c r="I63" i="121"/>
  <c r="I62" i="121"/>
  <c r="G61" i="121"/>
  <c r="I61" i="121" s="1"/>
  <c r="G60" i="121"/>
  <c r="I60" i="121" s="1"/>
  <c r="G56" i="121"/>
  <c r="F42" i="121"/>
  <c r="I34" i="121"/>
  <c r="I33" i="121"/>
  <c r="F32" i="121"/>
  <c r="I32" i="121" s="1"/>
  <c r="I35" i="121" s="1"/>
  <c r="G28" i="121"/>
  <c r="G27" i="121"/>
  <c r="I29" i="121" s="1"/>
  <c r="I23" i="121"/>
  <c r="I22" i="121"/>
  <c r="I21" i="121"/>
  <c r="I20" i="121"/>
  <c r="I19" i="121"/>
  <c r="I18" i="121"/>
  <c r="I17" i="121"/>
  <c r="G16" i="121"/>
  <c r="I16" i="121" s="1"/>
  <c r="G15" i="121"/>
  <c r="I15" i="121" s="1"/>
  <c r="G11" i="121"/>
  <c r="F132" i="120"/>
  <c r="I124" i="120"/>
  <c r="I123" i="120"/>
  <c r="F122" i="120"/>
  <c r="I122" i="120" s="1"/>
  <c r="I125" i="120" s="1"/>
  <c r="G118" i="120"/>
  <c r="G117" i="120"/>
  <c r="I119" i="120" s="1"/>
  <c r="I113" i="120"/>
  <c r="I112" i="120"/>
  <c r="I111" i="120"/>
  <c r="I110" i="120"/>
  <c r="I109" i="120"/>
  <c r="I108" i="120"/>
  <c r="I107" i="120"/>
  <c r="I106" i="120"/>
  <c r="G105" i="120"/>
  <c r="I105" i="120" s="1"/>
  <c r="G101" i="120"/>
  <c r="F87" i="120"/>
  <c r="I79" i="120"/>
  <c r="I78" i="120"/>
  <c r="F77" i="120"/>
  <c r="I77" i="120" s="1"/>
  <c r="I80" i="120" s="1"/>
  <c r="G73" i="120"/>
  <c r="G72" i="120"/>
  <c r="I74" i="120" s="1"/>
  <c r="I68" i="120"/>
  <c r="I67" i="120"/>
  <c r="I66" i="120"/>
  <c r="I65" i="120"/>
  <c r="I64" i="120"/>
  <c r="I63" i="120"/>
  <c r="G62" i="120"/>
  <c r="I62" i="120" s="1"/>
  <c r="G61" i="120"/>
  <c r="I61" i="120" s="1"/>
  <c r="G60" i="120"/>
  <c r="I60" i="120" s="1"/>
  <c r="G56" i="120"/>
  <c r="F42" i="120"/>
  <c r="I34" i="120"/>
  <c r="I33" i="120"/>
  <c r="F32" i="120"/>
  <c r="I32" i="120" s="1"/>
  <c r="I35" i="120" s="1"/>
  <c r="G28" i="120"/>
  <c r="G27" i="120"/>
  <c r="I29" i="120" s="1"/>
  <c r="I23" i="120"/>
  <c r="I22" i="120"/>
  <c r="I21" i="120"/>
  <c r="I20" i="120"/>
  <c r="I19" i="120"/>
  <c r="I18" i="120"/>
  <c r="I17" i="120"/>
  <c r="I16" i="120"/>
  <c r="I15" i="120"/>
  <c r="G11" i="120"/>
  <c r="F43" i="119"/>
  <c r="I35" i="119"/>
  <c r="I34" i="119"/>
  <c r="F33" i="119"/>
  <c r="I33" i="119" s="1"/>
  <c r="I36" i="119" s="1"/>
  <c r="I24" i="119"/>
  <c r="I23" i="119"/>
  <c r="I22" i="119"/>
  <c r="I21" i="119"/>
  <c r="I20" i="119"/>
  <c r="E19" i="119"/>
  <c r="I19" i="119" s="1"/>
  <c r="E18" i="119"/>
  <c r="D28" i="119" s="1"/>
  <c r="G28" i="119" s="1"/>
  <c r="E17" i="119"/>
  <c r="I17" i="119" s="1"/>
  <c r="G16" i="119"/>
  <c r="E16" i="119"/>
  <c r="I16" i="119" s="1"/>
  <c r="G12" i="119"/>
  <c r="F119" i="118"/>
  <c r="I111" i="118"/>
  <c r="I110" i="118"/>
  <c r="F109" i="118"/>
  <c r="I109" i="118" s="1"/>
  <c r="I112" i="118" s="1"/>
  <c r="G105" i="118"/>
  <c r="G104" i="118"/>
  <c r="I100" i="118"/>
  <c r="I99" i="118"/>
  <c r="F81" i="118"/>
  <c r="I73" i="118"/>
  <c r="I72" i="118"/>
  <c r="F71" i="118"/>
  <c r="I71" i="118" s="1"/>
  <c r="I74" i="118" s="1"/>
  <c r="G67" i="118"/>
  <c r="G66" i="118"/>
  <c r="I62" i="118"/>
  <c r="I61" i="118"/>
  <c r="I60" i="118"/>
  <c r="I59" i="118"/>
  <c r="I58" i="118"/>
  <c r="I57" i="118"/>
  <c r="I56" i="118"/>
  <c r="I55" i="118"/>
  <c r="I54" i="118"/>
  <c r="G50" i="118"/>
  <c r="I164" i="124" l="1"/>
  <c r="D119" i="121"/>
  <c r="G119" i="121" s="1"/>
  <c r="I154" i="121"/>
  <c r="I213" i="121"/>
  <c r="I348" i="121"/>
  <c r="I69" i="128"/>
  <c r="I114" i="128"/>
  <c r="I74" i="124"/>
  <c r="I119" i="126"/>
  <c r="I298" i="121"/>
  <c r="I301" i="126"/>
  <c r="I209" i="126"/>
  <c r="I164" i="126"/>
  <c r="I244" i="126"/>
  <c r="I74" i="126"/>
  <c r="I159" i="124"/>
  <c r="I114" i="124"/>
  <c r="I24" i="125"/>
  <c r="I29" i="125"/>
  <c r="I69" i="124"/>
  <c r="I101" i="118"/>
  <c r="D29" i="119"/>
  <c r="G29" i="119" s="1"/>
  <c r="I30" i="119" s="1"/>
  <c r="I294" i="123"/>
  <c r="I254" i="123"/>
  <c r="I69" i="126"/>
  <c r="I119" i="123"/>
  <c r="I205" i="125"/>
  <c r="I63" i="118"/>
  <c r="I114" i="120"/>
  <c r="I24" i="121"/>
  <c r="I114" i="122"/>
  <c r="I160" i="122"/>
  <c r="I386" i="126"/>
  <c r="I69" i="122"/>
  <c r="I68" i="118"/>
  <c r="I24" i="120"/>
  <c r="I343" i="121"/>
  <c r="I74" i="123"/>
  <c r="I24" i="128"/>
  <c r="I114" i="123"/>
  <c r="I433" i="121"/>
  <c r="I258" i="121"/>
  <c r="I210" i="122"/>
  <c r="I204" i="123"/>
  <c r="I119" i="124"/>
  <c r="I241" i="126"/>
  <c r="I29" i="127"/>
  <c r="I119" i="128"/>
  <c r="I160" i="125"/>
  <c r="I74" i="121"/>
  <c r="I253" i="121"/>
  <c r="I388" i="121"/>
  <c r="I74" i="122"/>
  <c r="I74" i="125"/>
  <c r="I29" i="126"/>
  <c r="I24" i="127"/>
  <c r="I69" i="127"/>
  <c r="I24" i="122"/>
  <c r="I69" i="123"/>
  <c r="I106" i="118"/>
  <c r="I69" i="121"/>
  <c r="I303" i="121"/>
  <c r="I249" i="123"/>
  <c r="I24" i="124"/>
  <c r="I69" i="125"/>
  <c r="I210" i="125"/>
  <c r="F10" i="128"/>
  <c r="G10" i="128" s="1"/>
  <c r="F9" i="128"/>
  <c r="G9" i="128" s="1"/>
  <c r="I12" i="128" s="1"/>
  <c r="F55" i="128"/>
  <c r="G55" i="128" s="1"/>
  <c r="F54" i="128"/>
  <c r="G54" i="128" s="1"/>
  <c r="I57" i="128" s="1"/>
  <c r="I82" i="128" s="1"/>
  <c r="F100" i="128"/>
  <c r="G100" i="128" s="1"/>
  <c r="F99" i="128"/>
  <c r="G99" i="128" s="1"/>
  <c r="F10" i="127"/>
  <c r="G10" i="127" s="1"/>
  <c r="F9" i="127"/>
  <c r="G9" i="127" s="1"/>
  <c r="I12" i="127" s="1"/>
  <c r="F55" i="127"/>
  <c r="G55" i="127" s="1"/>
  <c r="F54" i="127"/>
  <c r="G54" i="127" s="1"/>
  <c r="I57" i="127" s="1"/>
  <c r="F99" i="127"/>
  <c r="G99" i="127" s="1"/>
  <c r="F100" i="127"/>
  <c r="G100" i="127" s="1"/>
  <c r="F100" i="126"/>
  <c r="G100" i="126" s="1"/>
  <c r="F99" i="126"/>
  <c r="G99" i="126" s="1"/>
  <c r="F235" i="126"/>
  <c r="G235" i="126" s="1"/>
  <c r="F234" i="126"/>
  <c r="G234" i="126" s="1"/>
  <c r="I238" i="126" s="1"/>
  <c r="I114" i="126"/>
  <c r="F145" i="126"/>
  <c r="G145" i="126" s="1"/>
  <c r="F144" i="126"/>
  <c r="G144" i="126" s="1"/>
  <c r="F282" i="126"/>
  <c r="G282" i="126" s="1"/>
  <c r="F281" i="126"/>
  <c r="G281" i="126" s="1"/>
  <c r="I159" i="126"/>
  <c r="F190" i="126"/>
  <c r="G190" i="126" s="1"/>
  <c r="F189" i="126"/>
  <c r="G189" i="126" s="1"/>
  <c r="F10" i="126"/>
  <c r="G10" i="126" s="1"/>
  <c r="F9" i="126"/>
  <c r="G9" i="126" s="1"/>
  <c r="I296" i="126"/>
  <c r="F327" i="126"/>
  <c r="G327" i="126" s="1"/>
  <c r="F326" i="126"/>
  <c r="G326" i="126" s="1"/>
  <c r="F372" i="126"/>
  <c r="G372" i="126" s="1"/>
  <c r="F371" i="126"/>
  <c r="G371" i="126" s="1"/>
  <c r="I341" i="126"/>
  <c r="I24" i="126"/>
  <c r="I204" i="126"/>
  <c r="F55" i="126"/>
  <c r="G55" i="126" s="1"/>
  <c r="F54" i="126"/>
  <c r="G54" i="126" s="1"/>
  <c r="D253" i="126"/>
  <c r="G253" i="126" s="1"/>
  <c r="I255" i="126" s="1"/>
  <c r="F54" i="125"/>
  <c r="G54" i="125" s="1"/>
  <c r="F55" i="125"/>
  <c r="G55" i="125" s="1"/>
  <c r="F100" i="125"/>
  <c r="G100" i="125" s="1"/>
  <c r="F99" i="125"/>
  <c r="G99" i="125" s="1"/>
  <c r="F9" i="125"/>
  <c r="G9" i="125" s="1"/>
  <c r="F10" i="125"/>
  <c r="G10" i="125" s="1"/>
  <c r="F146" i="125"/>
  <c r="G146" i="125" s="1"/>
  <c r="F145" i="125"/>
  <c r="G145" i="125" s="1"/>
  <c r="I148" i="125" s="1"/>
  <c r="I173" i="125" s="1"/>
  <c r="F49" i="117" s="1"/>
  <c r="F191" i="125"/>
  <c r="G191" i="125" s="1"/>
  <c r="F190" i="125"/>
  <c r="G190" i="125" s="1"/>
  <c r="F10" i="124"/>
  <c r="G10" i="124" s="1"/>
  <c r="F9" i="124"/>
  <c r="G9" i="124" s="1"/>
  <c r="F55" i="124"/>
  <c r="G55" i="124" s="1"/>
  <c r="F54" i="124"/>
  <c r="G54" i="124" s="1"/>
  <c r="F100" i="124"/>
  <c r="G100" i="124" s="1"/>
  <c r="F99" i="124"/>
  <c r="G99" i="124" s="1"/>
  <c r="I102" i="124" s="1"/>
  <c r="F145" i="124"/>
  <c r="G145" i="124" s="1"/>
  <c r="F144" i="124"/>
  <c r="G144" i="124" s="1"/>
  <c r="F9" i="123"/>
  <c r="G9" i="123" s="1"/>
  <c r="F10" i="123"/>
  <c r="G10" i="123" s="1"/>
  <c r="F54" i="123"/>
  <c r="G54" i="123" s="1"/>
  <c r="F55" i="123"/>
  <c r="G55" i="123" s="1"/>
  <c r="I24" i="123"/>
  <c r="F100" i="123"/>
  <c r="G100" i="123" s="1"/>
  <c r="F99" i="123"/>
  <c r="G99" i="123" s="1"/>
  <c r="F145" i="123"/>
  <c r="G145" i="123" s="1"/>
  <c r="F144" i="123"/>
  <c r="G144" i="123" s="1"/>
  <c r="F190" i="123"/>
  <c r="G190" i="123" s="1"/>
  <c r="F189" i="123"/>
  <c r="G189" i="123" s="1"/>
  <c r="F235" i="123"/>
  <c r="G235" i="123" s="1"/>
  <c r="F234" i="123"/>
  <c r="G234" i="123" s="1"/>
  <c r="F280" i="123"/>
  <c r="G280" i="123" s="1"/>
  <c r="F279" i="123"/>
  <c r="G279" i="123" s="1"/>
  <c r="I159" i="123"/>
  <c r="I205" i="122"/>
  <c r="F10" i="122"/>
  <c r="G10" i="122" s="1"/>
  <c r="F9" i="122"/>
  <c r="G9" i="122" s="1"/>
  <c r="F54" i="122"/>
  <c r="G54" i="122" s="1"/>
  <c r="I57" i="122" s="1"/>
  <c r="I82" i="122" s="1"/>
  <c r="F27" i="117" s="1"/>
  <c r="F55" i="122"/>
  <c r="G55" i="122" s="1"/>
  <c r="F100" i="122"/>
  <c r="G100" i="122" s="1"/>
  <c r="F99" i="122"/>
  <c r="G99" i="122" s="1"/>
  <c r="F146" i="122"/>
  <c r="G146" i="122" s="1"/>
  <c r="F145" i="122"/>
  <c r="G145" i="122" s="1"/>
  <c r="I148" i="122" s="1"/>
  <c r="F191" i="122"/>
  <c r="G191" i="122" s="1"/>
  <c r="F190" i="122"/>
  <c r="G190" i="122" s="1"/>
  <c r="F99" i="121"/>
  <c r="G99" i="121" s="1"/>
  <c r="F100" i="121"/>
  <c r="G100" i="121" s="1"/>
  <c r="F147" i="121"/>
  <c r="G147" i="121" s="1"/>
  <c r="F146" i="121"/>
  <c r="G146" i="121" s="1"/>
  <c r="F55" i="121"/>
  <c r="G55" i="121" s="1"/>
  <c r="F54" i="121"/>
  <c r="G54" i="121" s="1"/>
  <c r="F194" i="121"/>
  <c r="G194" i="121" s="1"/>
  <c r="F193" i="121"/>
  <c r="G193" i="121" s="1"/>
  <c r="I196" i="121" s="1"/>
  <c r="I221" i="121" s="1"/>
  <c r="F238" i="121"/>
  <c r="G238" i="121" s="1"/>
  <c r="F239" i="121"/>
  <c r="G239" i="121" s="1"/>
  <c r="F283" i="121"/>
  <c r="G283" i="121" s="1"/>
  <c r="F284" i="121"/>
  <c r="G284" i="121" s="1"/>
  <c r="F328" i="121"/>
  <c r="G328" i="121" s="1"/>
  <c r="F329" i="121"/>
  <c r="G329" i="121" s="1"/>
  <c r="F418" i="121"/>
  <c r="G418" i="121" s="1"/>
  <c r="F419" i="121"/>
  <c r="G419" i="121" s="1"/>
  <c r="F373" i="121"/>
  <c r="G373" i="121" s="1"/>
  <c r="F374" i="121"/>
  <c r="G374" i="121" s="1"/>
  <c r="F10" i="121"/>
  <c r="G10" i="121" s="1"/>
  <c r="F9" i="121"/>
  <c r="G9" i="121" s="1"/>
  <c r="I12" i="121" s="1"/>
  <c r="I37" i="121" s="1"/>
  <c r="I116" i="121"/>
  <c r="I208" i="121"/>
  <c r="I156" i="121"/>
  <c r="I157" i="121"/>
  <c r="D120" i="121"/>
  <c r="G120" i="121" s="1"/>
  <c r="I121" i="121" s="1"/>
  <c r="F55" i="120"/>
  <c r="G55" i="120" s="1"/>
  <c r="F54" i="120"/>
  <c r="G54" i="120" s="1"/>
  <c r="F9" i="120"/>
  <c r="G9" i="120" s="1"/>
  <c r="F10" i="120"/>
  <c r="G10" i="120" s="1"/>
  <c r="F100" i="120"/>
  <c r="G100" i="120" s="1"/>
  <c r="F99" i="120"/>
  <c r="G99" i="120" s="1"/>
  <c r="I102" i="120" s="1"/>
  <c r="I127" i="120" s="1"/>
  <c r="F17" i="117" s="1"/>
  <c r="I69" i="120"/>
  <c r="F11" i="119"/>
  <c r="G11" i="119" s="1"/>
  <c r="F10" i="119"/>
  <c r="G10" i="119" s="1"/>
  <c r="I18" i="119"/>
  <c r="I25" i="119" s="1"/>
  <c r="F48" i="118"/>
  <c r="G48" i="118" s="1"/>
  <c r="I51" i="118" s="1"/>
  <c r="F49" i="118"/>
  <c r="G49" i="118" s="1"/>
  <c r="F93" i="118"/>
  <c r="G93" i="118" s="1"/>
  <c r="F94" i="118"/>
  <c r="G94" i="118" s="1"/>
  <c r="I13" i="119" l="1"/>
  <c r="I237" i="123"/>
  <c r="I102" i="128"/>
  <c r="I127" i="128" s="1"/>
  <c r="I421" i="121"/>
  <c r="I446" i="121" s="1"/>
  <c r="F24" i="117" s="1"/>
  <c r="I147" i="126"/>
  <c r="I37" i="128"/>
  <c r="F66" i="117" s="1"/>
  <c r="I37" i="127"/>
  <c r="F63" i="117" s="1"/>
  <c r="I193" i="125"/>
  <c r="I12" i="122"/>
  <c r="I37" i="122" s="1"/>
  <c r="F26" i="117" s="1"/>
  <c r="I374" i="126"/>
  <c r="I399" i="126" s="1"/>
  <c r="G402" i="126" s="1"/>
  <c r="I57" i="126"/>
  <c r="I82" i="126" s="1"/>
  <c r="F54" i="117" s="1"/>
  <c r="I250" i="126"/>
  <c r="I263" i="126" s="1"/>
  <c r="F60" i="117" s="1"/>
  <c r="I102" i="126"/>
  <c r="I127" i="126" s="1"/>
  <c r="F55" i="117" s="1"/>
  <c r="I329" i="126"/>
  <c r="I354" i="126" s="1"/>
  <c r="F56" i="117" s="1"/>
  <c r="I172" i="126"/>
  <c r="F57" i="117" s="1"/>
  <c r="I12" i="126"/>
  <c r="I37" i="126" s="1"/>
  <c r="F53" i="117" s="1"/>
  <c r="I12" i="124"/>
  <c r="I37" i="124" s="1"/>
  <c r="F40" i="117" s="1"/>
  <c r="I147" i="124"/>
  <c r="I172" i="124" s="1"/>
  <c r="F43" i="117" s="1"/>
  <c r="I102" i="125"/>
  <c r="I218" i="125"/>
  <c r="F50" i="117" s="1"/>
  <c r="I57" i="124"/>
  <c r="I82" i="124" s="1"/>
  <c r="F41" i="117" s="1"/>
  <c r="I102" i="123"/>
  <c r="I127" i="123" s="1"/>
  <c r="F34" i="117" s="1"/>
  <c r="I57" i="120"/>
  <c r="I82" i="120" s="1"/>
  <c r="F16" i="117" s="1"/>
  <c r="I127" i="124"/>
  <c r="F42" i="117" s="1"/>
  <c r="I76" i="118"/>
  <c r="G80" i="118" s="1"/>
  <c r="I192" i="126"/>
  <c r="I217" i="126" s="1"/>
  <c r="F58" i="117" s="1"/>
  <c r="I173" i="122"/>
  <c r="I163" i="121"/>
  <c r="I96" i="118"/>
  <c r="I114" i="118" s="1"/>
  <c r="I262" i="123"/>
  <c r="I57" i="121"/>
  <c r="I82" i="121" s="1"/>
  <c r="G86" i="121" s="1"/>
  <c r="I102" i="122"/>
  <c r="I127" i="122" s="1"/>
  <c r="F28" i="117" s="1"/>
  <c r="I192" i="123"/>
  <c r="I217" i="123" s="1"/>
  <c r="F36" i="117" s="1"/>
  <c r="I286" i="121"/>
  <c r="I311" i="121" s="1"/>
  <c r="F21" i="117" s="1"/>
  <c r="I82" i="127"/>
  <c r="I151" i="121"/>
  <c r="I176" i="121" s="1"/>
  <c r="I284" i="126"/>
  <c r="I309" i="126" s="1"/>
  <c r="G131" i="128"/>
  <c r="G130" i="128"/>
  <c r="G132" i="128" s="1"/>
  <c r="I133" i="128" s="1"/>
  <c r="G134" i="128" s="1"/>
  <c r="G86" i="128"/>
  <c r="G85" i="128"/>
  <c r="G87" i="128" s="1"/>
  <c r="I88" i="128" s="1"/>
  <c r="G89" i="128" s="1"/>
  <c r="I102" i="127"/>
  <c r="I127" i="127" s="1"/>
  <c r="G41" i="127"/>
  <c r="G40" i="127"/>
  <c r="G175" i="126"/>
  <c r="I12" i="125"/>
  <c r="I37" i="125" s="1"/>
  <c r="F46" i="117" s="1"/>
  <c r="I127" i="125"/>
  <c r="F48" i="117" s="1"/>
  <c r="G177" i="125"/>
  <c r="G176" i="125"/>
  <c r="I57" i="125"/>
  <c r="I82" i="125" s="1"/>
  <c r="F47" i="117" s="1"/>
  <c r="G175" i="124"/>
  <c r="G40" i="124"/>
  <c r="G41" i="124"/>
  <c r="I57" i="123"/>
  <c r="I82" i="123" s="1"/>
  <c r="F33" i="117" s="1"/>
  <c r="I147" i="123"/>
  <c r="I172" i="123" s="1"/>
  <c r="F35" i="117" s="1"/>
  <c r="I282" i="123"/>
  <c r="I307" i="123" s="1"/>
  <c r="F38" i="117" s="1"/>
  <c r="I12" i="123"/>
  <c r="I37" i="123" s="1"/>
  <c r="F32" i="117" s="1"/>
  <c r="G131" i="122"/>
  <c r="G41" i="122"/>
  <c r="G40" i="122"/>
  <c r="G42" i="122" s="1"/>
  <c r="I43" i="122" s="1"/>
  <c r="G44" i="122" s="1"/>
  <c r="I193" i="122"/>
  <c r="I218" i="122" s="1"/>
  <c r="F30" i="117" s="1"/>
  <c r="G86" i="122"/>
  <c r="G85" i="122"/>
  <c r="G87" i="122" s="1"/>
  <c r="I88" i="122" s="1"/>
  <c r="G89" i="122" s="1"/>
  <c r="G225" i="121"/>
  <c r="G224" i="121"/>
  <c r="I241" i="121"/>
  <c r="I266" i="121" s="1"/>
  <c r="F20" i="117" s="1"/>
  <c r="G315" i="121"/>
  <c r="G314" i="121"/>
  <c r="G316" i="121" s="1"/>
  <c r="I317" i="121" s="1"/>
  <c r="G318" i="121" s="1"/>
  <c r="I331" i="121"/>
  <c r="I356" i="121" s="1"/>
  <c r="F22" i="117" s="1"/>
  <c r="I104" i="121"/>
  <c r="I129" i="121" s="1"/>
  <c r="G41" i="121"/>
  <c r="G40" i="121"/>
  <c r="I376" i="121"/>
  <c r="I401" i="121" s="1"/>
  <c r="F23" i="117" s="1"/>
  <c r="G450" i="121"/>
  <c r="G449" i="121"/>
  <c r="G131" i="120"/>
  <c r="G130" i="120"/>
  <c r="G132" i="120" s="1"/>
  <c r="I133" i="120" s="1"/>
  <c r="G134" i="120" s="1"/>
  <c r="I12" i="120"/>
  <c r="I37" i="120" s="1"/>
  <c r="F15" i="117" s="1"/>
  <c r="I38" i="119"/>
  <c r="F13" i="117" s="1"/>
  <c r="G176" i="124" l="1"/>
  <c r="G40" i="128"/>
  <c r="G42" i="121"/>
  <c r="I43" i="121" s="1"/>
  <c r="G44" i="121" s="1"/>
  <c r="G178" i="125"/>
  <c r="I179" i="125" s="1"/>
  <c r="G180" i="125" s="1"/>
  <c r="G41" i="128"/>
  <c r="G85" i="127"/>
  <c r="G64" i="117"/>
  <c r="G451" i="121"/>
  <c r="I452" i="121" s="1"/>
  <c r="G453" i="121" s="1"/>
  <c r="G177" i="124"/>
  <c r="I178" i="124" s="1"/>
  <c r="G179" i="124" s="1"/>
  <c r="G42" i="127"/>
  <c r="I43" i="127" s="1"/>
  <c r="G44" i="127" s="1"/>
  <c r="G176" i="122"/>
  <c r="F29" i="117"/>
  <c r="G130" i="122"/>
  <c r="G177" i="122"/>
  <c r="G176" i="126"/>
  <c r="G177" i="126" s="1"/>
  <c r="I178" i="126" s="1"/>
  <c r="G179" i="126" s="1"/>
  <c r="F61" i="117"/>
  <c r="G85" i="126"/>
  <c r="G86" i="126"/>
  <c r="G87" i="126" s="1"/>
  <c r="I88" i="126" s="1"/>
  <c r="G89" i="126" s="1"/>
  <c r="G41" i="126"/>
  <c r="G40" i="126"/>
  <c r="G220" i="126"/>
  <c r="G403" i="126"/>
  <c r="G404" i="126" s="1"/>
  <c r="I405" i="126" s="1"/>
  <c r="G406" i="126" s="1"/>
  <c r="F59" i="117"/>
  <c r="G221" i="126"/>
  <c r="G130" i="124"/>
  <c r="G131" i="124"/>
  <c r="G132" i="124" s="1"/>
  <c r="I133" i="124" s="1"/>
  <c r="G134" i="124" s="1"/>
  <c r="G221" i="125"/>
  <c r="G222" i="125"/>
  <c r="G86" i="127"/>
  <c r="G87" i="127" s="1"/>
  <c r="I88" i="127" s="1"/>
  <c r="G89" i="127" s="1"/>
  <c r="G86" i="124"/>
  <c r="G85" i="124"/>
  <c r="G79" i="118"/>
  <c r="G117" i="118"/>
  <c r="F8" i="117"/>
  <c r="G81" i="118"/>
  <c r="I82" i="118" s="1"/>
  <c r="G83" i="118" s="1"/>
  <c r="G118" i="118"/>
  <c r="G221" i="123"/>
  <c r="G222" i="123" s="1"/>
  <c r="I223" i="123" s="1"/>
  <c r="G224" i="123" s="1"/>
  <c r="G220" i="123"/>
  <c r="G266" i="123"/>
  <c r="F37" i="117"/>
  <c r="G131" i="123"/>
  <c r="G130" i="123"/>
  <c r="G42" i="124"/>
  <c r="I43" i="124" s="1"/>
  <c r="G44" i="124" s="1"/>
  <c r="G265" i="123"/>
  <c r="G267" i="123" s="1"/>
  <c r="I268" i="123" s="1"/>
  <c r="G269" i="123" s="1"/>
  <c r="G85" i="121"/>
  <c r="G87" i="121" s="1"/>
  <c r="I88" i="121" s="1"/>
  <c r="G89" i="121" s="1"/>
  <c r="G226" i="121"/>
  <c r="I227" i="121" s="1"/>
  <c r="G228" i="121" s="1"/>
  <c r="G131" i="127"/>
  <c r="G130" i="127"/>
  <c r="G42" i="126"/>
  <c r="I43" i="126" s="1"/>
  <c r="G44" i="126" s="1"/>
  <c r="G222" i="126"/>
  <c r="I223" i="126" s="1"/>
  <c r="G224" i="126" s="1"/>
  <c r="G313" i="126"/>
  <c r="G312" i="126"/>
  <c r="G267" i="126"/>
  <c r="G266" i="126"/>
  <c r="G358" i="126"/>
  <c r="G357" i="126"/>
  <c r="G131" i="126"/>
  <c r="G130" i="126"/>
  <c r="G41" i="125"/>
  <c r="G40" i="125"/>
  <c r="G86" i="125"/>
  <c r="G85" i="125"/>
  <c r="G131" i="125"/>
  <c r="G130" i="125"/>
  <c r="G41" i="123"/>
  <c r="G40" i="123"/>
  <c r="G176" i="123"/>
  <c r="G175" i="123"/>
  <c r="G86" i="123"/>
  <c r="G85" i="123"/>
  <c r="G87" i="123" s="1"/>
  <c r="I88" i="123" s="1"/>
  <c r="G89" i="123" s="1"/>
  <c r="G311" i="123"/>
  <c r="G310" i="123"/>
  <c r="G312" i="123" s="1"/>
  <c r="I313" i="123" s="1"/>
  <c r="G314" i="123" s="1"/>
  <c r="G132" i="122"/>
  <c r="I133" i="122" s="1"/>
  <c r="G134" i="122" s="1"/>
  <c r="G222" i="122"/>
  <c r="G221" i="122"/>
  <c r="G133" i="121"/>
  <c r="G132" i="121"/>
  <c r="G360" i="121"/>
  <c r="G359" i="121"/>
  <c r="G361" i="121" s="1"/>
  <c r="I362" i="121" s="1"/>
  <c r="G363" i="121" s="1"/>
  <c r="G180" i="121"/>
  <c r="G179" i="121"/>
  <c r="G181" i="121" s="1"/>
  <c r="I182" i="121" s="1"/>
  <c r="G183" i="121" s="1"/>
  <c r="G270" i="121"/>
  <c r="G269" i="121"/>
  <c r="G271" i="121" s="1"/>
  <c r="I272" i="121" s="1"/>
  <c r="G273" i="121" s="1"/>
  <c r="G405" i="121"/>
  <c r="G404" i="121"/>
  <c r="G406" i="121" s="1"/>
  <c r="I407" i="121" s="1"/>
  <c r="G408" i="121" s="1"/>
  <c r="G86" i="120"/>
  <c r="G85" i="120"/>
  <c r="G40" i="120"/>
  <c r="G41" i="120"/>
  <c r="G42" i="119"/>
  <c r="G41" i="119"/>
  <c r="F65" i="130" l="1"/>
  <c r="H64" i="117"/>
  <c r="G314" i="126"/>
  <c r="I315" i="126" s="1"/>
  <c r="G316" i="126" s="1"/>
  <c r="G42" i="123"/>
  <c r="I43" i="123" s="1"/>
  <c r="G44" i="123" s="1"/>
  <c r="G132" i="126"/>
  <c r="I133" i="126" s="1"/>
  <c r="G134" i="126" s="1"/>
  <c r="G132" i="125"/>
  <c r="I133" i="125" s="1"/>
  <c r="G134" i="125" s="1"/>
  <c r="G132" i="127"/>
  <c r="I133" i="127" s="1"/>
  <c r="G134" i="127" s="1"/>
  <c r="G42" i="128"/>
  <c r="I43" i="128" s="1"/>
  <c r="G44" i="128" s="1"/>
  <c r="G178" i="122"/>
  <c r="I179" i="122" s="1"/>
  <c r="G180" i="122" s="1"/>
  <c r="G87" i="125"/>
  <c r="I88" i="125" s="1"/>
  <c r="G89" i="125" s="1"/>
  <c r="G42" i="125"/>
  <c r="I43" i="125" s="1"/>
  <c r="G44" i="125" s="1"/>
  <c r="G359" i="126"/>
  <c r="I360" i="126" s="1"/>
  <c r="G361" i="126" s="1"/>
  <c r="G223" i="125"/>
  <c r="I224" i="125" s="1"/>
  <c r="G225" i="125" s="1"/>
  <c r="G87" i="124"/>
  <c r="I88" i="124" s="1"/>
  <c r="G89" i="124" s="1"/>
  <c r="G119" i="118"/>
  <c r="I120" i="118" s="1"/>
  <c r="G121" i="118" s="1"/>
  <c r="F9" i="117" s="1"/>
  <c r="G9" i="117" s="1"/>
  <c r="H9" i="117" s="1"/>
  <c r="G132" i="123"/>
  <c r="I133" i="123" s="1"/>
  <c r="G134" i="123" s="1"/>
  <c r="G177" i="123"/>
  <c r="I178" i="123" s="1"/>
  <c r="G179" i="123" s="1"/>
  <c r="G223" i="122"/>
  <c r="I224" i="122" s="1"/>
  <c r="G225" i="122" s="1"/>
  <c r="G87" i="120"/>
  <c r="I88" i="120" s="1"/>
  <c r="G89" i="120" s="1"/>
  <c r="G42" i="120"/>
  <c r="I43" i="120" s="1"/>
  <c r="G44" i="120" s="1"/>
  <c r="G134" i="121"/>
  <c r="I135" i="121" s="1"/>
  <c r="G136" i="121" s="1"/>
  <c r="G268" i="126"/>
  <c r="I269" i="126" s="1"/>
  <c r="G270" i="126" s="1"/>
  <c r="G43" i="119"/>
  <c r="I44" i="119" s="1"/>
  <c r="G45" i="119" s="1"/>
  <c r="F11" i="130" l="1"/>
  <c r="G11" i="130" s="1"/>
  <c r="H11" i="130" s="1"/>
  <c r="D73" i="117"/>
  <c r="AN43" i="115" l="1"/>
  <c r="AN45" i="115" s="1"/>
  <c r="AN13" i="114"/>
  <c r="AN43" i="114" s="1"/>
  <c r="AN45" i="114" s="1"/>
  <c r="E61" i="117" s="1"/>
  <c r="G61" i="117" s="1"/>
  <c r="H61" i="117" s="1"/>
  <c r="AN13" i="110"/>
  <c r="AN43" i="110" s="1"/>
  <c r="AN45" i="110" s="1"/>
  <c r="E60" i="117" s="1"/>
  <c r="AN43" i="107"/>
  <c r="AN45" i="107" s="1"/>
  <c r="E59" i="117" s="1"/>
  <c r="AN43" i="105"/>
  <c r="AN45" i="105" s="1"/>
  <c r="E57" i="117" s="1"/>
  <c r="AN43" i="104"/>
  <c r="AN45" i="104" s="1"/>
  <c r="E56" i="117" s="1"/>
  <c r="AN43" i="103"/>
  <c r="AN45" i="103" s="1"/>
  <c r="E55" i="117" s="1"/>
  <c r="AN13" i="101"/>
  <c r="AN43" i="101" s="1"/>
  <c r="AN45" i="101" s="1"/>
  <c r="E53" i="117" s="1"/>
  <c r="E61" i="130" l="1"/>
  <c r="G60" i="117"/>
  <c r="H60" i="117" s="1"/>
  <c r="E54" i="130"/>
  <c r="G53" i="117"/>
  <c r="H53" i="117" s="1"/>
  <c r="E60" i="130"/>
  <c r="G59" i="117"/>
  <c r="H59" i="117" s="1"/>
  <c r="E58" i="130"/>
  <c r="G57" i="117"/>
  <c r="H57" i="117" s="1"/>
  <c r="E57" i="130"/>
  <c r="G56" i="117"/>
  <c r="H56" i="117" s="1"/>
  <c r="E56" i="130"/>
  <c r="G55" i="117"/>
  <c r="H55" i="117" s="1"/>
  <c r="E45" i="130"/>
  <c r="H44" i="117"/>
  <c r="E62" i="130"/>
  <c r="F62" i="130"/>
  <c r="H62" i="130" s="1"/>
  <c r="AN43" i="106"/>
  <c r="AN45" i="106" s="1"/>
  <c r="E58" i="117" s="1"/>
  <c r="AN43" i="102"/>
  <c r="AN45" i="102" s="1"/>
  <c r="E54" i="117" s="1"/>
  <c r="AN45" i="98"/>
  <c r="AN47" i="98" s="1"/>
  <c r="E66" i="117" s="1"/>
  <c r="AN13" i="97"/>
  <c r="AN43" i="97" s="1"/>
  <c r="AN45" i="97" s="1"/>
  <c r="E63" i="117" s="1"/>
  <c r="F58" i="130" l="1"/>
  <c r="H58" i="130" s="1"/>
  <c r="I58" i="130" s="1"/>
  <c r="F45" i="130"/>
  <c r="O45" i="130" s="1"/>
  <c r="P45" i="130" s="1"/>
  <c r="Q45" i="130" s="1"/>
  <c r="F60" i="130"/>
  <c r="H60" i="130" s="1"/>
  <c r="I60" i="130" s="1"/>
  <c r="F56" i="130"/>
  <c r="H56" i="130" s="1"/>
  <c r="I56" i="130" s="1"/>
  <c r="F57" i="130"/>
  <c r="H57" i="130" s="1"/>
  <c r="I57" i="130" s="1"/>
  <c r="F61" i="130"/>
  <c r="H61" i="130" s="1"/>
  <c r="I61" i="130" s="1"/>
  <c r="F54" i="130"/>
  <c r="H54" i="130" s="1"/>
  <c r="I54" i="130" s="1"/>
  <c r="E64" i="130"/>
  <c r="G63" i="117"/>
  <c r="H63" i="117" s="1"/>
  <c r="E67" i="130"/>
  <c r="G66" i="117"/>
  <c r="H66" i="117" s="1"/>
  <c r="E59" i="130"/>
  <c r="G58" i="117"/>
  <c r="H58" i="117" s="1"/>
  <c r="E55" i="130"/>
  <c r="G54" i="117"/>
  <c r="H54" i="117" s="1"/>
  <c r="I62" i="130"/>
  <c r="AN13" i="94"/>
  <c r="AN43" i="94" s="1"/>
  <c r="AN45" i="94" s="1"/>
  <c r="E49" i="117" s="1"/>
  <c r="AN13" i="93"/>
  <c r="AN43" i="93" s="1"/>
  <c r="AN45" i="93" s="1"/>
  <c r="E50" i="117" s="1"/>
  <c r="AN13" i="91"/>
  <c r="AN43" i="91" s="1"/>
  <c r="AN45" i="91" s="1"/>
  <c r="E48" i="117" s="1"/>
  <c r="AN13" i="90"/>
  <c r="AN43" i="90" s="1"/>
  <c r="AN45" i="90" s="1"/>
  <c r="E47" i="117" s="1"/>
  <c r="AN13" i="89"/>
  <c r="AN43" i="89" s="1"/>
  <c r="AN45" i="89" s="1"/>
  <c r="E46" i="117" s="1"/>
  <c r="AN43" i="88"/>
  <c r="AN45" i="88" s="1"/>
  <c r="E43" i="117" s="1"/>
  <c r="AN13" i="87"/>
  <c r="AN20" i="85"/>
  <c r="AN18" i="85"/>
  <c r="AN18" i="84"/>
  <c r="AN43" i="84"/>
  <c r="AN45" i="84" s="1"/>
  <c r="E38" i="117" s="1"/>
  <c r="AN43" i="82"/>
  <c r="AN45" i="82" s="1"/>
  <c r="E36" i="117" s="1"/>
  <c r="AN43" i="81"/>
  <c r="AN45" i="81" s="1"/>
  <c r="E35" i="117" s="1"/>
  <c r="AN43" i="76"/>
  <c r="AN45" i="76" s="1"/>
  <c r="E30" i="117" s="1"/>
  <c r="AN43" i="75"/>
  <c r="AN45" i="75" s="1"/>
  <c r="E29" i="117" s="1"/>
  <c r="AN43" i="70"/>
  <c r="AN45" i="70" s="1"/>
  <c r="E23" i="117" s="1"/>
  <c r="AN14" i="69"/>
  <c r="AN13" i="69"/>
  <c r="AN23" i="68"/>
  <c r="AN24" i="68"/>
  <c r="AN21" i="68"/>
  <c r="AN20" i="68"/>
  <c r="AN18" i="68"/>
  <c r="AN15" i="68"/>
  <c r="AN14" i="68"/>
  <c r="AN44" i="65"/>
  <c r="AN46" i="65" s="1"/>
  <c r="E16" i="117" s="1"/>
  <c r="G47" i="117" l="1"/>
  <c r="E48" i="130"/>
  <c r="F55" i="130"/>
  <c r="H55" i="130" s="1"/>
  <c r="I55" i="130" s="1"/>
  <c r="F59" i="130"/>
  <c r="H59" i="130" s="1"/>
  <c r="I59" i="130" s="1"/>
  <c r="F67" i="130"/>
  <c r="R67" i="130" s="1"/>
  <c r="I65" i="117"/>
  <c r="F64" i="130"/>
  <c r="R64" i="130" s="1"/>
  <c r="I62" i="117"/>
  <c r="I52" i="117"/>
  <c r="E47" i="130"/>
  <c r="G46" i="117"/>
  <c r="H46" i="117" s="1"/>
  <c r="E49" i="130"/>
  <c r="G48" i="117"/>
  <c r="H48" i="117" s="1"/>
  <c r="E50" i="130"/>
  <c r="G49" i="117"/>
  <c r="H49" i="117" s="1"/>
  <c r="E44" i="130"/>
  <c r="G43" i="117"/>
  <c r="H43" i="117" s="1"/>
  <c r="E39" i="130"/>
  <c r="G38" i="117"/>
  <c r="H38" i="117" s="1"/>
  <c r="E37" i="130"/>
  <c r="G36" i="117"/>
  <c r="H36" i="117" s="1"/>
  <c r="E36" i="130"/>
  <c r="G35" i="117"/>
  <c r="H35" i="117" s="1"/>
  <c r="E31" i="130"/>
  <c r="G30" i="117"/>
  <c r="H30" i="117" s="1"/>
  <c r="E30" i="130"/>
  <c r="G29" i="117"/>
  <c r="H29" i="117" s="1"/>
  <c r="E24" i="130"/>
  <c r="G23" i="117"/>
  <c r="H23" i="117" s="1"/>
  <c r="E18" i="130"/>
  <c r="G16" i="117"/>
  <c r="H16" i="117" s="1"/>
  <c r="E51" i="130"/>
  <c r="G50" i="117"/>
  <c r="H50" i="117" s="1"/>
  <c r="AN43" i="73"/>
  <c r="AN45" i="73" s="1"/>
  <c r="E28" i="117" s="1"/>
  <c r="AN43" i="71"/>
  <c r="AN45" i="71" s="1"/>
  <c r="E24" i="117" s="1"/>
  <c r="AN43" i="83"/>
  <c r="AN45" i="83" s="1"/>
  <c r="E37" i="117" s="1"/>
  <c r="AN43" i="87"/>
  <c r="AN45" i="87" s="1"/>
  <c r="E42" i="117" s="1"/>
  <c r="AN43" i="86"/>
  <c r="AN45" i="86" s="1"/>
  <c r="E41" i="117" s="1"/>
  <c r="AN43" i="85"/>
  <c r="AN45" i="85" s="1"/>
  <c r="E40" i="117" s="1"/>
  <c r="AN43" i="80"/>
  <c r="AN45" i="80" s="1"/>
  <c r="E34" i="117" s="1"/>
  <c r="AN43" i="79"/>
  <c r="AN45" i="79" s="1"/>
  <c r="E33" i="117" s="1"/>
  <c r="AN43" i="78"/>
  <c r="AN45" i="78" s="1"/>
  <c r="E32" i="117" s="1"/>
  <c r="AN43" i="74"/>
  <c r="AN45" i="74" s="1"/>
  <c r="E27" i="117" s="1"/>
  <c r="AN43" i="72"/>
  <c r="AN45" i="72" s="1"/>
  <c r="E26" i="117" s="1"/>
  <c r="AN43" i="68"/>
  <c r="AN45" i="68" s="1"/>
  <c r="AN51" i="67"/>
  <c r="AN53" i="67" s="1"/>
  <c r="E20" i="117" s="1"/>
  <c r="AN43" i="66"/>
  <c r="AN45" i="66" s="1"/>
  <c r="E17" i="117" s="1"/>
  <c r="AN43" i="64"/>
  <c r="AN45" i="64" s="1"/>
  <c r="H47" i="117" l="1"/>
  <c r="F48" i="130"/>
  <c r="I48" i="130" s="1"/>
  <c r="J48" i="130" s="1"/>
  <c r="E15" i="117"/>
  <c r="E17" i="130" s="1"/>
  <c r="AP45" i="64"/>
  <c r="F36" i="130"/>
  <c r="P36" i="130" s="1"/>
  <c r="Q36" i="130" s="1"/>
  <c r="R36" i="130" s="1"/>
  <c r="F24" i="130"/>
  <c r="M24" i="130" s="1"/>
  <c r="N24" i="130" s="1"/>
  <c r="O24" i="130" s="1"/>
  <c r="P24" i="130" s="1"/>
  <c r="F49" i="130"/>
  <c r="M49" i="130" s="1"/>
  <c r="N49" i="130" s="1"/>
  <c r="O49" i="130" s="1"/>
  <c r="P49" i="130" s="1"/>
  <c r="F39" i="130"/>
  <c r="P39" i="130" s="1"/>
  <c r="Q39" i="130" s="1"/>
  <c r="R39" i="130" s="1"/>
  <c r="F37" i="130"/>
  <c r="P37" i="130" s="1"/>
  <c r="Q37" i="130" s="1"/>
  <c r="R37" i="130" s="1"/>
  <c r="F30" i="130"/>
  <c r="K30" i="130" s="1"/>
  <c r="L30" i="130" s="1"/>
  <c r="M30" i="130" s="1"/>
  <c r="N30" i="130" s="1"/>
  <c r="F31" i="130"/>
  <c r="K31" i="130" s="1"/>
  <c r="L31" i="130" s="1"/>
  <c r="M31" i="130" s="1"/>
  <c r="N31" i="130" s="1"/>
  <c r="F44" i="130"/>
  <c r="O44" i="130" s="1"/>
  <c r="P44" i="130" s="1"/>
  <c r="Q44" i="130" s="1"/>
  <c r="F50" i="130"/>
  <c r="M50" i="130" s="1"/>
  <c r="N50" i="130" s="1"/>
  <c r="O50" i="130" s="1"/>
  <c r="P50" i="130" s="1"/>
  <c r="F47" i="130"/>
  <c r="I47" i="130" s="1"/>
  <c r="J47" i="130" s="1"/>
  <c r="I45" i="117"/>
  <c r="J62" i="117"/>
  <c r="K62" i="117"/>
  <c r="L62" i="117"/>
  <c r="M62" i="117"/>
  <c r="K52" i="117"/>
  <c r="J52" i="117"/>
  <c r="L65" i="117"/>
  <c r="M65" i="117"/>
  <c r="J65" i="117"/>
  <c r="K65" i="117"/>
  <c r="F18" i="130"/>
  <c r="I18" i="130" s="1"/>
  <c r="E21" i="117"/>
  <c r="E22" i="130" s="1"/>
  <c r="AM15" i="69"/>
  <c r="AN15" i="69" s="1"/>
  <c r="AN43" i="69" s="1"/>
  <c r="AN45" i="69" s="1"/>
  <c r="E22" i="117" s="1"/>
  <c r="E23" i="130" s="1"/>
  <c r="E43" i="130"/>
  <c r="G42" i="117"/>
  <c r="H42" i="117" s="1"/>
  <c r="E42" i="130"/>
  <c r="G41" i="117"/>
  <c r="H41" i="117" s="1"/>
  <c r="E41" i="130"/>
  <c r="G40" i="117"/>
  <c r="H40" i="117" s="1"/>
  <c r="E38" i="130"/>
  <c r="G37" i="117"/>
  <c r="H37" i="117" s="1"/>
  <c r="E35" i="130"/>
  <c r="G34" i="117"/>
  <c r="H34" i="117" s="1"/>
  <c r="E34" i="130"/>
  <c r="G33" i="117"/>
  <c r="H33" i="117" s="1"/>
  <c r="E33" i="130"/>
  <c r="G32" i="117"/>
  <c r="H32" i="117" s="1"/>
  <c r="E29" i="130"/>
  <c r="G28" i="117"/>
  <c r="H28" i="117" s="1"/>
  <c r="E28" i="130"/>
  <c r="G27" i="117"/>
  <c r="H27" i="117" s="1"/>
  <c r="E27" i="130"/>
  <c r="G26" i="117"/>
  <c r="H26" i="117" s="1"/>
  <c r="E25" i="130"/>
  <c r="G24" i="117"/>
  <c r="H24" i="117" s="1"/>
  <c r="E21" i="130"/>
  <c r="G20" i="117"/>
  <c r="E19" i="130"/>
  <c r="G17" i="117"/>
  <c r="H17" i="117" s="1"/>
  <c r="F51" i="130"/>
  <c r="H20" i="117" l="1"/>
  <c r="F21" i="130"/>
  <c r="M21" i="130" s="1"/>
  <c r="N21" i="130" s="1"/>
  <c r="O21" i="130" s="1"/>
  <c r="G15" i="117"/>
  <c r="H15" i="117" s="1"/>
  <c r="F29" i="130"/>
  <c r="K29" i="130" s="1"/>
  <c r="L29" i="130" s="1"/>
  <c r="M29" i="130" s="1"/>
  <c r="N29" i="130" s="1"/>
  <c r="F38" i="130"/>
  <c r="P38" i="130" s="1"/>
  <c r="Q38" i="130" s="1"/>
  <c r="R38" i="130" s="1"/>
  <c r="F34" i="130"/>
  <c r="K34" i="130" s="1"/>
  <c r="L34" i="130" s="1"/>
  <c r="M34" i="130" s="1"/>
  <c r="N34" i="130" s="1"/>
  <c r="F42" i="130"/>
  <c r="O42" i="130" s="1"/>
  <c r="P42" i="130" s="1"/>
  <c r="Q42" i="130" s="1"/>
  <c r="F25" i="130"/>
  <c r="M25" i="130" s="1"/>
  <c r="N25" i="130" s="1"/>
  <c r="O25" i="130" s="1"/>
  <c r="P25" i="130" s="1"/>
  <c r="F28" i="130"/>
  <c r="K28" i="130" s="1"/>
  <c r="L28" i="130" s="1"/>
  <c r="M28" i="130" s="1"/>
  <c r="N28" i="130" s="1"/>
  <c r="F35" i="130"/>
  <c r="P35" i="130" s="1"/>
  <c r="Q35" i="130" s="1"/>
  <c r="R35" i="130" s="1"/>
  <c r="F43" i="130"/>
  <c r="O43" i="130" s="1"/>
  <c r="P43" i="130" s="1"/>
  <c r="Q43" i="130" s="1"/>
  <c r="F19" i="130"/>
  <c r="J19" i="130" s="1"/>
  <c r="K19" i="130" s="1"/>
  <c r="L19" i="130" s="1"/>
  <c r="J18" i="130"/>
  <c r="K18" i="130" s="1"/>
  <c r="L18" i="130" s="1"/>
  <c r="F33" i="130"/>
  <c r="K33" i="130" s="1"/>
  <c r="L33" i="130" s="1"/>
  <c r="M33" i="130" s="1"/>
  <c r="N33" i="130" s="1"/>
  <c r="I31" i="117"/>
  <c r="F41" i="130"/>
  <c r="O41" i="130" s="1"/>
  <c r="P41" i="130" s="1"/>
  <c r="Q41" i="130" s="1"/>
  <c r="I39" i="117"/>
  <c r="N65" i="117"/>
  <c r="N62" i="117"/>
  <c r="M45" i="117"/>
  <c r="J45" i="117"/>
  <c r="K45" i="117"/>
  <c r="L45" i="117"/>
  <c r="F27" i="130"/>
  <c r="K27" i="130" s="1"/>
  <c r="L27" i="130" s="1"/>
  <c r="M27" i="130" s="1"/>
  <c r="N27" i="130" s="1"/>
  <c r="I25" i="117"/>
  <c r="G21" i="117"/>
  <c r="H21" i="117" s="1"/>
  <c r="G22" i="117"/>
  <c r="H22" i="117" s="1"/>
  <c r="J51" i="130"/>
  <c r="I51" i="130"/>
  <c r="AN43" i="63"/>
  <c r="AN45" i="63" s="1"/>
  <c r="AN37" i="60"/>
  <c r="AN39" i="60" s="1"/>
  <c r="E8" i="117" s="1"/>
  <c r="I14" i="117" l="1"/>
  <c r="M14" i="117" s="1"/>
  <c r="F17" i="130"/>
  <c r="J17" i="130" s="1"/>
  <c r="K17" i="130" s="1"/>
  <c r="L17" i="130" s="1"/>
  <c r="M17" i="130" s="1"/>
  <c r="I19" i="130"/>
  <c r="R68" i="130"/>
  <c r="F23" i="130"/>
  <c r="M23" i="130" s="1"/>
  <c r="N23" i="130" s="1"/>
  <c r="O23" i="130" s="1"/>
  <c r="P23" i="130" s="1"/>
  <c r="F22" i="130"/>
  <c r="M22" i="130" s="1"/>
  <c r="N22" i="130" s="1"/>
  <c r="O22" i="130" s="1"/>
  <c r="P22" i="130" s="1"/>
  <c r="Q68" i="130"/>
  <c r="M39" i="117"/>
  <c r="J39" i="117"/>
  <c r="K39" i="117"/>
  <c r="L39" i="117"/>
  <c r="M31" i="117"/>
  <c r="K31" i="117"/>
  <c r="L31" i="117"/>
  <c r="J31" i="117"/>
  <c r="N45" i="117"/>
  <c r="I19" i="117"/>
  <c r="K25" i="117"/>
  <c r="L25" i="117"/>
  <c r="J25" i="117"/>
  <c r="M25" i="117"/>
  <c r="N68" i="130"/>
  <c r="P21" i="130"/>
  <c r="E15" i="130"/>
  <c r="G13" i="117"/>
  <c r="H13" i="117" s="1"/>
  <c r="E10" i="130"/>
  <c r="G8" i="117"/>
  <c r="H8" i="117" s="1"/>
  <c r="K51" i="130"/>
  <c r="AN45" i="59"/>
  <c r="E7" i="117" s="1"/>
  <c r="M68" i="130" l="1"/>
  <c r="L14" i="117"/>
  <c r="J68" i="130"/>
  <c r="K14" i="117"/>
  <c r="J14" i="117"/>
  <c r="O68" i="130"/>
  <c r="P68" i="130"/>
  <c r="F10" i="130"/>
  <c r="G10" i="130" s="1"/>
  <c r="N31" i="117"/>
  <c r="F15" i="130"/>
  <c r="H15" i="130" s="1"/>
  <c r="I15" i="130" s="1"/>
  <c r="I68" i="130" s="1"/>
  <c r="I12" i="117"/>
  <c r="M19" i="117"/>
  <c r="J19" i="117"/>
  <c r="K19" i="117"/>
  <c r="L19" i="117"/>
  <c r="N39" i="117"/>
  <c r="N25" i="117"/>
  <c r="E9" i="130"/>
  <c r="G7" i="117"/>
  <c r="H7" i="117" s="1"/>
  <c r="L51" i="130"/>
  <c r="L68" i="130" s="1"/>
  <c r="K68" i="130"/>
  <c r="N14" i="117" l="1"/>
  <c r="F9" i="130"/>
  <c r="F68" i="130" s="1"/>
  <c r="I6" i="117"/>
  <c r="N19" i="117"/>
  <c r="M12" i="117"/>
  <c r="L12" i="117"/>
  <c r="J12" i="117"/>
  <c r="K12" i="117"/>
  <c r="L73" i="117" s="1"/>
  <c r="H10" i="130"/>
  <c r="G68" i="117"/>
  <c r="N12" i="117" l="1"/>
  <c r="G9" i="130"/>
  <c r="M6" i="117"/>
  <c r="J6" i="117"/>
  <c r="J73" i="117"/>
  <c r="G70" i="117"/>
  <c r="G76" i="117"/>
  <c r="F69" i="130" s="1"/>
  <c r="F71" i="130" s="1"/>
  <c r="G73" i="117"/>
  <c r="G71" i="117"/>
  <c r="G72" i="117"/>
  <c r="H9" i="130" l="1"/>
  <c r="G68" i="130"/>
  <c r="N6" i="117"/>
  <c r="K73" i="117"/>
  <c r="I22" i="129"/>
  <c r="J76" i="117"/>
  <c r="G74" i="117"/>
  <c r="G78" i="117" s="1"/>
  <c r="L52" i="117"/>
  <c r="M52" i="117"/>
  <c r="N73" i="117" s="1"/>
  <c r="G69" i="130"/>
  <c r="H69" i="130" s="1"/>
  <c r="I69" i="130" s="1"/>
  <c r="J69" i="130" s="1"/>
  <c r="K69" i="130" s="1"/>
  <c r="L69" i="130" s="1"/>
  <c r="M69" i="130" s="1"/>
  <c r="N69" i="130" s="1"/>
  <c r="O69" i="130" s="1"/>
  <c r="P69" i="130" s="1"/>
  <c r="Q69" i="130" s="1"/>
  <c r="R69" i="130" s="1"/>
  <c r="H79" i="117" l="1"/>
  <c r="H80" i="117" s="1"/>
  <c r="M73" i="117"/>
  <c r="M79" i="117" s="1"/>
  <c r="N79" i="117"/>
  <c r="J79" i="117"/>
  <c r="N52" i="117"/>
  <c r="L79" i="117"/>
  <c r="H68" i="130"/>
  <c r="G71" i="130"/>
  <c r="O73" i="117" l="1"/>
  <c r="K79" i="117"/>
  <c r="O79" i="117" s="1"/>
  <c r="H71" i="130"/>
  <c r="I71" i="130" s="1"/>
  <c r="J71" i="130" s="1"/>
  <c r="K71" i="130" s="1"/>
  <c r="L71" i="130" s="1"/>
  <c r="M71" i="130" s="1"/>
  <c r="N71" i="130" s="1"/>
  <c r="O71" i="130" s="1"/>
  <c r="P71" i="130" s="1"/>
  <c r="Q71" i="130" s="1"/>
  <c r="R71" i="130" s="1"/>
</calcChain>
</file>

<file path=xl/sharedStrings.xml><?xml version="1.0" encoding="utf-8"?>
<sst xmlns="http://schemas.openxmlformats.org/spreadsheetml/2006/main" count="6073" uniqueCount="476">
  <si>
    <t>SISTEMA INTEGRADO DE GESTIÓN</t>
  </si>
  <si>
    <t>CÓDIGO: GPL-FO-024</t>
  </si>
  <si>
    <t>VERSIÓN:01</t>
  </si>
  <si>
    <t>MEMORIAS DE CÁLCULO DE OBRA</t>
  </si>
  <si>
    <t>PÁGINA: 1 DE 1</t>
  </si>
  <si>
    <t>FECHA</t>
  </si>
  <si>
    <t>DD</t>
  </si>
  <si>
    <t>MM</t>
  </si>
  <si>
    <t>AA</t>
  </si>
  <si>
    <t>CORTE N°</t>
  </si>
  <si>
    <t>ELABORÓ</t>
  </si>
  <si>
    <t>OBJETO DEL CONTRATO</t>
  </si>
  <si>
    <t>INTERVENTOR</t>
  </si>
  <si>
    <t>NIT O C.C.</t>
  </si>
  <si>
    <t>CONTRATO  DE INTERVENTORIA N°</t>
  </si>
  <si>
    <t>CONTRATISTA</t>
  </si>
  <si>
    <t>CONTRATO DE OBRA N°</t>
  </si>
  <si>
    <t>PRELIMINARES</t>
  </si>
  <si>
    <t>ITEM</t>
  </si>
  <si>
    <t>UNID.</t>
  </si>
  <si>
    <t>M2</t>
  </si>
  <si>
    <t>UBICACIÓN</t>
  </si>
  <si>
    <t>GENERAL</t>
  </si>
  <si>
    <t>Fecha</t>
  </si>
  <si>
    <t>Localización</t>
  </si>
  <si>
    <t>Dimensiones</t>
  </si>
  <si>
    <t>No Elem.</t>
  </si>
  <si>
    <t>Medida Total</t>
  </si>
  <si>
    <t>Ancho</t>
  </si>
  <si>
    <t>Alto</t>
  </si>
  <si>
    <t>Longitud</t>
  </si>
  <si>
    <t xml:space="preserve">Subtotal </t>
  </si>
  <si>
    <t>TOTAL</t>
  </si>
  <si>
    <t>1.1</t>
  </si>
  <si>
    <t>DESMONTES (SANITARIOS, CIELO RASOS, CARPINTERIA, ELÉCTRICOS)</t>
  </si>
  <si>
    <t>Área</t>
  </si>
  <si>
    <t>DEMOLICIONES (MUROS, PISOS)</t>
  </si>
  <si>
    <t>2.1</t>
  </si>
  <si>
    <t>OBRAS DE URBANISMO</t>
  </si>
  <si>
    <t>ML</t>
  </si>
  <si>
    <t>Rampa acceso 1</t>
  </si>
  <si>
    <t>3.1</t>
  </si>
  <si>
    <t>1.3</t>
  </si>
  <si>
    <t>1.2</t>
  </si>
  <si>
    <t>OBRAS EN CUBIERTA</t>
  </si>
  <si>
    <t>CUBIERTA EN TEJA ARQUITECTONICA ACESCO O SIMILAR</t>
  </si>
  <si>
    <t>3.2</t>
  </si>
  <si>
    <t>3.3</t>
  </si>
  <si>
    <t>MEDIACAÑA EN MORTERO 1:4</t>
  </si>
  <si>
    <t>MAMPOSTERIA Y PINTURA</t>
  </si>
  <si>
    <t>PAÑETE LISO MUROS  1:4</t>
  </si>
  <si>
    <t>PAÑETE IMPERMEABILIZADO 1:3</t>
  </si>
  <si>
    <t>Pañete fachada</t>
  </si>
  <si>
    <t>Pañete lateral derecho</t>
  </si>
  <si>
    <t>Pañete lateral izquierdo</t>
  </si>
  <si>
    <t>Pañete fachada trasera</t>
  </si>
  <si>
    <t>FILOS Y DILATACIONES EN PAÑETES</t>
  </si>
  <si>
    <t>No.</t>
  </si>
  <si>
    <t>Filos y dilataciones área 1</t>
  </si>
  <si>
    <t>Filos y dilataciones área 2</t>
  </si>
  <si>
    <t>ESTUCO Y VINILO TRES MANOS EN MUROS (COLOR)</t>
  </si>
  <si>
    <t>Estuco y vinilo paredes área 1</t>
  </si>
  <si>
    <t>PINTURA FACHADA EN VINILO PARA EXTERIORES</t>
  </si>
  <si>
    <t>5.1</t>
  </si>
  <si>
    <t>PISOS Y CIELO RASO</t>
  </si>
  <si>
    <t>ALISTADO PISO 1:5 E=0.04 M</t>
  </si>
  <si>
    <t>5.2</t>
  </si>
  <si>
    <t>GUARDAESCOBA MEDIA CAÑA EN GRANITO PULIDO</t>
  </si>
  <si>
    <t>5.3</t>
  </si>
  <si>
    <t>Cantidad</t>
  </si>
  <si>
    <t>5.5</t>
  </si>
  <si>
    <t>CIELO RASO EN PVC (INCLUYE ESTRUCTURA DE SOPORTE Y TODOS LOS ELEMENTOS NECESARIOS PARA SU CORRECTA INSTALACIÓN)</t>
  </si>
  <si>
    <t>6.1</t>
  </si>
  <si>
    <t>ENCHAPES Y ACCESORIOS BAÑOS</t>
  </si>
  <si>
    <t>CERAMICA PARED (INCLUYE BOQUILLA COLOR, WING Y LINEALES)</t>
  </si>
  <si>
    <t>6.2</t>
  </si>
  <si>
    <t>6.3</t>
  </si>
  <si>
    <t>UND</t>
  </si>
  <si>
    <t>6.4</t>
  </si>
  <si>
    <t>6.6</t>
  </si>
  <si>
    <t>SUMINISTRO E INSTALACIÓN DE PROTECTOR DE PAPEL HIGIENICO (INCLUYE TODOS LOS ACCESORIOS NECESARIOS PARA SU CORRECTO FUNCIONAMIENTO)</t>
  </si>
  <si>
    <t>6.7</t>
  </si>
  <si>
    <t>SUMINISTRO E INSTALACIÓN DE TOALLERO (INCLUYE TODOS LOS ACCESORIOS NECESARIOS PARA SU CORRECTO FUNCIONAMIENTO)</t>
  </si>
  <si>
    <t>Mesón sala de partos</t>
  </si>
  <si>
    <t>7.1</t>
  </si>
  <si>
    <t>MUEBLE SENCILLO EN MADERA</t>
  </si>
  <si>
    <t>7.2</t>
  </si>
  <si>
    <t>7.3</t>
  </si>
  <si>
    <t>VENTANA SENCILLA EN ALUMINIO</t>
  </si>
  <si>
    <t>7.4</t>
  </si>
  <si>
    <t>ESPEJO 4 MM</t>
  </si>
  <si>
    <t>Espejo baño</t>
  </si>
  <si>
    <t>8.1</t>
  </si>
  <si>
    <t>SUMINISTRO E INSTALACIONES ELECTRICAS</t>
  </si>
  <si>
    <t>8.2</t>
  </si>
  <si>
    <t>8.3</t>
  </si>
  <si>
    <t>SALIDAS PARA ILUMINACIÓN 120V (INCLUYE CAJA OCTAGONAL, ADAPTADORES, DUCTO EMT DE 1/2 Y/O 3/4", CABLEADO EN #12 AWG + TIERRA E INTERRUPTOR. NO INCLUYE LUMINARIA)</t>
  </si>
  <si>
    <t>Salida iluminación</t>
  </si>
  <si>
    <t>8.4</t>
  </si>
  <si>
    <t>8.5</t>
  </si>
  <si>
    <t>REGATAS</t>
  </si>
  <si>
    <t>Regata</t>
  </si>
  <si>
    <t>SUMINISTRO E INSTALACIÓN DE LUMINARIA LED 25W (INCLUYE LUMINARIA, AÉREO, DERIVACIÓN EN SALIDA CON CONECTORES DE RESORTE. CABLE ENCAUCHETADA 3*14, INTERRUPTOR, TOMA Y ENCHUFE)</t>
  </si>
  <si>
    <t>Luminaria</t>
  </si>
  <si>
    <t>10.1</t>
  </si>
  <si>
    <t>EQUIPOS FIJOS DE USO HOSPITALARIO</t>
  </si>
  <si>
    <t>Espacios Aire acondicionado</t>
  </si>
  <si>
    <t>11.1</t>
  </si>
  <si>
    <t>ASEO GENERAL</t>
  </si>
  <si>
    <t>ASEO GENERAL ENTREGA</t>
  </si>
  <si>
    <t>9.1</t>
  </si>
  <si>
    <t>SUMINISTRO E INSTALACIONES HIDROSANITARIAS Y AGUAS LLUVIAS</t>
  </si>
  <si>
    <t>9.2</t>
  </si>
  <si>
    <t>9.3</t>
  </si>
  <si>
    <t>TUBERÍA1/2"PVC PRESIÓN</t>
  </si>
  <si>
    <t>Tubería presión 1/2"</t>
  </si>
  <si>
    <t>9.4</t>
  </si>
  <si>
    <t>PUNTO HIDRÁULICO INODORO TANQUE</t>
  </si>
  <si>
    <t>9.5</t>
  </si>
  <si>
    <t>PUNTO HIDRÁULICO LAVAMANOS</t>
  </si>
  <si>
    <t>9.6</t>
  </si>
  <si>
    <t>PUNTO HIDRÁULICO POCETA</t>
  </si>
  <si>
    <t>9.7</t>
  </si>
  <si>
    <t>PUNTO SANITARIO INODORO TANQUE</t>
  </si>
  <si>
    <t>9.9</t>
  </si>
  <si>
    <t>PUNTO SANITARIO LAVAMANOS</t>
  </si>
  <si>
    <t>PUNTO SIFÓN POCETA ASEO</t>
  </si>
  <si>
    <t>CAJA DE INSPECCION EN MAMPOSTERÍA (INCLUYE PAÑETE Y CAÑUELA)</t>
  </si>
  <si>
    <t>Caja de inspección</t>
  </si>
  <si>
    <t>SUMINISTRO E INSTALACIÓN DE TANQUE ELEVADO DE 2000 LTS PLASTICO (INCLUYE TODOS LOS ACCESORIOS NECESARIOS PARA SU CORRECTO FUNCIONAMIENTO)</t>
  </si>
  <si>
    <t>Tanque elevado</t>
  </si>
  <si>
    <t>7.5</t>
  </si>
  <si>
    <t>SUMINISTRO E INSTALACIÓN DE CARPINTERIA</t>
  </si>
  <si>
    <t>Sede:</t>
  </si>
  <si>
    <t>ÍTEM</t>
  </si>
  <si>
    <t>ACTIVIDADES</t>
  </si>
  <si>
    <t>UNIDAD</t>
  </si>
  <si>
    <t>CANTIDAD</t>
  </si>
  <si>
    <t>VR UNITARIO</t>
  </si>
  <si>
    <t xml:space="preserve"> VALOR TOTAL</t>
  </si>
  <si>
    <t>1.</t>
  </si>
  <si>
    <t>m2</t>
  </si>
  <si>
    <t>ml</t>
  </si>
  <si>
    <t>2.</t>
  </si>
  <si>
    <t>3.</t>
  </si>
  <si>
    <t>4.</t>
  </si>
  <si>
    <t>4.1</t>
  </si>
  <si>
    <t>MURO EN BLOQUE</t>
  </si>
  <si>
    <t>4.2</t>
  </si>
  <si>
    <t>MURO EN LADRILLO TOLETE RECOCIDO</t>
  </si>
  <si>
    <t>4.3</t>
  </si>
  <si>
    <t>4.4</t>
  </si>
  <si>
    <t>4.5</t>
  </si>
  <si>
    <t>und</t>
  </si>
  <si>
    <t>5.</t>
  </si>
  <si>
    <t>5.4</t>
  </si>
  <si>
    <t>6.</t>
  </si>
  <si>
    <t>6.5</t>
  </si>
  <si>
    <t>7.</t>
  </si>
  <si>
    <t>8.</t>
  </si>
  <si>
    <t>9.</t>
  </si>
  <si>
    <t>9.8</t>
  </si>
  <si>
    <t>10.</t>
  </si>
  <si>
    <t>11.</t>
  </si>
  <si>
    <t>TOTAL COSTOS DIRECTOS</t>
  </si>
  <si>
    <t>COSTOS INDIRECTOS</t>
  </si>
  <si>
    <t xml:space="preserve">ADMINISTRACION  </t>
  </si>
  <si>
    <t xml:space="preserve">IMPREVISTOS </t>
  </si>
  <si>
    <t>UTILIDAD</t>
  </si>
  <si>
    <t xml:space="preserve">TOTAL COSTOS INDIRECTOS </t>
  </si>
  <si>
    <t>VALOR TOTAL DE LA OBRA (C. DIRECTOS + C. INDIRECTOS)</t>
  </si>
  <si>
    <t>INTERVENTORÍA</t>
  </si>
  <si>
    <t>VALOR TOTAL DEL PROYECTO (TOTAL OBRA + INTERVENTORÍA)</t>
  </si>
  <si>
    <t>Realizó</t>
  </si>
  <si>
    <t>Revisó</t>
  </si>
  <si>
    <t>Nombre:</t>
  </si>
  <si>
    <t>No. T.P.</t>
  </si>
  <si>
    <t>Firma:</t>
  </si>
  <si>
    <t>Avaló</t>
  </si>
  <si>
    <t>Cargo</t>
  </si>
  <si>
    <t>ANALISIS DE PRECIOS UNITARIOS</t>
  </si>
  <si>
    <t>PROPONENTE</t>
  </si>
  <si>
    <t>OBRA</t>
  </si>
  <si>
    <t>DESCRIPCION</t>
  </si>
  <si>
    <t>UNIDAD : M2</t>
  </si>
  <si>
    <t>ITEM :</t>
  </si>
  <si>
    <t>CANTIDAD EN EL PROYECTO :</t>
  </si>
  <si>
    <t>I.- EQUIPOS Y HERRAMIENTAS</t>
  </si>
  <si>
    <t>TIPO INSUMO</t>
  </si>
  <si>
    <t>HH/DD/MES</t>
  </si>
  <si>
    <t>RENDIM. o %</t>
  </si>
  <si>
    <t>V-UNITARIO</t>
  </si>
  <si>
    <t>VALOR PARCIAL</t>
  </si>
  <si>
    <t>V. PARCIAL TOTAL</t>
  </si>
  <si>
    <t>Herramienta y equipo menor</t>
  </si>
  <si>
    <t>%</t>
  </si>
  <si>
    <t>Elementos de consumo y proteccion</t>
  </si>
  <si>
    <t>SUB TOTAL EQUIPOS</t>
  </si>
  <si>
    <t>II.-MATERIALES DE OBRA</t>
  </si>
  <si>
    <t>UN</t>
  </si>
  <si>
    <t>DESPERD. %</t>
  </si>
  <si>
    <t>V. UNITARIO</t>
  </si>
  <si>
    <t>SUB TOTAL  MATERIALES</t>
  </si>
  <si>
    <t>III.-TRANSPORTES DE MATERIALES</t>
  </si>
  <si>
    <t>VOL-PES-DIST</t>
  </si>
  <si>
    <t>RENDIMIENTO</t>
  </si>
  <si>
    <t>TARIFA</t>
  </si>
  <si>
    <t xml:space="preserve">V. UNITARIO </t>
  </si>
  <si>
    <t>SUB TOTAL TRANSPORTE</t>
  </si>
  <si>
    <t>IV.- MANO DE OBRA</t>
  </si>
  <si>
    <t>CUADRILLA (Jornal + prestaciones)
1 Oficial y 2 Ayudantes</t>
  </si>
  <si>
    <t>dia</t>
  </si>
  <si>
    <t xml:space="preserve"> SUB TOTAL MANO  DE OBRA</t>
  </si>
  <si>
    <t>TOTAL COSTO DIRECTO</t>
  </si>
  <si>
    <t>V.- COSTOS INDIRECTO</t>
  </si>
  <si>
    <t>FIRMA</t>
  </si>
  <si>
    <t xml:space="preserve"> DESCRIPCION</t>
  </si>
  <si>
    <t>VALOR</t>
  </si>
  <si>
    <t>ADMINISTRACION</t>
  </si>
  <si>
    <t>A.U.</t>
  </si>
  <si>
    <t xml:space="preserve"> TOTAL COSTO  INDIRECTO</t>
  </si>
  <si>
    <t>PRECIO UNITARIO TOTAL</t>
  </si>
  <si>
    <t>Transporte escombrera</t>
  </si>
  <si>
    <t>Andamios</t>
  </si>
  <si>
    <t>Día</t>
  </si>
  <si>
    <t>UNIDAD : ML</t>
  </si>
  <si>
    <t>CEMENTO GRIS</t>
  </si>
  <si>
    <t>Kg</t>
  </si>
  <si>
    <t>AGUA</t>
  </si>
  <si>
    <t>Lt</t>
  </si>
  <si>
    <t>ARENA</t>
  </si>
  <si>
    <t>M3</t>
  </si>
  <si>
    <t>TRITURADO</t>
  </si>
  <si>
    <t>Transporte arena</t>
  </si>
  <si>
    <t>Transporte triturado</t>
  </si>
  <si>
    <t>CUADRILLA (Jornal + prestaciones)
1 Oficial y 3 Ayudantes</t>
  </si>
  <si>
    <t>CUBIERTA ARQUITECTONICA ACESCO  TZA CAL. 28 LONG 2.44 M-AREA UTIL 1.679 M2</t>
  </si>
  <si>
    <t>Und</t>
  </si>
  <si>
    <t>TORNILLOS TPF 3/4</t>
  </si>
  <si>
    <t>TORNILLOS AUTOPERFORANTE 7/8</t>
  </si>
  <si>
    <t>MANTO EDIL ESTÁNDAR 3MM</t>
  </si>
  <si>
    <t>ALUMOL (16 KG) PINTURA REFLECTIVA DE ALUMINIO CON BASE ASFÁLTICA DE BAJA VISCOSIDAD</t>
  </si>
  <si>
    <t>IGASOL CUBIERTA (20 KG) EMULSIÓN ANIÓNICA CON BASE EN ASFALTO REFINADO, MEJORADO CON LLENANTES ESPECIALES</t>
  </si>
  <si>
    <t>MORTERO 1:4</t>
  </si>
  <si>
    <t>CUADRILLA (Jornal + prestaciones)
1 Oficial y 1 Ayudantes</t>
  </si>
  <si>
    <t>Gln</t>
  </si>
  <si>
    <t>BLOQUE HUECO 15X19X39</t>
  </si>
  <si>
    <t>LADRILLO CORRIENTE .07X.11X.22</t>
  </si>
  <si>
    <t>COLUMNETA CONFINAMIENTO CONCRETO (SIN REFUERZO)</t>
  </si>
  <si>
    <t>UNIDAD : M3</t>
  </si>
  <si>
    <t>Formaleta</t>
  </si>
  <si>
    <t>Mezcladora 1 bulto</t>
  </si>
  <si>
    <t>VIGUETA CONFINAMIENTO CONCRETO (SIN REFUERZO)</t>
  </si>
  <si>
    <t>SUMINISTRO FIGURADA Y AMARRE DE ACERO 60000 PSI 420 MPA</t>
  </si>
  <si>
    <t>UNIDAD : Kg</t>
  </si>
  <si>
    <t>ALAMBRE NEGRO</t>
  </si>
  <si>
    <t>ACERO DE REFUERZO PDR-60</t>
  </si>
  <si>
    <t>MORTERO 1:4 IMPERMEABILIZADO</t>
  </si>
  <si>
    <t>ESTUCO</t>
  </si>
  <si>
    <t>PINTURA PARA INTERIORES PRIMERA CALIDAD</t>
  </si>
  <si>
    <t>PINTURA PARA EXTERIORES PRIMERA CALIDAD</t>
  </si>
  <si>
    <t>PEGACOR BLANCO</t>
  </si>
  <si>
    <t>CEMENTO BLANCO</t>
  </si>
  <si>
    <t>Pulidora</t>
  </si>
  <si>
    <t>GRANITO  NO. 3 VARIOS COLORES X 40KG</t>
  </si>
  <si>
    <t>Bto</t>
  </si>
  <si>
    <t>CONCOLOR PORCELANATO BLANCO NACAR O SIMILAR</t>
  </si>
  <si>
    <t>PERFIL ANGULO PERIMETRAL DE CIERRE</t>
  </si>
  <si>
    <t>TORNILLO PARA ESTRUCTURA</t>
  </si>
  <si>
    <t>PERFIL VIGUETA</t>
  </si>
  <si>
    <t>PERFIL OMEGA</t>
  </si>
  <si>
    <t>LAMINA PVC</t>
  </si>
  <si>
    <t>TORNILLO PARA PANEL</t>
  </si>
  <si>
    <t>ENCHAPE DE PARED PRIMERA CALIDAD</t>
  </si>
  <si>
    <t>WING</t>
  </si>
  <si>
    <t>UNIDAD : UND</t>
  </si>
  <si>
    <t>MANGUERA DE CONEXIÓN FLEXIBLE</t>
  </si>
  <si>
    <t>GRIFERIA</t>
  </si>
  <si>
    <t>DESAGUE SENCILLO</t>
  </si>
  <si>
    <t>PROTECTOR PAPEL HIGUIENICO</t>
  </si>
  <si>
    <t>TOALLERO</t>
  </si>
  <si>
    <t>MUEBLE EN MADERA</t>
  </si>
  <si>
    <t>CUADRILLA INSTALADORES (Jornal + prestaciones)
1 Oficial y 1 Ayudantes</t>
  </si>
  <si>
    <t>PERFILERIA EN ALUMINIO</t>
  </si>
  <si>
    <t>VIDRIO</t>
  </si>
  <si>
    <t>ACCESORIOS</t>
  </si>
  <si>
    <t>CUADRILLA ELECTRICOS (Jornal + prestaciones)
1 Oficial eléctrico y 1 Ayudantes</t>
  </si>
  <si>
    <t>SOLDADURA PVC LIQUIDA 1/4</t>
  </si>
  <si>
    <t>TUBO CONDUIT PVC  1/2"</t>
  </si>
  <si>
    <t>CAJA RECTANGULAR 2 X 4 GALVANIZADA</t>
  </si>
  <si>
    <t>CAJA OCTAGONAL GALVANIZADA</t>
  </si>
  <si>
    <t>ALAMBRE COBRE THW 12 AWG THHN/NN</t>
  </si>
  <si>
    <t>ALAMBRE COBRE THW 14 AWG THHN/NN</t>
  </si>
  <si>
    <t>SUMINISTRO E INSTALACIÓN DE LUMINARIA LED 25W (INCLUYE LUMINARIA, AÉREO, DERIVACIÓN EN SALIDA CON CONECTORES DE RESORTE. CABLE ENCAUCHETADA 3*14)</t>
  </si>
  <si>
    <t>LUMINARIA LED 25W</t>
  </si>
  <si>
    <t>LIMPIADOR PVC LIQUIDA 1/4</t>
  </si>
  <si>
    <t>TUBERÍA 1/2" PVC PRESIÓN. INC. ACCESORIOS</t>
  </si>
  <si>
    <t>TUBO PRESIÓN /9 PVC 1/2</t>
  </si>
  <si>
    <t>CODO 90° PRESIÓN PVC 1/2</t>
  </si>
  <si>
    <t>UNIÓN PRESIÓN PVC 1/2</t>
  </si>
  <si>
    <t>YEE SANITARIA PVC REDUCIDA 4 X 2</t>
  </si>
  <si>
    <t>TUBO PVC SANITARIO 4</t>
  </si>
  <si>
    <t>CODO 90° 1/4 CXC SANITARIO 4</t>
  </si>
  <si>
    <t>YEE SANITARIA PVC 2</t>
  </si>
  <si>
    <t>TUBO PVC SANITARIO 2</t>
  </si>
  <si>
    <t>CODO 90° 1/4 CXC SANITARIO 2</t>
  </si>
  <si>
    <t>MORTERO 1:4 IMPERMEABILIZADIO PARA CAÑUELAS</t>
  </si>
  <si>
    <t>ALAMBRE NEGRO NO.18</t>
  </si>
  <si>
    <t>TAPA Y MARCO PARA REGISTRO ELECTRICO O SANITARIO 0.60X0.60, EN ANGULO 3/16X1 1/2" EN TAPA Y MARCO, INCL. VARILLAS DE 6MM Y ANTICORROSIVO</t>
  </si>
  <si>
    <t>ADAPTADOR MACHO 3/4</t>
  </si>
  <si>
    <t>TANQUES PLASTICO CON TAPA 2000 LTS</t>
  </si>
  <si>
    <t>FLOTADOR Ø  3/4"</t>
  </si>
  <si>
    <t>CHEQUE DE PASO Ø  3/4" RED WITTE O SIMILAR</t>
  </si>
  <si>
    <t>LLAVE DE PASO Ø  3/4" RED WITTE O SIMILAR</t>
  </si>
  <si>
    <t>TUBO PRESIÓN PVC 3/4</t>
  </si>
  <si>
    <t>LLAVE TERMINAL</t>
  </si>
  <si>
    <t>SIFÓN SANITARIO PVC 2</t>
  </si>
  <si>
    <t>REJILLA 2"</t>
  </si>
  <si>
    <t>AIRE ACONDICIONADO 12.000 BTU</t>
  </si>
  <si>
    <t>INSTALACIÓN ÉLECTRICA</t>
  </si>
  <si>
    <t>Ml</t>
  </si>
  <si>
    <t>SALIDA TUBO DE 1/2"</t>
  </si>
  <si>
    <t>Pto</t>
  </si>
  <si>
    <t>INSUMOS DE ASEO</t>
  </si>
  <si>
    <t>CUADRILLA (Jornal + prestaciones)
2 Ayudantes</t>
  </si>
  <si>
    <t>PRESUPUESTO OFICIAL DE INTERVENTORIA</t>
  </si>
  <si>
    <t>CANT.</t>
  </si>
  <si>
    <t>DESCRIPCIÓN</t>
  </si>
  <si>
    <t>CATEG.</t>
  </si>
  <si>
    <t>F.M.</t>
  </si>
  <si>
    <t>H. M.</t>
  </si>
  <si>
    <t>VALOR SALARIO</t>
  </si>
  <si>
    <t>MESES</t>
  </si>
  <si>
    <t>VALOR TOTAL</t>
  </si>
  <si>
    <t>COSTOS DIRECTOS DE PERSONAL (*)</t>
  </si>
  <si>
    <t xml:space="preserve">Ingeniero Residente  de Interventoría </t>
  </si>
  <si>
    <t>H</t>
  </si>
  <si>
    <t>( A ) SUB TOTAL COSTOS DIRECTOS DE PERSONAL</t>
  </si>
  <si>
    <t>COSTO MENSUAL</t>
  </si>
  <si>
    <t>COSTO TOTAL</t>
  </si>
  <si>
    <t xml:space="preserve">OTROS COSTOS DIRECTOS </t>
  </si>
  <si>
    <t xml:space="preserve">( B ) SUB TOTAL OTROS COSTOS DIRECTOS </t>
  </si>
  <si>
    <t>( C ) = ( A+B )   TOTAL COSTOS DIRECTOS</t>
  </si>
  <si>
    <t>COSTOS  INDIRECTOS</t>
  </si>
  <si>
    <t>Impresiones, fotocopias, papeleria, ploteo, empastes, etc.</t>
  </si>
  <si>
    <t>MES</t>
  </si>
  <si>
    <t xml:space="preserve">( D )  TOTAL COSTOS INDIRECTOS </t>
  </si>
  <si>
    <t>TOTAL COSTOS DIRECTOS, COSTOS INDIRECTOS Y ADMINISTRACIÓN   ( C ) + ( D )</t>
  </si>
  <si>
    <t xml:space="preserve">IMPUESTO AL VALOR AGREGADO (IVA) </t>
  </si>
  <si>
    <t>VALOR TOTAL DE LA INTERVENTORÍA</t>
  </si>
  <si>
    <t>CRONOGRAMA Y FLUJO DE FONDOS</t>
  </si>
  <si>
    <t>PERÍODO DE EJECUCIÓN DE ACTIVIDADES (Periodo de ejecución física)</t>
  </si>
  <si>
    <t>CANT</t>
  </si>
  <si>
    <t>VALOR (INC. AIU)</t>
  </si>
  <si>
    <t>MES 1</t>
  </si>
  <si>
    <t>MES 2</t>
  </si>
  <si>
    <t>MES 3</t>
  </si>
  <si>
    <t>ACUMULADO OBRA</t>
  </si>
  <si>
    <t>INTERVENTORIA</t>
  </si>
  <si>
    <t>VALOR ACUMULADO POR MES</t>
  </si>
  <si>
    <t>RAMPA EN CONCRETO 3000 PSI; E=0,10mts</t>
  </si>
  <si>
    <t xml:space="preserve">SUMINISTRO E INSTALACIÓN DE BALDOSIN 20 X 20 CM LINEA INSTITUCIONAL O SIMILAR BLANCO </t>
  </si>
  <si>
    <t>PISO PORCELANATO 60 X 60 CM PRIMERA CALIDAD O SIMILAR</t>
  </si>
  <si>
    <t>LAVAPLATOS A.INOX. 100 X 60CM (INCLUYE GRIFO Y TODOS LOS ACCESORIOS NECESARIOS PARA SU CORRECTO FUNCIONAMIENTO)</t>
  </si>
  <si>
    <t>SUMINISTRO E INSTALACIÓN DE LAVAMANOS LINEA INSTITUCIONAL O SIMILAR (INCLUYE GRIFO Y TODOS LOS ACCESORIOS NECESARIOS PARA SU CORRECTO FUNCIONAMIENTO)</t>
  </si>
  <si>
    <t>SUMINISTRO E INSTALACIÓN DE SANITARIO LINEA INSTITUCIONAL O SIMILAR (INCLUYE TODOS LOS ACCESORIOS NECESARIOS PARA SU CORRECTO FUNCIONAMIENTO)</t>
  </si>
  <si>
    <t>CERAMICA PISO 33 X 33 CM LINEA INSTITUCIONAL O SIMILAR (INCLUYE BOQUILLA COLOR, LINEALES)</t>
  </si>
  <si>
    <t>PORCELANATO DE 60 X 60 CM PRIMERA CALIDAD O SIMILAR</t>
  </si>
  <si>
    <t>ENCHAPE BLANCO 20 X 20 CM LINEA INSTITUCIONAL O SIMILAR</t>
  </si>
  <si>
    <t>CERÁMICA DUROPISO CORONA ALTO TRAFICO 33 X 33 CM LINEA INSTITUCIONAL O SIMILAR</t>
  </si>
  <si>
    <t>SANITARIO BLANCO LINEA INSTITUCIONAL O SIMILAR</t>
  </si>
  <si>
    <t>LAVAMANOS BLANCO LINEA INSTITUCIONAL O SIMILAR</t>
  </si>
  <si>
    <t>LAVAPLATOS ACERO INOXIDABLE 100 X 60 CM</t>
  </si>
  <si>
    <t>Sanitarios</t>
  </si>
  <si>
    <t>Lavamanos</t>
  </si>
  <si>
    <t>Cubierta entrada</t>
  </si>
  <si>
    <t>Placa en concreto</t>
  </si>
  <si>
    <t>Techo</t>
  </si>
  <si>
    <t>Pañete  PAREDES INTERNAS</t>
  </si>
  <si>
    <t>FACHADA</t>
  </si>
  <si>
    <t>Tranajo limpio</t>
  </si>
  <si>
    <t>Trabajo sucio</t>
  </si>
  <si>
    <t>BAÑO TRABAJO SUCIO</t>
  </si>
  <si>
    <t>BAÑO SALA DE PARTO</t>
  </si>
  <si>
    <t>BAÑOS PUERPERIO</t>
  </si>
  <si>
    <t>BAÑOS ARCHIVO</t>
  </si>
  <si>
    <t>BAÑOS OBSERVACION</t>
  </si>
  <si>
    <t>Meson odontologia</t>
  </si>
  <si>
    <t>MESON SALA DE PARTO</t>
  </si>
  <si>
    <t>MESON ODONTOLOGIA</t>
  </si>
  <si>
    <t>PUERTAS</t>
  </si>
  <si>
    <t>VENTANAS</t>
  </si>
  <si>
    <t>Nombre Entidad : MUNICIPIO DE LA JAGUA DE IBIRICO CESAR</t>
  </si>
  <si>
    <t>MUNICIPIO DE LA JAGUA DE IBIRICO CESAR</t>
  </si>
  <si>
    <t>PUESTO DE SALUD DEL CORREGIMIENTO DE LA VICTORIA DE SAN ISIDRO</t>
  </si>
  <si>
    <t>Nombre: MAHER SANTOS</t>
  </si>
  <si>
    <t>MAHER SANTOS</t>
  </si>
  <si>
    <t>No. T.P A17732023-106117224</t>
  </si>
  <si>
    <t>INGENIERO CIVIL No. T.P A17732023-106117224</t>
  </si>
  <si>
    <t>DEMOLICIONES (PISOS)</t>
  </si>
  <si>
    <t>1.4</t>
  </si>
  <si>
    <t>1.5</t>
  </si>
  <si>
    <t>DESMONTES (CIELO RASOS)</t>
  </si>
  <si>
    <t>DESMONTES (VENTANAS)</t>
  </si>
  <si>
    <t>DESMONTES (PUERTAS)</t>
  </si>
  <si>
    <t>DESMONTE DE APARATOS SANITARIOS, LAVAMANOS Y LAVAPLATOS</t>
  </si>
  <si>
    <t>Andamio tubular con planchon</t>
  </si>
  <si>
    <t>IMPERMEABILIZACION DE PLACA EN MANTO EDIL 3 MM STANDAR INCL. IMPRIMANTE Y PINTURA BITUMINOSA</t>
  </si>
  <si>
    <t>SOPLETE</t>
  </si>
  <si>
    <t>ARQUITECTO No. T.P A17732023-106117224</t>
  </si>
  <si>
    <t xml:space="preserve">MUNICIPIO DE LA JAGUA DE IBIRICO, CESAR </t>
  </si>
  <si>
    <t>MUNICIPIO DE LA JAGUA DE IBIRICO, CESAR</t>
  </si>
  <si>
    <t>LA JAGUA DE IBIRICO CESAR</t>
  </si>
  <si>
    <t>FECHA ELABORACION</t>
  </si>
  <si>
    <t>SUMINISTRO E INSTALACIÓN AIRE ACONDICIONADO 24.000 BTU</t>
  </si>
  <si>
    <t>PUERTAS  LAMINA CON MARCO CAL. 18, INCL. ANTICORROSIVO Y ACABADO EN ESMALTE, INCLUYE CERRADURA E INSTALACION.</t>
  </si>
  <si>
    <t>ÁNGULO HIERRO 3/4 X 1/8</t>
  </si>
  <si>
    <t>SOLDADURA 6011X1/8"</t>
  </si>
  <si>
    <t>ANTICORROSIVO 507 GRIS</t>
  </si>
  <si>
    <t>LÁMINA COLD ROLLED 1.00X2.00 CAL.18</t>
  </si>
  <si>
    <t>BISAGRA ALUMINIO EXT 3</t>
  </si>
  <si>
    <t>CERRADURA YALE DE SOBREPONER</t>
  </si>
  <si>
    <t>PINTURA ESMALTE SINTET</t>
  </si>
  <si>
    <t>DISOLVENTE THINNER</t>
  </si>
  <si>
    <t>mL</t>
  </si>
  <si>
    <t>kg</t>
  </si>
  <si>
    <t>gl</t>
  </si>
  <si>
    <t xml:space="preserve"> UN </t>
  </si>
  <si>
    <t>10.2</t>
  </si>
  <si>
    <t>SUMINISTRO E INSTALACION DE LETRERO PANEL LUMINOSO EN ACERO INOXIDABLE, INCLUYE DESMONTE E INSTALACION</t>
  </si>
  <si>
    <t>AVISO LUMINOSO</t>
  </si>
  <si>
    <t>ADECUACIÓN Y REMODELACIÓN DEL PUESTO DE SALUD DEL CORREGIMIENTO DE LA VICTORIA DE SAN ISIDRO DEL MUNICIPIO DE LA JAGUA DE IBIRICO, CESAR</t>
  </si>
  <si>
    <t>INTERVENTORÍA TÉCNICO, ADMINISTRATIVA, AMBIENTAL Y FINANCIERA PARA ADECUACIÓN Y REMODELACIÓN DEL PUESTO DE SALUD DEL CORREGIMIENTO DE LA VICTORIA DE SAN ISIDRO DEL MUNICIPIO DE LA JAGUA DE IBIRICO, CESAR</t>
  </si>
  <si>
    <t>Letrero luminoso</t>
  </si>
  <si>
    <t>CIELO RASO 1</t>
  </si>
  <si>
    <t>CIELO RASO 2</t>
  </si>
  <si>
    <t>CIELO RASO 3</t>
  </si>
  <si>
    <t>CIELO RASO 4</t>
  </si>
  <si>
    <t>CIELO RASO 5</t>
  </si>
  <si>
    <t>CIELO RASO 6</t>
  </si>
  <si>
    <t>CIELO RASO 7</t>
  </si>
  <si>
    <t>VENTANA EN ALUMINIO</t>
  </si>
  <si>
    <t>Ventanal fachada (220x170)</t>
  </si>
  <si>
    <t>Ventana sencilla (130x70)</t>
  </si>
  <si>
    <t>Ventana100x70</t>
  </si>
  <si>
    <t>Puertas</t>
  </si>
  <si>
    <t>MANTENIMIENTO INTEGRAL DEL SISTEMA ELECTRICO</t>
  </si>
  <si>
    <t>8.6</t>
  </si>
  <si>
    <t>SUMINISTRO E INSTALACION DE TOMAS ELECTRICOS DOBLES 110V</t>
  </si>
  <si>
    <t>cinta aislante temflex 165 negra 18mts</t>
  </si>
  <si>
    <t>Interruptor polo A tierra sobreponer</t>
  </si>
  <si>
    <t>SUMINISTRO E INSTALACION DE INTERRUPTORES SENCILLOS 110V</t>
  </si>
  <si>
    <t>SUMINISTRO E INSTALACION DE INTERRUPTORES DOBLES 110V</t>
  </si>
  <si>
    <t>}</t>
  </si>
  <si>
    <t>INTERRUPTORES</t>
  </si>
  <si>
    <t>TOMAS ELECTRICOS</t>
  </si>
  <si>
    <t>EQUIPO</t>
  </si>
  <si>
    <t>MATERIALES</t>
  </si>
  <si>
    <t>TRANSPORTE</t>
  </si>
  <si>
    <t>M. OBRA</t>
  </si>
  <si>
    <t>AIU</t>
  </si>
  <si>
    <t>OBSERVACION HOMBRE</t>
  </si>
  <si>
    <t>OBSERCACION MUJERES</t>
  </si>
  <si>
    <t>SALA ESPERA Y TRIAGE</t>
  </si>
  <si>
    <t xml:space="preserve">TOMA DE MUESTRAS PASILLO </t>
  </si>
  <si>
    <t>FACTURACION ARCHIVO</t>
  </si>
  <si>
    <t>ODONTOLOGIA Y RX</t>
  </si>
  <si>
    <t>CONSULTORIO ESPECIALISTAS</t>
  </si>
  <si>
    <t>PUERPERIO</t>
  </si>
  <si>
    <t>SALA DE PARTO Y BAÑOS</t>
  </si>
  <si>
    <t>RESIDUOS HOSPITALARIOS, TRABAJO LIMPIO ALMACEN</t>
  </si>
  <si>
    <t>ESTACION Y DORMITORIO ENFERMERIA</t>
  </si>
  <si>
    <t>SALA DE ACOMPAÑANTES</t>
  </si>
  <si>
    <t xml:space="preserve">TRABAJO PARTO </t>
  </si>
  <si>
    <t>PARQUEADERO</t>
  </si>
  <si>
    <t>BAÑO ODONTOLOGIA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</si>
</sst>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(* #,##0.00_);_(* \(#,##0.00\);_(* &quot;-&quot;??_);_(@_)"/>
    <numFmt numFmtId="166" formatCode="_-[$$-240A]\ * #,##0.00_-;\-[$$-240A]\ * #,##0.00_-;_-[$$-240A]\ * &quot;-&quot;??_-;_-@_-"/>
    <numFmt numFmtId="167" formatCode="0.0%"/>
    <numFmt numFmtId="168" formatCode="#,##0.00;[Red]#,##0.00"/>
    <numFmt numFmtId="169" formatCode="#,##0.000"/>
    <numFmt numFmtId="170" formatCode="#,##0.000;[Red]#,##0.000"/>
    <numFmt numFmtId="171" formatCode="#,##0.0;[Red]#,##0.0"/>
    <numFmt numFmtId="172" formatCode="&quot;$&quot;\ #,##0.00"/>
    <numFmt numFmtId="173" formatCode="_ * #,##0.00_ ;_ * \-#,##0.00_ ;_ * &quot;-&quot;??_ ;_ @_ "/>
    <numFmt numFmtId="174" formatCode="#,##0.00_ ;\-#,##0.00\ "/>
    <numFmt numFmtId="175" formatCode="#,##0_ ;\-#,##0\ "/>
    <numFmt numFmtId="176" formatCode="[$$-240A]\ #,##0.00"/>
    <numFmt numFmtId="177" formatCode="0.0000"/>
    <numFmt numFmtId="178" formatCode="0.000"/>
    <numFmt numFmtId="179" formatCode="#,##0.0000"/>
    <numFmt numFmtId="180" formatCode="_-* #,##0.0000000000000000000000_-;\-* #,##0.0000000000000000000000_-;_-* &quot;-&quot;??_-;_-@_-"/>
    <numFmt numFmtId="196" formatCode="_-[$$-240A]\ * #,##0.0000000000000000_-;\-[$$-240A]\ * #,##0.0000000000000000_-;_-[$$-240A]\ * &quot;-&quot;??_-;_-@_-"/>
    <numFmt numFmtId="209" formatCode="0.0000000000000000"/>
    <numFmt numFmtId="225" formatCode="_-&quot;$&quot;\ * #,##0.00000000000000000_-;\-&quot;$&quot;\ * #,##0.00000000000000000_-;_-&quot;$&quot;\ * &quot;-&quot;??_-;_-@_-"/>
    <numFmt numFmtId="226" formatCode="_-&quot;$&quot;\ * #,##0.000000000000000000_-;\-&quot;$&quot;\ * #,##0.000000000000000000_-;_-&quot;$&quot;\ * &quot;-&quot;??_-;_-@_-"/>
    <numFmt numFmtId="236" formatCode="_(* #,##0.00000000000_);_(* \(#,##0.00000000000\);_(* &quot;-&quot;??_);_(@_)"/>
  </numFmts>
  <fonts count="3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2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Stylus BT"/>
      <family val="2"/>
    </font>
    <font>
      <u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FFFFFF"/>
      <name val="Arial"/>
      <family val="2"/>
    </font>
    <font>
      <b/>
      <sz val="28"/>
      <color rgb="FF000000"/>
      <name val="Calibri"/>
      <family val="2"/>
    </font>
    <font>
      <b/>
      <sz val="12"/>
      <color rgb="FF000000"/>
      <name val="Arial Narrow"/>
      <family val="2"/>
    </font>
    <font>
      <b/>
      <sz val="18"/>
      <color rgb="FF000000"/>
      <name val="Arial Narrow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rgb="FF000000"/>
      <name val="Arial Narrow"/>
      <family val="2"/>
    </font>
    <font>
      <sz val="8"/>
      <color rgb="FF000000"/>
      <name val="Calibri"/>
      <family val="2"/>
    </font>
    <font>
      <sz val="8"/>
      <color rgb="FF24282B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D8D8D8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9" fillId="0" borderId="0" applyFont="0" applyFill="0" applyBorder="0" applyAlignment="0" applyProtection="0"/>
    <xf numFmtId="0" fontId="2" fillId="0" borderId="0"/>
    <xf numFmtId="0" fontId="14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642">
    <xf numFmtId="0" fontId="0" fillId="0" borderId="0" xfId="0"/>
    <xf numFmtId="0" fontId="2" fillId="0" borderId="0" xfId="2"/>
    <xf numFmtId="0" fontId="2" fillId="0" borderId="0" xfId="2" applyAlignment="1">
      <alignment vertical="center"/>
    </xf>
    <xf numFmtId="0" fontId="2" fillId="0" borderId="0" xfId="2" applyAlignment="1">
      <alignment horizontal="justify"/>
    </xf>
    <xf numFmtId="0" fontId="8" fillId="0" borderId="18" xfId="0" applyFont="1" applyBorder="1"/>
    <xf numFmtId="0" fontId="11" fillId="0" borderId="8" xfId="2" applyFont="1" applyBorder="1" applyAlignment="1">
      <alignment horizontal="left" vertical="center" wrapText="1"/>
    </xf>
    <xf numFmtId="0" fontId="12" fillId="0" borderId="0" xfId="2" applyFont="1" applyAlignment="1">
      <alignment horizontal="left" vertical="center"/>
    </xf>
    <xf numFmtId="0" fontId="2" fillId="0" borderId="0" xfId="2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12" fillId="0" borderId="23" xfId="2" applyFont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/>
    </xf>
    <xf numFmtId="0" fontId="5" fillId="3" borderId="32" xfId="2" applyFont="1" applyFill="1" applyBorder="1" applyAlignment="1">
      <alignment horizontal="center"/>
    </xf>
    <xf numFmtId="165" fontId="7" fillId="0" borderId="18" xfId="1" applyFont="1" applyBorder="1" applyAlignment="1"/>
    <xf numFmtId="165" fontId="7" fillId="0" borderId="18" xfId="1" applyFont="1" applyBorder="1"/>
    <xf numFmtId="165" fontId="7" fillId="0" borderId="35" xfId="1" applyFont="1" applyBorder="1"/>
    <xf numFmtId="165" fontId="7" fillId="0" borderId="20" xfId="1" applyFont="1" applyBorder="1"/>
    <xf numFmtId="0" fontId="15" fillId="0" borderId="0" xfId="2" applyFont="1"/>
    <xf numFmtId="4" fontId="12" fillId="0" borderId="18" xfId="3" applyNumberFormat="1" applyFont="1" applyBorder="1" applyAlignment="1">
      <alignment vertical="center" wrapText="1"/>
    </xf>
    <xf numFmtId="0" fontId="7" fillId="0" borderId="32" xfId="2" applyFont="1" applyBorder="1"/>
    <xf numFmtId="165" fontId="7" fillId="0" borderId="32" xfId="1" applyFont="1" applyBorder="1" applyAlignment="1"/>
    <xf numFmtId="165" fontId="7" fillId="0" borderId="33" xfId="1" applyFont="1" applyBorder="1" applyAlignment="1"/>
    <xf numFmtId="4" fontId="7" fillId="0" borderId="13" xfId="2" applyNumberFormat="1" applyFont="1" applyBorder="1"/>
    <xf numFmtId="4" fontId="7" fillId="0" borderId="16" xfId="2" applyNumberFormat="1" applyFont="1" applyBorder="1"/>
    <xf numFmtId="0" fontId="2" fillId="0" borderId="8" xfId="2" applyBorder="1" applyAlignment="1">
      <alignment horizontal="left"/>
    </xf>
    <xf numFmtId="0" fontId="7" fillId="0" borderId="2" xfId="2" applyFont="1" applyBorder="1" applyAlignment="1">
      <alignment horizontal="left"/>
    </xf>
    <xf numFmtId="0" fontId="7" fillId="0" borderId="2" xfId="2" applyFont="1" applyBorder="1" applyAlignment="1">
      <alignment vertical="top" wrapText="1"/>
    </xf>
    <xf numFmtId="4" fontId="2" fillId="0" borderId="21" xfId="2" applyNumberFormat="1" applyBorder="1"/>
    <xf numFmtId="43" fontId="2" fillId="0" borderId="0" xfId="2" applyNumberFormat="1"/>
    <xf numFmtId="4" fontId="7" fillId="0" borderId="18" xfId="3" applyNumberFormat="1" applyFont="1" applyBorder="1" applyAlignment="1">
      <alignment vertical="center" wrapText="1"/>
    </xf>
    <xf numFmtId="4" fontId="16" fillId="5" borderId="44" xfId="2" applyNumberFormat="1" applyFont="1" applyFill="1" applyBorder="1"/>
    <xf numFmtId="164" fontId="7" fillId="0" borderId="36" xfId="2" applyNumberFormat="1" applyFont="1" applyBorder="1" applyAlignment="1">
      <alignment horizontal="right"/>
    </xf>
    <xf numFmtId="164" fontId="7" fillId="0" borderId="12" xfId="2" applyNumberFormat="1" applyFont="1" applyBorder="1" applyAlignment="1">
      <alignment horizontal="right"/>
    </xf>
    <xf numFmtId="0" fontId="12" fillId="3" borderId="23" xfId="2" applyFont="1" applyFill="1" applyBorder="1" applyAlignment="1">
      <alignment horizontal="center" vertical="center"/>
    </xf>
    <xf numFmtId="0" fontId="2" fillId="0" borderId="1" xfId="2" applyBorder="1" applyAlignment="1">
      <alignment horizontal="left"/>
    </xf>
    <xf numFmtId="0" fontId="2" fillId="0" borderId="2" xfId="2" applyBorder="1"/>
    <xf numFmtId="0" fontId="5" fillId="0" borderId="2" xfId="2" applyFont="1" applyBorder="1"/>
    <xf numFmtId="0" fontId="7" fillId="0" borderId="2" xfId="2" applyFont="1" applyBorder="1" applyAlignment="1">
      <alignment horizontal="center"/>
    </xf>
    <xf numFmtId="4" fontId="2" fillId="0" borderId="27" xfId="2" applyNumberFormat="1" applyBorder="1"/>
    <xf numFmtId="0" fontId="5" fillId="0" borderId="0" xfId="2" applyFont="1" applyAlignment="1">
      <alignment horizontal="center"/>
    </xf>
    <xf numFmtId="0" fontId="2" fillId="0" borderId="0" xfId="2" applyAlignment="1">
      <alignment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2" fillId="0" borderId="0" xfId="2" applyAlignment="1">
      <alignment horizontal="center" vertical="center" wrapText="1"/>
    </xf>
    <xf numFmtId="166" fontId="2" fillId="0" borderId="0" xfId="2" applyNumberFormat="1" applyAlignment="1">
      <alignment horizontal="left" vertical="center" wrapText="1"/>
    </xf>
    <xf numFmtId="0" fontId="2" fillId="0" borderId="0" xfId="2" applyAlignment="1">
      <alignment horizontal="left" vertical="center" wrapText="1"/>
    </xf>
    <xf numFmtId="2" fontId="2" fillId="0" borderId="0" xfId="2" applyNumberFormat="1" applyAlignment="1">
      <alignment vertical="center" wrapText="1"/>
    </xf>
    <xf numFmtId="0" fontId="19" fillId="0" borderId="0" xfId="2" applyFont="1" applyAlignment="1">
      <alignment horizontal="left" vertical="center" wrapText="1"/>
    </xf>
    <xf numFmtId="0" fontId="5" fillId="0" borderId="48" xfId="2" applyFont="1" applyBorder="1" applyAlignment="1">
      <alignment vertical="center" wrapText="1"/>
    </xf>
    <xf numFmtId="0" fontId="2" fillId="0" borderId="25" xfId="2" applyBorder="1" applyAlignment="1">
      <alignment vertical="center" wrapText="1"/>
    </xf>
    <xf numFmtId="166" fontId="2" fillId="0" borderId="49" xfId="2" applyNumberFormat="1" applyBorder="1" applyAlignment="1">
      <alignment vertical="center" wrapText="1"/>
    </xf>
    <xf numFmtId="166" fontId="2" fillId="0" borderId="0" xfId="2" applyNumberFormat="1" applyAlignment="1">
      <alignment vertical="center" wrapText="1"/>
    </xf>
    <xf numFmtId="167" fontId="0" fillId="0" borderId="0" xfId="4" applyNumberFormat="1" applyFont="1" applyAlignment="1">
      <alignment vertical="center" wrapText="1"/>
    </xf>
    <xf numFmtId="167" fontId="0" fillId="0" borderId="25" xfId="4" applyNumberFormat="1" applyFont="1" applyBorder="1" applyAlignment="1">
      <alignment vertical="center" wrapText="1"/>
    </xf>
    <xf numFmtId="167" fontId="0" fillId="0" borderId="25" xfId="4" applyNumberFormat="1" applyFont="1" applyFill="1" applyBorder="1" applyAlignment="1">
      <alignment vertical="center" wrapText="1"/>
    </xf>
    <xf numFmtId="167" fontId="0" fillId="0" borderId="0" xfId="4" applyNumberFormat="1" applyFont="1" applyBorder="1" applyAlignment="1">
      <alignment vertical="center" wrapText="1"/>
    </xf>
    <xf numFmtId="0" fontId="2" fillId="0" borderId="11" xfId="2" applyBorder="1" applyAlignment="1">
      <alignment vertical="center"/>
    </xf>
    <xf numFmtId="0" fontId="2" fillId="0" borderId="11" xfId="2" applyBorder="1" applyAlignment="1">
      <alignment vertical="center" wrapText="1"/>
    </xf>
    <xf numFmtId="0" fontId="2" fillId="0" borderId="15" xfId="2" applyBorder="1" applyAlignment="1">
      <alignment vertical="center" wrapText="1"/>
    </xf>
    <xf numFmtId="0" fontId="2" fillId="0" borderId="15" xfId="2" applyBorder="1" applyAlignment="1">
      <alignment vertical="center"/>
    </xf>
    <xf numFmtId="0" fontId="5" fillId="0" borderId="48" xfId="2" applyFont="1" applyBorder="1" applyAlignment="1">
      <alignment horizontal="center" vertical="center"/>
    </xf>
    <xf numFmtId="0" fontId="5" fillId="0" borderId="48" xfId="2" applyFont="1" applyBorder="1" applyAlignment="1">
      <alignment horizontal="center"/>
    </xf>
    <xf numFmtId="0" fontId="5" fillId="0" borderId="25" xfId="2" applyFont="1" applyBorder="1" applyAlignment="1">
      <alignment horizontal="center"/>
    </xf>
    <xf numFmtId="17" fontId="11" fillId="0" borderId="50" xfId="2" applyNumberFormat="1" applyFont="1" applyBorder="1" applyAlignment="1">
      <alignment horizontal="center"/>
    </xf>
    <xf numFmtId="0" fontId="10" fillId="0" borderId="51" xfId="2" applyFont="1" applyBorder="1" applyAlignment="1">
      <alignment horizontal="center" vertical="center"/>
    </xf>
    <xf numFmtId="0" fontId="10" fillId="0" borderId="48" xfId="2" applyFont="1" applyBorder="1" applyAlignment="1">
      <alignment horizontal="center" vertical="center"/>
    </xf>
    <xf numFmtId="0" fontId="10" fillId="0" borderId="49" xfId="2" applyFont="1" applyBorder="1" applyAlignment="1">
      <alignment horizontal="left" vertical="center"/>
    </xf>
    <xf numFmtId="0" fontId="10" fillId="0" borderId="49" xfId="2" applyFont="1" applyBorder="1" applyAlignment="1">
      <alignment horizontal="center" vertical="center"/>
    </xf>
    <xf numFmtId="0" fontId="13" fillId="0" borderId="1" xfId="2" applyFont="1" applyBorder="1"/>
    <xf numFmtId="0" fontId="13" fillId="0" borderId="2" xfId="2" applyFont="1" applyBorder="1"/>
    <xf numFmtId="168" fontId="20" fillId="0" borderId="52" xfId="2" applyNumberFormat="1" applyFont="1" applyBorder="1"/>
    <xf numFmtId="168" fontId="20" fillId="0" borderId="47" xfId="2" applyNumberFormat="1" applyFont="1" applyBorder="1"/>
    <xf numFmtId="2" fontId="20" fillId="0" borderId="0" xfId="2" applyNumberFormat="1" applyFont="1" applyAlignment="1">
      <alignment horizontal="right"/>
    </xf>
    <xf numFmtId="0" fontId="20" fillId="0" borderId="0" xfId="2" applyFont="1" applyAlignment="1">
      <alignment horizontal="right"/>
    </xf>
    <xf numFmtId="0" fontId="13" fillId="0" borderId="8" xfId="2" applyFont="1" applyBorder="1"/>
    <xf numFmtId="0" fontId="13" fillId="0" borderId="0" xfId="2" applyFont="1"/>
    <xf numFmtId="0" fontId="20" fillId="0" borderId="0" xfId="2" applyFont="1" applyAlignment="1">
      <alignment horizontal="center" vertical="center"/>
    </xf>
    <xf numFmtId="0" fontId="20" fillId="0" borderId="0" xfId="2" applyFont="1"/>
    <xf numFmtId="2" fontId="20" fillId="0" borderId="0" xfId="2" applyNumberFormat="1" applyFont="1"/>
    <xf numFmtId="0" fontId="20" fillId="0" borderId="21" xfId="2" applyFont="1" applyBorder="1"/>
    <xf numFmtId="0" fontId="20" fillId="0" borderId="59" xfId="2" applyFont="1" applyBorder="1" applyAlignment="1">
      <alignment horizontal="center" vertical="center" wrapText="1"/>
    </xf>
    <xf numFmtId="169" fontId="20" fillId="0" borderId="60" xfId="2" applyNumberFormat="1" applyFont="1" applyBorder="1" applyAlignment="1">
      <alignment horizontal="right" vertical="top" wrapText="1"/>
    </xf>
    <xf numFmtId="2" fontId="20" fillId="0" borderId="40" xfId="2" applyNumberFormat="1" applyFont="1" applyBorder="1" applyAlignment="1">
      <alignment horizontal="center" vertical="center"/>
    </xf>
    <xf numFmtId="168" fontId="20" fillId="0" borderId="10" xfId="2" applyNumberFormat="1" applyFont="1" applyBorder="1" applyAlignment="1">
      <alignment vertical="center"/>
    </xf>
    <xf numFmtId="168" fontId="20" fillId="0" borderId="47" xfId="2" applyNumberFormat="1" applyFont="1" applyBorder="1" applyAlignment="1">
      <alignment vertical="center"/>
    </xf>
    <xf numFmtId="3" fontId="22" fillId="0" borderId="0" xfId="2" applyNumberFormat="1" applyFont="1" applyAlignment="1">
      <alignment vertical="center"/>
    </xf>
    <xf numFmtId="168" fontId="20" fillId="0" borderId="0" xfId="2" applyNumberFormat="1" applyFont="1" applyAlignment="1">
      <alignment vertical="center"/>
    </xf>
    <xf numFmtId="0" fontId="20" fillId="0" borderId="0" xfId="2" applyFont="1" applyAlignment="1">
      <alignment horizontal="center" vertical="center" wrapText="1"/>
    </xf>
    <xf numFmtId="2" fontId="20" fillId="0" borderId="61" xfId="2" applyNumberFormat="1" applyFont="1" applyBorder="1" applyAlignment="1">
      <alignment horizontal="center" vertical="center"/>
    </xf>
    <xf numFmtId="168" fontId="20" fillId="0" borderId="61" xfId="2" applyNumberFormat="1" applyFont="1" applyBorder="1" applyAlignment="1">
      <alignment vertical="center"/>
    </xf>
    <xf numFmtId="168" fontId="20" fillId="0" borderId="0" xfId="2" applyNumberFormat="1" applyFont="1"/>
    <xf numFmtId="165" fontId="22" fillId="0" borderId="62" xfId="5" applyNumberFormat="1" applyFont="1" applyBorder="1" applyAlignment="1">
      <alignment vertical="center"/>
    </xf>
    <xf numFmtId="0" fontId="20" fillId="0" borderId="61" xfId="2" applyFont="1" applyBorder="1" applyAlignment="1">
      <alignment horizontal="center" vertical="center"/>
    </xf>
    <xf numFmtId="0" fontId="20" fillId="0" borderId="8" xfId="2" applyFont="1" applyBorder="1"/>
    <xf numFmtId="0" fontId="20" fillId="0" borderId="58" xfId="2" applyFont="1" applyBorder="1" applyAlignment="1">
      <alignment horizontal="center"/>
    </xf>
    <xf numFmtId="168" fontId="20" fillId="0" borderId="62" xfId="2" applyNumberFormat="1" applyFont="1" applyBorder="1"/>
    <xf numFmtId="0" fontId="23" fillId="0" borderId="21" xfId="2" applyFont="1" applyBorder="1"/>
    <xf numFmtId="0" fontId="20" fillId="6" borderId="61" xfId="2" applyFont="1" applyFill="1" applyBorder="1" applyAlignment="1">
      <alignment horizontal="center" vertical="center"/>
    </xf>
    <xf numFmtId="0" fontId="20" fillId="6" borderId="61" xfId="2" applyFont="1" applyFill="1" applyBorder="1" applyAlignment="1">
      <alignment horizontal="center" vertical="top"/>
    </xf>
    <xf numFmtId="2" fontId="20" fillId="6" borderId="61" xfId="2" applyNumberFormat="1" applyFont="1" applyFill="1" applyBorder="1" applyAlignment="1">
      <alignment horizontal="center" vertical="top"/>
    </xf>
    <xf numFmtId="0" fontId="20" fillId="6" borderId="66" xfId="2" applyFont="1" applyFill="1" applyBorder="1" applyAlignment="1">
      <alignment horizontal="center" vertical="top"/>
    </xf>
    <xf numFmtId="0" fontId="20" fillId="6" borderId="62" xfId="2" applyFont="1" applyFill="1" applyBorder="1" applyAlignment="1">
      <alignment horizontal="center"/>
    </xf>
    <xf numFmtId="0" fontId="20" fillId="0" borderId="61" xfId="2" applyFont="1" applyBorder="1" applyAlignment="1">
      <alignment vertical="center"/>
    </xf>
    <xf numFmtId="4" fontId="20" fillId="0" borderId="40" xfId="2" applyNumberFormat="1" applyFont="1" applyBorder="1" applyAlignment="1">
      <alignment vertical="center"/>
    </xf>
    <xf numFmtId="0" fontId="20" fillId="2" borderId="54" xfId="2" applyFont="1" applyFill="1" applyBorder="1" applyAlignment="1">
      <alignment vertical="center"/>
    </xf>
    <xf numFmtId="4" fontId="20" fillId="0" borderId="61" xfId="2" applyNumberFormat="1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0" xfId="2" applyFont="1" applyAlignment="1">
      <alignment vertical="center"/>
    </xf>
    <xf numFmtId="2" fontId="20" fillId="0" borderId="0" xfId="2" applyNumberFormat="1" applyFont="1" applyAlignment="1">
      <alignment vertical="center"/>
    </xf>
    <xf numFmtId="0" fontId="20" fillId="0" borderId="58" xfId="2" applyFont="1" applyBorder="1" applyAlignment="1">
      <alignment vertical="center"/>
    </xf>
    <xf numFmtId="168" fontId="20" fillId="2" borderId="62" xfId="2" applyNumberFormat="1" applyFont="1" applyFill="1" applyBorder="1" applyAlignment="1">
      <alignment vertical="center"/>
    </xf>
    <xf numFmtId="0" fontId="20" fillId="6" borderId="61" xfId="2" applyFont="1" applyFill="1" applyBorder="1" applyAlignment="1">
      <alignment horizontal="center"/>
    </xf>
    <xf numFmtId="2" fontId="20" fillId="6" borderId="61" xfId="2" applyNumberFormat="1" applyFont="1" applyFill="1" applyBorder="1" applyAlignment="1">
      <alignment horizontal="center"/>
    </xf>
    <xf numFmtId="0" fontId="20" fillId="6" borderId="66" xfId="2" applyFont="1" applyFill="1" applyBorder="1" applyAlignment="1">
      <alignment horizontal="center"/>
    </xf>
    <xf numFmtId="170" fontId="20" fillId="0" borderId="66" xfId="2" applyNumberFormat="1" applyFont="1" applyBorder="1" applyAlignment="1">
      <alignment vertical="center"/>
    </xf>
    <xf numFmtId="168" fontId="20" fillId="0" borderId="66" xfId="2" applyNumberFormat="1" applyFont="1" applyBorder="1"/>
    <xf numFmtId="168" fontId="20" fillId="0" borderId="62" xfId="2" applyNumberFormat="1" applyFont="1" applyBorder="1" applyAlignment="1">
      <alignment horizontal="right" vertical="center"/>
    </xf>
    <xf numFmtId="168" fontId="20" fillId="0" borderId="61" xfId="2" applyNumberFormat="1" applyFont="1" applyBorder="1"/>
    <xf numFmtId="2" fontId="20" fillId="0" borderId="61" xfId="2" applyNumberFormat="1" applyFont="1" applyBorder="1"/>
    <xf numFmtId="0" fontId="20" fillId="0" borderId="61" xfId="2" applyFont="1" applyBorder="1"/>
    <xf numFmtId="0" fontId="20" fillId="0" borderId="0" xfId="2" applyFont="1" applyAlignment="1">
      <alignment horizontal="center"/>
    </xf>
    <xf numFmtId="2" fontId="20" fillId="0" borderId="0" xfId="2" applyNumberFormat="1" applyFont="1" applyAlignment="1">
      <alignment horizontal="center"/>
    </xf>
    <xf numFmtId="0" fontId="5" fillId="0" borderId="0" xfId="2" applyFont="1" applyAlignment="1">
      <alignment horizontal="center" vertical="center"/>
    </xf>
    <xf numFmtId="168" fontId="10" fillId="0" borderId="51" xfId="2" applyNumberFormat="1" applyFont="1" applyBorder="1" applyAlignment="1">
      <alignment vertical="center"/>
    </xf>
    <xf numFmtId="0" fontId="23" fillId="0" borderId="0" xfId="2" applyFont="1" applyAlignment="1">
      <alignment horizontal="center" vertical="center"/>
    </xf>
    <xf numFmtId="0" fontId="23" fillId="0" borderId="0" xfId="2" applyFont="1"/>
    <xf numFmtId="2" fontId="20" fillId="6" borderId="28" xfId="2" applyNumberFormat="1" applyFont="1" applyFill="1" applyBorder="1" applyAlignment="1">
      <alignment horizontal="center"/>
    </xf>
    <xf numFmtId="168" fontId="20" fillId="6" borderId="28" xfId="2" applyNumberFormat="1" applyFont="1" applyFill="1" applyBorder="1" applyAlignment="1">
      <alignment horizontal="center"/>
    </xf>
    <xf numFmtId="168" fontId="20" fillId="0" borderId="4" xfId="2" applyNumberFormat="1" applyFont="1" applyBorder="1" applyAlignment="1">
      <alignment horizontal="center"/>
    </xf>
    <xf numFmtId="2" fontId="20" fillId="0" borderId="61" xfId="2" applyNumberFormat="1" applyFont="1" applyBorder="1" applyAlignment="1">
      <alignment horizontal="center"/>
    </xf>
    <xf numFmtId="171" fontId="20" fillId="0" borderId="47" xfId="2" applyNumberFormat="1" applyFont="1" applyBorder="1"/>
    <xf numFmtId="0" fontId="23" fillId="0" borderId="58" xfId="2" applyFont="1" applyBorder="1" applyAlignment="1">
      <alignment horizontal="center" vertical="center"/>
    </xf>
    <xf numFmtId="168" fontId="20" fillId="0" borderId="53" xfId="2" applyNumberFormat="1" applyFont="1" applyBorder="1" applyAlignment="1">
      <alignment horizontal="right"/>
    </xf>
    <xf numFmtId="0" fontId="2" fillId="0" borderId="0" xfId="2" applyAlignment="1">
      <alignment horizontal="center" vertical="center"/>
    </xf>
    <xf numFmtId="2" fontId="2" fillId="0" borderId="0" xfId="2" applyNumberFormat="1"/>
    <xf numFmtId="0" fontId="20" fillId="6" borderId="61" xfId="2" applyFont="1" applyFill="1" applyBorder="1"/>
    <xf numFmtId="4" fontId="20" fillId="0" borderId="61" xfId="2" applyNumberFormat="1" applyFont="1" applyBorder="1"/>
    <xf numFmtId="2" fontId="22" fillId="0" borderId="61" xfId="2" applyNumberFormat="1" applyFont="1" applyBorder="1" applyAlignment="1">
      <alignment horizontal="center" vertical="center"/>
    </xf>
    <xf numFmtId="169" fontId="20" fillId="0" borderId="61" xfId="2" applyNumberFormat="1" applyFont="1" applyBorder="1" applyAlignment="1">
      <alignment horizontal="center" vertical="center"/>
    </xf>
    <xf numFmtId="168" fontId="20" fillId="0" borderId="54" xfId="2" applyNumberFormat="1" applyFont="1" applyBorder="1" applyAlignment="1">
      <alignment horizontal="center"/>
    </xf>
    <xf numFmtId="4" fontId="2" fillId="0" borderId="0" xfId="2" applyNumberFormat="1" applyAlignment="1">
      <alignment vertical="center" wrapText="1"/>
    </xf>
    <xf numFmtId="0" fontId="2" fillId="0" borderId="0" xfId="0" applyFont="1"/>
    <xf numFmtId="4" fontId="5" fillId="7" borderId="0" xfId="0" applyNumberFormat="1" applyFont="1" applyFill="1" applyAlignment="1">
      <alignment vertical="center" wrapText="1"/>
    </xf>
    <xf numFmtId="0" fontId="10" fillId="0" borderId="75" xfId="0" applyFont="1" applyBorder="1" applyAlignment="1">
      <alignment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25" fillId="7" borderId="82" xfId="0" applyFont="1" applyFill="1" applyBorder="1" applyAlignment="1">
      <alignment horizontal="center" vertical="center" wrapText="1"/>
    </xf>
    <xf numFmtId="0" fontId="25" fillId="0" borderId="83" xfId="0" applyFont="1" applyBorder="1" applyAlignment="1">
      <alignment vertical="center" wrapText="1"/>
    </xf>
    <xf numFmtId="0" fontId="25" fillId="7" borderId="83" xfId="0" applyFont="1" applyFill="1" applyBorder="1" applyAlignment="1">
      <alignment horizontal="center" vertical="center" wrapText="1"/>
    </xf>
    <xf numFmtId="4" fontId="25" fillId="7" borderId="83" xfId="0" applyNumberFormat="1" applyFont="1" applyFill="1" applyBorder="1" applyAlignment="1">
      <alignment horizontal="center" vertical="center" wrapText="1"/>
    </xf>
    <xf numFmtId="4" fontId="25" fillId="7" borderId="84" xfId="0" applyNumberFormat="1" applyFont="1" applyFill="1" applyBorder="1" applyAlignment="1">
      <alignment horizontal="right" vertical="center" wrapText="1"/>
    </xf>
    <xf numFmtId="2" fontId="25" fillId="7" borderId="83" xfId="0" applyNumberFormat="1" applyFont="1" applyFill="1" applyBorder="1" applyAlignment="1">
      <alignment horizontal="center" vertical="center" wrapText="1"/>
    </xf>
    <xf numFmtId="4" fontId="25" fillId="7" borderId="85" xfId="0" applyNumberFormat="1" applyFont="1" applyFill="1" applyBorder="1" applyAlignment="1">
      <alignment horizontal="right" vertical="center" wrapText="1"/>
    </xf>
    <xf numFmtId="4" fontId="10" fillId="9" borderId="89" xfId="0" applyNumberFormat="1" applyFont="1" applyFill="1" applyBorder="1" applyAlignment="1">
      <alignment horizontal="right" vertical="center" wrapText="1"/>
    </xf>
    <xf numFmtId="0" fontId="10" fillId="7" borderId="80" xfId="0" applyFont="1" applyFill="1" applyBorder="1" applyAlignment="1">
      <alignment horizontal="center" vertical="center" wrapText="1"/>
    </xf>
    <xf numFmtId="0" fontId="10" fillId="7" borderId="73" xfId="0" applyFont="1" applyFill="1" applyBorder="1" applyAlignment="1">
      <alignment horizontal="center" vertical="center" wrapText="1"/>
    </xf>
    <xf numFmtId="4" fontId="10" fillId="0" borderId="73" xfId="0" applyNumberFormat="1" applyFont="1" applyBorder="1" applyAlignment="1">
      <alignment horizontal="right" vertical="center" wrapText="1"/>
    </xf>
    <xf numFmtId="0" fontId="10" fillId="0" borderId="90" xfId="0" applyFont="1" applyBorder="1" applyAlignment="1">
      <alignment vertical="center" wrapText="1"/>
    </xf>
    <xf numFmtId="4" fontId="10" fillId="0" borderId="92" xfId="0" applyNumberFormat="1" applyFont="1" applyBorder="1" applyAlignment="1">
      <alignment horizontal="center" vertical="center" wrapText="1"/>
    </xf>
    <xf numFmtId="4" fontId="10" fillId="0" borderId="93" xfId="0" applyNumberFormat="1" applyFont="1" applyBorder="1" applyAlignment="1">
      <alignment horizontal="center" vertical="center" wrapText="1"/>
    </xf>
    <xf numFmtId="172" fontId="10" fillId="0" borderId="0" xfId="0" applyNumberFormat="1" applyFont="1" applyAlignment="1">
      <alignment horizontal="right" vertical="center" wrapText="1"/>
    </xf>
    <xf numFmtId="0" fontId="25" fillId="0" borderId="97" xfId="0" applyFont="1" applyBorder="1" applyAlignment="1">
      <alignment horizontal="center" vertical="center" wrapText="1"/>
    </xf>
    <xf numFmtId="4" fontId="25" fillId="0" borderId="98" xfId="0" applyNumberFormat="1" applyFont="1" applyBorder="1" applyAlignment="1">
      <alignment horizontal="left" vertical="center" wrapText="1"/>
    </xf>
    <xf numFmtId="4" fontId="25" fillId="0" borderId="99" xfId="0" applyNumberFormat="1" applyFont="1" applyBorder="1" applyAlignment="1">
      <alignment horizontal="left" vertical="center" wrapText="1"/>
    </xf>
    <xf numFmtId="4" fontId="25" fillId="0" borderId="100" xfId="0" applyNumberFormat="1" applyFont="1" applyBorder="1" applyAlignment="1">
      <alignment horizontal="left" vertical="center" wrapText="1"/>
    </xf>
    <xf numFmtId="4" fontId="25" fillId="0" borderId="101" xfId="0" applyNumberFormat="1" applyFont="1" applyBorder="1" applyAlignment="1">
      <alignment horizontal="center" vertical="center" wrapText="1"/>
    </xf>
    <xf numFmtId="172" fontId="25" fillId="0" borderId="101" xfId="0" applyNumberFormat="1" applyFont="1" applyBorder="1" applyAlignment="1">
      <alignment vertical="center" wrapText="1"/>
    </xf>
    <xf numFmtId="4" fontId="25" fillId="0" borderId="102" xfId="0" applyNumberFormat="1" applyFont="1" applyBorder="1" applyAlignment="1">
      <alignment vertical="center" wrapText="1"/>
    </xf>
    <xf numFmtId="0" fontId="25" fillId="7" borderId="103" xfId="0" applyFont="1" applyFill="1" applyBorder="1" applyAlignment="1">
      <alignment horizontal="center" vertical="center" wrapText="1"/>
    </xf>
    <xf numFmtId="4" fontId="10" fillId="9" borderId="106" xfId="0" applyNumberFormat="1" applyFont="1" applyFill="1" applyBorder="1" applyAlignment="1">
      <alignment horizontal="right" vertical="center" wrapText="1"/>
    </xf>
    <xf numFmtId="0" fontId="25" fillId="0" borderId="107" xfId="0" applyFont="1" applyBorder="1" applyAlignment="1">
      <alignment horizontal="center" vertical="center" wrapText="1"/>
    </xf>
    <xf numFmtId="4" fontId="10" fillId="0" borderId="104" xfId="0" applyNumberFormat="1" applyFont="1" applyBorder="1" applyAlignment="1">
      <alignment horizontal="center" vertical="center" wrapText="1"/>
    </xf>
    <xf numFmtId="4" fontId="25" fillId="0" borderId="104" xfId="0" applyNumberFormat="1" applyFont="1" applyBorder="1" applyAlignment="1">
      <alignment horizontal="center" vertical="center" wrapText="1"/>
    </xf>
    <xf numFmtId="4" fontId="10" fillId="0" borderId="104" xfId="0" applyNumberFormat="1" applyFont="1" applyBorder="1" applyAlignment="1">
      <alignment horizontal="right" vertical="center" wrapText="1"/>
    </xf>
    <xf numFmtId="0" fontId="25" fillId="0" borderId="82" xfId="0" applyFont="1" applyBorder="1" applyAlignment="1">
      <alignment horizontal="center" vertical="center" wrapText="1"/>
    </xf>
    <xf numFmtId="4" fontId="10" fillId="9" borderId="108" xfId="0" applyNumberFormat="1" applyFont="1" applyFill="1" applyBorder="1" applyAlignment="1">
      <alignment horizontal="right" vertical="center" wrapText="1"/>
    </xf>
    <xf numFmtId="4" fontId="10" fillId="0" borderId="73" xfId="0" applyNumberFormat="1" applyFont="1" applyBorder="1" applyAlignment="1">
      <alignment horizontal="center" vertical="center" wrapText="1"/>
    </xf>
    <xf numFmtId="4" fontId="25" fillId="0" borderId="73" xfId="0" applyNumberFormat="1" applyFont="1" applyBorder="1" applyAlignment="1">
      <alignment horizontal="center" vertical="center" wrapText="1"/>
    </xf>
    <xf numFmtId="0" fontId="25" fillId="7" borderId="109" xfId="0" applyFont="1" applyFill="1" applyBorder="1" applyAlignment="1">
      <alignment horizontal="center" vertical="center" wrapText="1"/>
    </xf>
    <xf numFmtId="4" fontId="25" fillId="0" borderId="83" xfId="0" applyNumberFormat="1" applyFont="1" applyBorder="1" applyAlignment="1">
      <alignment horizontal="center" vertical="center" wrapText="1"/>
    </xf>
    <xf numFmtId="4" fontId="25" fillId="0" borderId="111" xfId="0" applyNumberFormat="1" applyFont="1" applyBorder="1" applyAlignment="1">
      <alignment vertical="center" wrapText="1"/>
    </xf>
    <xf numFmtId="4" fontId="25" fillId="0" borderId="113" xfId="0" applyNumberFormat="1" applyFont="1" applyBorder="1" applyAlignment="1">
      <alignment vertical="center" wrapText="1"/>
    </xf>
    <xf numFmtId="0" fontId="2" fillId="0" borderId="103" xfId="0" applyFont="1" applyBorder="1"/>
    <xf numFmtId="173" fontId="0" fillId="0" borderId="0" xfId="0" applyNumberFormat="1"/>
    <xf numFmtId="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right" vertical="center" wrapText="1"/>
    </xf>
    <xf numFmtId="4" fontId="10" fillId="0" borderId="117" xfId="0" applyNumberFormat="1" applyFont="1" applyBorder="1" applyAlignment="1">
      <alignment horizontal="right" vertical="center" wrapText="1"/>
    </xf>
    <xf numFmtId="167" fontId="25" fillId="0" borderId="121" xfId="0" applyNumberFormat="1" applyFont="1" applyBorder="1" applyAlignment="1">
      <alignment horizontal="center" vertical="center" wrapText="1"/>
    </xf>
    <xf numFmtId="4" fontId="10" fillId="0" borderId="122" xfId="0" applyNumberFormat="1" applyFont="1" applyBorder="1" applyAlignment="1">
      <alignment horizontal="right" vertical="center" wrapText="1"/>
    </xf>
    <xf numFmtId="0" fontId="2" fillId="0" borderId="123" xfId="0" applyFont="1" applyBorder="1"/>
    <xf numFmtId="4" fontId="10" fillId="0" borderId="124" xfId="0" applyNumberFormat="1" applyFont="1" applyBorder="1" applyAlignment="1">
      <alignment vertical="center" wrapText="1"/>
    </xf>
    <xf numFmtId="4" fontId="10" fillId="0" borderId="108" xfId="0" applyNumberFormat="1" applyFont="1" applyBorder="1" applyAlignment="1">
      <alignment horizontal="right" vertical="center" wrapText="1"/>
    </xf>
    <xf numFmtId="174" fontId="26" fillId="0" borderId="125" xfId="0" applyNumberFormat="1" applyFont="1" applyBorder="1"/>
    <xf numFmtId="175" fontId="10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27" fillId="0" borderId="0" xfId="0" applyFont="1"/>
    <xf numFmtId="172" fontId="2" fillId="0" borderId="0" xfId="0" applyNumberFormat="1" applyFont="1"/>
    <xf numFmtId="172" fontId="20" fillId="0" borderId="0" xfId="0" applyNumberFormat="1" applyFont="1" applyAlignment="1">
      <alignment horizontal="left" vertical="center"/>
    </xf>
    <xf numFmtId="165" fontId="10" fillId="0" borderId="0" xfId="0" applyNumberFormat="1" applyFont="1" applyAlignment="1">
      <alignment horizontal="center" vertical="center" wrapText="1"/>
    </xf>
    <xf numFmtId="165" fontId="27" fillId="0" borderId="0" xfId="0" applyNumberFormat="1" applyFont="1"/>
    <xf numFmtId="0" fontId="25" fillId="0" borderId="0" xfId="0" applyFont="1" applyAlignment="1">
      <alignment vertical="center" wrapText="1"/>
    </xf>
    <xf numFmtId="0" fontId="25" fillId="0" borderId="0" xfId="0" applyFont="1"/>
    <xf numFmtId="0" fontId="13" fillId="0" borderId="0" xfId="0" applyFont="1"/>
    <xf numFmtId="0" fontId="20" fillId="0" borderId="0" xfId="0" applyFont="1"/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2" fillId="10" borderId="133" xfId="0" applyFont="1" applyFill="1" applyBorder="1" applyAlignment="1">
      <alignment horizontal="center" vertical="center"/>
    </xf>
    <xf numFmtId="0" fontId="32" fillId="10" borderId="121" xfId="0" applyFont="1" applyFill="1" applyBorder="1" applyAlignment="1">
      <alignment horizontal="center" vertical="center"/>
    </xf>
    <xf numFmtId="0" fontId="32" fillId="10" borderId="122" xfId="0" applyFont="1" applyFill="1" applyBorder="1" applyAlignment="1">
      <alignment horizontal="center" vertical="center"/>
    </xf>
    <xf numFmtId="0" fontId="11" fillId="0" borderId="134" xfId="0" applyFont="1" applyBorder="1" applyAlignment="1">
      <alignment horizontal="center" vertical="center"/>
    </xf>
    <xf numFmtId="0" fontId="11" fillId="0" borderId="135" xfId="0" applyFont="1" applyBorder="1" applyAlignment="1">
      <alignment horizontal="left" vertical="center" wrapText="1"/>
    </xf>
    <xf numFmtId="0" fontId="0" fillId="0" borderId="136" xfId="0" applyBorder="1" applyAlignment="1">
      <alignment horizontal="center" vertical="center"/>
    </xf>
    <xf numFmtId="2" fontId="0" fillId="0" borderId="136" xfId="0" applyNumberFormat="1" applyBorder="1" applyAlignment="1">
      <alignment horizontal="center" vertical="center"/>
    </xf>
    <xf numFmtId="0" fontId="0" fillId="0" borderId="117" xfId="0" applyBorder="1" applyAlignment="1">
      <alignment vertical="center"/>
    </xf>
    <xf numFmtId="176" fontId="0" fillId="0" borderId="135" xfId="0" applyNumberFormat="1" applyBorder="1" applyAlignment="1">
      <alignment vertical="center"/>
    </xf>
    <xf numFmtId="176" fontId="0" fillId="0" borderId="136" xfId="0" applyNumberFormat="1" applyBorder="1" applyAlignment="1">
      <alignment vertical="center"/>
    </xf>
    <xf numFmtId="176" fontId="0" fillId="0" borderId="117" xfId="0" applyNumberFormat="1" applyBorder="1" applyAlignment="1">
      <alignment vertical="center"/>
    </xf>
    <xf numFmtId="0" fontId="6" fillId="0" borderId="137" xfId="0" applyFont="1" applyBorder="1" applyAlignment="1">
      <alignment horizontal="center" vertical="center"/>
    </xf>
    <xf numFmtId="0" fontId="6" fillId="0" borderId="138" xfId="0" applyFont="1" applyBorder="1" applyAlignment="1">
      <alignment vertical="center" wrapText="1"/>
    </xf>
    <xf numFmtId="0" fontId="6" fillId="0" borderId="139" xfId="0" applyFont="1" applyBorder="1" applyAlignment="1">
      <alignment horizontal="center" vertical="center"/>
    </xf>
    <xf numFmtId="1" fontId="0" fillId="0" borderId="139" xfId="0" applyNumberFormat="1" applyBorder="1" applyAlignment="1">
      <alignment horizontal="center" vertical="center"/>
    </xf>
    <xf numFmtId="176" fontId="34" fillId="0" borderId="140" xfId="0" applyNumberFormat="1" applyFont="1" applyBorder="1" applyAlignment="1">
      <alignment horizontal="right" vertical="center"/>
    </xf>
    <xf numFmtId="176" fontId="35" fillId="0" borderId="138" xfId="0" applyNumberFormat="1" applyFont="1" applyBorder="1" applyAlignment="1">
      <alignment vertical="center"/>
    </xf>
    <xf numFmtId="176" fontId="35" fillId="0" borderId="139" xfId="0" applyNumberFormat="1" applyFont="1" applyBorder="1" applyAlignment="1">
      <alignment vertical="center"/>
    </xf>
    <xf numFmtId="176" fontId="35" fillId="0" borderId="140" xfId="0" applyNumberFormat="1" applyFont="1" applyBorder="1" applyAlignment="1">
      <alignment vertical="center"/>
    </xf>
    <xf numFmtId="0" fontId="11" fillId="0" borderId="137" xfId="0" applyFont="1" applyBorder="1" applyAlignment="1">
      <alignment horizontal="center" vertical="center"/>
    </xf>
    <xf numFmtId="0" fontId="11" fillId="0" borderId="138" xfId="0" applyFont="1" applyBorder="1" applyAlignment="1">
      <alignment vertical="center" wrapText="1"/>
    </xf>
    <xf numFmtId="176" fontId="35" fillId="11" borderId="141" xfId="0" applyNumberFormat="1" applyFont="1" applyFill="1" applyBorder="1" applyAlignment="1">
      <alignment horizontal="center" vertical="center"/>
    </xf>
    <xf numFmtId="176" fontId="35" fillId="11" borderId="142" xfId="0" applyNumberFormat="1" applyFont="1" applyFill="1" applyBorder="1" applyAlignment="1">
      <alignment horizontal="center" vertical="center"/>
    </xf>
    <xf numFmtId="176" fontId="35" fillId="11" borderId="143" xfId="0" applyNumberFormat="1" applyFont="1" applyFill="1" applyBorder="1" applyAlignment="1">
      <alignment horizontal="center" vertical="center"/>
    </xf>
    <xf numFmtId="176" fontId="35" fillId="11" borderId="144" xfId="0" applyNumberFormat="1" applyFont="1" applyFill="1" applyBorder="1" applyAlignment="1">
      <alignment horizontal="center" vertical="center"/>
    </xf>
    <xf numFmtId="176" fontId="35" fillId="11" borderId="145" xfId="0" applyNumberFormat="1" applyFont="1" applyFill="1" applyBorder="1" applyAlignment="1">
      <alignment horizontal="center" vertical="center"/>
    </xf>
    <xf numFmtId="176" fontId="35" fillId="11" borderId="146" xfId="0" applyNumberFormat="1" applyFont="1" applyFill="1" applyBorder="1" applyAlignment="1">
      <alignment horizontal="center" vertical="center"/>
    </xf>
    <xf numFmtId="176" fontId="35" fillId="11" borderId="14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80" xfId="0" applyFont="1" applyBorder="1" applyAlignment="1">
      <alignment vertical="center"/>
    </xf>
    <xf numFmtId="176" fontId="13" fillId="0" borderId="73" xfId="0" applyNumberFormat="1" applyFont="1" applyBorder="1" applyAlignment="1">
      <alignment vertical="center"/>
    </xf>
    <xf numFmtId="176" fontId="13" fillId="7" borderId="73" xfId="0" applyNumberFormat="1" applyFont="1" applyFill="1" applyBorder="1" applyAlignment="1">
      <alignment vertical="center"/>
    </xf>
    <xf numFmtId="176" fontId="13" fillId="0" borderId="74" xfId="0" applyNumberFormat="1" applyFont="1" applyBorder="1" applyAlignment="1">
      <alignment vertical="center"/>
    </xf>
    <xf numFmtId="176" fontId="35" fillId="11" borderId="148" xfId="0" applyNumberFormat="1" applyFont="1" applyFill="1" applyBorder="1" applyAlignment="1">
      <alignment horizontal="center" vertical="center"/>
    </xf>
    <xf numFmtId="176" fontId="35" fillId="11" borderId="14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0" fontId="36" fillId="0" borderId="0" xfId="0" applyFont="1" applyAlignment="1">
      <alignment horizontal="center" vertical="center"/>
    </xf>
    <xf numFmtId="2" fontId="1" fillId="0" borderId="139" xfId="0" applyNumberFormat="1" applyFont="1" applyBorder="1" applyAlignment="1">
      <alignment horizontal="center" vertical="center"/>
    </xf>
    <xf numFmtId="176" fontId="38" fillId="0" borderId="140" xfId="0" applyNumberFormat="1" applyFont="1" applyBorder="1" applyAlignment="1">
      <alignment horizontal="right" vertical="center"/>
    </xf>
    <xf numFmtId="176" fontId="35" fillId="12" borderId="138" xfId="0" applyNumberFormat="1" applyFont="1" applyFill="1" applyBorder="1" applyAlignment="1">
      <alignment vertical="center"/>
    </xf>
    <xf numFmtId="176" fontId="35" fillId="12" borderId="139" xfId="0" applyNumberFormat="1" applyFont="1" applyFill="1" applyBorder="1" applyAlignment="1">
      <alignment vertical="center"/>
    </xf>
    <xf numFmtId="176" fontId="35" fillId="0" borderId="121" xfId="0" applyNumberFormat="1" applyFont="1" applyBorder="1" applyAlignment="1">
      <alignment vertical="center"/>
    </xf>
    <xf numFmtId="176" fontId="35" fillId="0" borderId="133" xfId="0" applyNumberFormat="1" applyFont="1" applyBorder="1" applyAlignment="1">
      <alignment vertical="center"/>
    </xf>
    <xf numFmtId="176" fontId="35" fillId="0" borderId="122" xfId="0" applyNumberFormat="1" applyFont="1" applyBorder="1" applyAlignment="1">
      <alignment vertical="center"/>
    </xf>
    <xf numFmtId="0" fontId="6" fillId="0" borderId="152" xfId="0" applyFont="1" applyBorder="1" applyAlignment="1">
      <alignment horizontal="center" vertical="center"/>
    </xf>
    <xf numFmtId="2" fontId="1" fillId="0" borderId="152" xfId="0" applyNumberFormat="1" applyFont="1" applyBorder="1" applyAlignment="1">
      <alignment horizontal="center" vertical="center"/>
    </xf>
    <xf numFmtId="176" fontId="38" fillId="0" borderId="153" xfId="0" applyNumberFormat="1" applyFont="1" applyBorder="1" applyAlignment="1">
      <alignment horizontal="right" vertical="center"/>
    </xf>
    <xf numFmtId="176" fontId="35" fillId="0" borderId="151" xfId="0" applyNumberFormat="1" applyFont="1" applyBorder="1" applyAlignment="1">
      <alignment vertical="center"/>
    </xf>
    <xf numFmtId="176" fontId="35" fillId="0" borderId="152" xfId="0" applyNumberFormat="1" applyFont="1" applyBorder="1" applyAlignment="1">
      <alignment vertical="center"/>
    </xf>
    <xf numFmtId="176" fontId="35" fillId="0" borderId="153" xfId="0" applyNumberFormat="1" applyFont="1" applyBorder="1" applyAlignment="1">
      <alignment vertical="center"/>
    </xf>
    <xf numFmtId="0" fontId="6" fillId="0" borderId="150" xfId="0" applyFont="1" applyBorder="1" applyAlignment="1">
      <alignment horizontal="center" vertical="center"/>
    </xf>
    <xf numFmtId="0" fontId="6" fillId="0" borderId="151" xfId="0" applyFont="1" applyBorder="1" applyAlignment="1">
      <alignment vertical="center" wrapText="1"/>
    </xf>
    <xf numFmtId="176" fontId="31" fillId="0" borderId="123" xfId="0" applyNumberFormat="1" applyFont="1" applyBorder="1" applyAlignment="1">
      <alignment vertical="center"/>
    </xf>
    <xf numFmtId="176" fontId="31" fillId="0" borderId="81" xfId="0" applyNumberFormat="1" applyFont="1" applyBorder="1" applyAlignment="1">
      <alignment vertical="center"/>
    </xf>
    <xf numFmtId="176" fontId="11" fillId="0" borderId="49" xfId="0" applyNumberFormat="1" applyFont="1" applyBorder="1" applyAlignment="1">
      <alignment vertical="center"/>
    </xf>
    <xf numFmtId="176" fontId="35" fillId="12" borderId="140" xfId="0" applyNumberFormat="1" applyFont="1" applyFill="1" applyBorder="1" applyAlignment="1">
      <alignment vertical="center"/>
    </xf>
    <xf numFmtId="176" fontId="35" fillId="12" borderId="122" xfId="0" applyNumberFormat="1" applyFont="1" applyFill="1" applyBorder="1" applyAlignment="1">
      <alignment vertical="center"/>
    </xf>
    <xf numFmtId="176" fontId="35" fillId="12" borderId="153" xfId="0" applyNumberFormat="1" applyFont="1" applyFill="1" applyBorder="1" applyAlignment="1">
      <alignment vertical="center"/>
    </xf>
    <xf numFmtId="4" fontId="7" fillId="0" borderId="61" xfId="3" applyNumberFormat="1" applyFont="1" applyBorder="1" applyAlignment="1">
      <alignment vertical="center" wrapText="1"/>
    </xf>
    <xf numFmtId="43" fontId="7" fillId="0" borderId="61" xfId="5" applyFont="1" applyBorder="1" applyAlignment="1"/>
    <xf numFmtId="43" fontId="7" fillId="0" borderId="61" xfId="5" applyFont="1" applyBorder="1"/>
    <xf numFmtId="43" fontId="7" fillId="0" borderId="154" xfId="5" applyFont="1" applyBorder="1"/>
    <xf numFmtId="43" fontId="7" fillId="0" borderId="155" xfId="5" applyFont="1" applyBorder="1"/>
    <xf numFmtId="4" fontId="7" fillId="0" borderId="156" xfId="3" applyNumberFormat="1" applyFont="1" applyBorder="1" applyAlignment="1">
      <alignment vertical="center" wrapText="1"/>
    </xf>
    <xf numFmtId="43" fontId="7" fillId="0" borderId="156" xfId="5" applyFont="1" applyBorder="1" applyAlignment="1"/>
    <xf numFmtId="43" fontId="7" fillId="0" borderId="156" xfId="5" applyFont="1" applyBorder="1"/>
    <xf numFmtId="4" fontId="12" fillId="0" borderId="156" xfId="3" applyNumberFormat="1" applyFont="1" applyBorder="1" applyAlignment="1">
      <alignment vertical="center" wrapText="1"/>
    </xf>
    <xf numFmtId="0" fontId="2" fillId="0" borderId="0" xfId="2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0" xfId="2" applyFont="1" applyAlignment="1">
      <alignment horizontal="center"/>
    </xf>
    <xf numFmtId="164" fontId="7" fillId="0" borderId="36" xfId="2" applyNumberFormat="1" applyFont="1" applyBorder="1" applyAlignment="1">
      <alignment horizontal="right"/>
    </xf>
    <xf numFmtId="164" fontId="7" fillId="0" borderId="12" xfId="2" applyNumberFormat="1" applyFont="1" applyBorder="1" applyAlignment="1">
      <alignment horizontal="right"/>
    </xf>
    <xf numFmtId="0" fontId="12" fillId="3" borderId="23" xfId="2" applyFont="1" applyFill="1" applyBorder="1" applyAlignment="1">
      <alignment horizontal="center" vertical="center"/>
    </xf>
    <xf numFmtId="0" fontId="20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20" fillId="0" borderId="58" xfId="2" applyFont="1" applyBorder="1" applyAlignment="1">
      <alignment horizontal="center"/>
    </xf>
    <xf numFmtId="0" fontId="5" fillId="0" borderId="39" xfId="2" applyFont="1" applyBorder="1" applyAlignment="1">
      <alignment horizontal="center"/>
    </xf>
    <xf numFmtId="0" fontId="5" fillId="0" borderId="40" xfId="2" applyFont="1" applyBorder="1" applyAlignment="1">
      <alignment horizontal="center"/>
    </xf>
    <xf numFmtId="0" fontId="5" fillId="0" borderId="41" xfId="2" applyFont="1" applyBorder="1" applyAlignment="1">
      <alignment horizontal="center"/>
    </xf>
    <xf numFmtId="0" fontId="5" fillId="0" borderId="21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left"/>
    </xf>
    <xf numFmtId="0" fontId="2" fillId="0" borderId="0" xfId="2" applyBorder="1"/>
    <xf numFmtId="0" fontId="5" fillId="0" borderId="0" xfId="2" applyFont="1" applyBorder="1"/>
    <xf numFmtId="0" fontId="7" fillId="0" borderId="0" xfId="2" applyFont="1" applyBorder="1" applyAlignment="1">
      <alignment vertical="top" wrapText="1"/>
    </xf>
    <xf numFmtId="0" fontId="7" fillId="0" borderId="0" xfId="2" applyFont="1" applyBorder="1" applyAlignment="1">
      <alignment horizontal="center"/>
    </xf>
    <xf numFmtId="4" fontId="7" fillId="0" borderId="7" xfId="2" applyNumberFormat="1" applyFont="1" applyBorder="1"/>
    <xf numFmtId="4" fontId="7" fillId="0" borderId="160" xfId="2" applyNumberFormat="1" applyFont="1" applyBorder="1"/>
    <xf numFmtId="0" fontId="2" fillId="0" borderId="0" xfId="2" applyFill="1" applyBorder="1" applyAlignment="1">
      <alignment horizontal="center"/>
    </xf>
    <xf numFmtId="0" fontId="16" fillId="0" borderId="0" xfId="2" applyFont="1" applyFill="1" applyBorder="1" applyAlignment="1">
      <alignment horizontal="center" vertical="center" wrapText="1"/>
    </xf>
    <xf numFmtId="164" fontId="7" fillId="0" borderId="36" xfId="2" applyNumberFormat="1" applyFont="1" applyBorder="1" applyAlignment="1">
      <alignment horizontal="right"/>
    </xf>
    <xf numFmtId="164" fontId="7" fillId="0" borderId="12" xfId="2" applyNumberFormat="1" applyFont="1" applyBorder="1" applyAlignment="1">
      <alignment horizontal="right"/>
    </xf>
    <xf numFmtId="0" fontId="12" fillId="3" borderId="23" xfId="2" applyFont="1" applyFill="1" applyBorder="1" applyAlignment="1">
      <alignment horizontal="center" vertical="center"/>
    </xf>
    <xf numFmtId="0" fontId="7" fillId="0" borderId="0" xfId="2" applyFont="1" applyBorder="1" applyAlignment="1">
      <alignment vertical="center" wrapText="1"/>
    </xf>
    <xf numFmtId="0" fontId="2" fillId="0" borderId="8" xfId="2" quotePrefix="1" applyBorder="1" applyAlignment="1"/>
    <xf numFmtId="0" fontId="2" fillId="0" borderId="30" xfId="2" quotePrefix="1" applyBorder="1" applyAlignment="1"/>
    <xf numFmtId="0" fontId="2" fillId="0" borderId="42" xfId="2" quotePrefix="1" applyBorder="1" applyAlignment="1"/>
    <xf numFmtId="0" fontId="7" fillId="0" borderId="2" xfId="2" applyFont="1" applyBorder="1" applyAlignment="1">
      <alignment vertical="center" wrapText="1"/>
    </xf>
    <xf numFmtId="0" fontId="2" fillId="0" borderId="0" xfId="2" quotePrefix="1" applyBorder="1" applyAlignment="1"/>
    <xf numFmtId="0" fontId="7" fillId="0" borderId="42" xfId="2" applyFont="1" applyBorder="1" applyAlignment="1">
      <alignment vertical="center" wrapText="1"/>
    </xf>
    <xf numFmtId="4" fontId="16" fillId="5" borderId="168" xfId="2" applyNumberFormat="1" applyFont="1" applyFill="1" applyBorder="1"/>
    <xf numFmtId="0" fontId="5" fillId="0" borderId="21" xfId="2" applyFont="1" applyBorder="1" applyAlignment="1"/>
    <xf numFmtId="0" fontId="5" fillId="0" borderId="0" xfId="2" applyFont="1" applyBorder="1" applyAlignment="1"/>
    <xf numFmtId="0" fontId="7" fillId="0" borderId="47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157" xfId="2" applyFont="1" applyBorder="1" applyAlignment="1">
      <alignment vertical="center" wrapText="1"/>
    </xf>
    <xf numFmtId="0" fontId="7" fillId="0" borderId="31" xfId="2" applyFont="1" applyBorder="1" applyAlignment="1">
      <alignment vertical="center" wrapText="1"/>
    </xf>
    <xf numFmtId="0" fontId="2" fillId="0" borderId="1" xfId="2" applyFill="1" applyBorder="1" applyAlignment="1">
      <alignment horizontal="center"/>
    </xf>
    <xf numFmtId="0" fontId="2" fillId="0" borderId="2" xfId="2" applyFill="1" applyBorder="1" applyAlignment="1">
      <alignment horizontal="center"/>
    </xf>
    <xf numFmtId="0" fontId="16" fillId="0" borderId="2" xfId="2" applyFont="1" applyFill="1" applyBorder="1" applyAlignment="1">
      <alignment horizontal="center" vertical="center" wrapText="1"/>
    </xf>
    <xf numFmtId="4" fontId="16" fillId="0" borderId="27" xfId="2" applyNumberFormat="1" applyFont="1" applyFill="1" applyBorder="1"/>
    <xf numFmtId="0" fontId="2" fillId="0" borderId="8" xfId="2" applyFill="1" applyBorder="1" applyAlignment="1">
      <alignment horizontal="center"/>
    </xf>
    <xf numFmtId="4" fontId="16" fillId="0" borderId="21" xfId="2" applyNumberFormat="1" applyFont="1" applyFill="1" applyBorder="1"/>
    <xf numFmtId="0" fontId="7" fillId="0" borderId="32" xfId="2" applyFont="1" applyBorder="1" applyAlignment="1">
      <alignment horizontal="center"/>
    </xf>
    <xf numFmtId="0" fontId="5" fillId="0" borderId="42" xfId="2" applyFont="1" applyBorder="1" applyAlignment="1">
      <alignment horizontal="center"/>
    </xf>
    <xf numFmtId="0" fontId="5" fillId="0" borderId="42" xfId="2" applyFont="1" applyBorder="1" applyAlignment="1"/>
    <xf numFmtId="0" fontId="5" fillId="0" borderId="43" xfId="2" applyFont="1" applyBorder="1" applyAlignment="1"/>
    <xf numFmtId="0" fontId="5" fillId="0" borderId="0" xfId="2" applyFont="1" applyFill="1" applyAlignment="1">
      <alignment horizontal="center" vertical="center" wrapText="1"/>
    </xf>
    <xf numFmtId="0" fontId="2" fillId="0" borderId="0" xfId="2" applyFill="1" applyAlignment="1">
      <alignment horizontal="left" vertical="center" wrapText="1"/>
    </xf>
    <xf numFmtId="164" fontId="7" fillId="0" borderId="36" xfId="2" applyNumberFormat="1" applyFont="1" applyBorder="1" applyAlignment="1">
      <alignment horizontal="right"/>
    </xf>
    <xf numFmtId="164" fontId="7" fillId="0" borderId="12" xfId="2" applyNumberFormat="1" applyFont="1" applyBorder="1" applyAlignment="1">
      <alignment horizontal="right"/>
    </xf>
    <xf numFmtId="0" fontId="12" fillId="3" borderId="23" xfId="2" applyFont="1" applyFill="1" applyBorder="1" applyAlignment="1">
      <alignment horizontal="center" vertical="center"/>
    </xf>
    <xf numFmtId="0" fontId="20" fillId="0" borderId="58" xfId="2" applyFont="1" applyBorder="1" applyAlignment="1">
      <alignment horizontal="center"/>
    </xf>
    <xf numFmtId="168" fontId="20" fillId="0" borderId="54" xfId="2" applyNumberFormat="1" applyFont="1" applyBorder="1" applyAlignment="1">
      <alignment horizontal="center"/>
    </xf>
    <xf numFmtId="0" fontId="20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2" fillId="0" borderId="0" xfId="2" applyFill="1" applyAlignment="1">
      <alignment horizontal="center" vertical="center" wrapText="1"/>
    </xf>
    <xf numFmtId="2" fontId="2" fillId="0" borderId="0" xfId="2" applyNumberFormat="1" applyFill="1" applyAlignment="1">
      <alignment vertical="center" wrapText="1"/>
    </xf>
    <xf numFmtId="166" fontId="2" fillId="0" borderId="0" xfId="2" applyNumberFormat="1" applyFill="1" applyAlignment="1">
      <alignment horizontal="left" vertical="center" wrapText="1"/>
    </xf>
    <xf numFmtId="0" fontId="5" fillId="0" borderId="156" xfId="2" applyFont="1" applyBorder="1" applyAlignment="1">
      <alignment horizontal="center" vertical="center" wrapText="1"/>
    </xf>
    <xf numFmtId="14" fontId="5" fillId="0" borderId="156" xfId="2" applyNumberFormat="1" applyFont="1" applyBorder="1" applyAlignment="1">
      <alignment horizontal="center" vertical="center" wrapText="1"/>
    </xf>
    <xf numFmtId="0" fontId="5" fillId="0" borderId="156" xfId="2" applyFont="1" applyBorder="1" applyAlignment="1">
      <alignment horizontal="left" vertical="center" wrapText="1"/>
    </xf>
    <xf numFmtId="177" fontId="2" fillId="0" borderId="0" xfId="2" applyNumberFormat="1" applyAlignment="1">
      <alignment vertical="center" wrapText="1"/>
    </xf>
    <xf numFmtId="0" fontId="5" fillId="0" borderId="0" xfId="2" applyFont="1" applyAlignment="1">
      <alignment vertical="center" wrapText="1"/>
    </xf>
    <xf numFmtId="166" fontId="5" fillId="0" borderId="0" xfId="2" applyNumberFormat="1" applyFont="1" applyAlignment="1">
      <alignment vertical="center" wrapText="1"/>
    </xf>
    <xf numFmtId="0" fontId="2" fillId="0" borderId="0" xfId="2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0" xfId="2" applyFont="1" applyBorder="1" applyAlignment="1">
      <alignment horizontal="center" vertical="center" wrapText="1"/>
    </xf>
    <xf numFmtId="14" fontId="5" fillId="0" borderId="0" xfId="2" applyNumberFormat="1" applyFont="1" applyBorder="1" applyAlignment="1">
      <alignment horizontal="center" vertical="center" wrapText="1"/>
    </xf>
    <xf numFmtId="166" fontId="2" fillId="0" borderId="0" xfId="2" applyNumberFormat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2" fillId="0" borderId="0" xfId="2" applyBorder="1" applyAlignment="1">
      <alignment vertical="center"/>
    </xf>
    <xf numFmtId="0" fontId="2" fillId="0" borderId="0" xfId="2" applyBorder="1" applyAlignment="1">
      <alignment horizontal="left" vertical="center" wrapText="1"/>
    </xf>
    <xf numFmtId="0" fontId="2" fillId="0" borderId="0" xfId="2" applyAlignment="1">
      <alignment horizontal="left" vertical="center" wrapText="1"/>
    </xf>
    <xf numFmtId="178" fontId="2" fillId="0" borderId="0" xfId="2" applyNumberFormat="1"/>
    <xf numFmtId="179" fontId="7" fillId="0" borderId="13" xfId="2" applyNumberFormat="1" applyFont="1" applyBorder="1"/>
    <xf numFmtId="0" fontId="2" fillId="0" borderId="156" xfId="2" applyBorder="1"/>
    <xf numFmtId="165" fontId="7" fillId="0" borderId="156" xfId="1" applyFont="1" applyBorder="1" applyAlignment="1"/>
    <xf numFmtId="165" fontId="7" fillId="0" borderId="156" xfId="1" applyFont="1" applyBorder="1"/>
    <xf numFmtId="43" fontId="7" fillId="0" borderId="156" xfId="3" applyNumberFormat="1" applyFont="1" applyBorder="1" applyAlignment="1">
      <alignment vertical="center" wrapText="1"/>
    </xf>
    <xf numFmtId="43" fontId="7" fillId="0" borderId="156" xfId="5" applyNumberFormat="1" applyFont="1" applyBorder="1" applyAlignment="1"/>
    <xf numFmtId="43" fontId="7" fillId="0" borderId="156" xfId="5" applyNumberFormat="1" applyFont="1" applyBorder="1"/>
    <xf numFmtId="43" fontId="7" fillId="0" borderId="156" xfId="2" applyNumberFormat="1" applyFont="1" applyBorder="1"/>
    <xf numFmtId="43" fontId="7" fillId="0" borderId="156" xfId="2" applyNumberFormat="1" applyFont="1" applyFill="1" applyBorder="1"/>
    <xf numFmtId="43" fontId="7" fillId="0" borderId="156" xfId="1" applyNumberFormat="1" applyFont="1" applyBorder="1" applyAlignment="1"/>
    <xf numFmtId="43" fontId="7" fillId="0" borderId="156" xfId="1" applyNumberFormat="1" applyFont="1" applyBorder="1"/>
    <xf numFmtId="43" fontId="7" fillId="0" borderId="156" xfId="5" applyNumberFormat="1" applyFont="1" applyFill="1" applyBorder="1"/>
    <xf numFmtId="164" fontId="7" fillId="0" borderId="170" xfId="2" applyNumberFormat="1" applyFont="1" applyBorder="1" applyAlignment="1">
      <alignment horizontal="right"/>
    </xf>
    <xf numFmtId="164" fontId="7" fillId="0" borderId="169" xfId="2" applyNumberFormat="1" applyFont="1" applyBorder="1" applyAlignment="1">
      <alignment horizontal="right"/>
    </xf>
    <xf numFmtId="4" fontId="7" fillId="0" borderId="0" xfId="3" applyNumberFormat="1" applyFont="1" applyBorder="1" applyAlignment="1">
      <alignment vertical="center" wrapText="1"/>
    </xf>
    <xf numFmtId="165" fontId="7" fillId="0" borderId="155" xfId="1" applyFont="1" applyBorder="1"/>
    <xf numFmtId="180" fontId="2" fillId="0" borderId="0" xfId="2" applyNumberFormat="1"/>
    <xf numFmtId="0" fontId="2" fillId="0" borderId="0" xfId="2" applyAlignment="1">
      <alignment horizontal="left" vertical="center" wrapText="1"/>
    </xf>
    <xf numFmtId="0" fontId="5" fillId="0" borderId="156" xfId="2" applyFont="1" applyBorder="1" applyAlignment="1">
      <alignment horizontal="center" vertical="center" wrapText="1"/>
    </xf>
    <xf numFmtId="0" fontId="5" fillId="0" borderId="156" xfId="2" applyFont="1" applyBorder="1" applyAlignment="1">
      <alignment horizontal="left" vertical="center" wrapText="1"/>
    </xf>
    <xf numFmtId="0" fontId="2" fillId="0" borderId="15" xfId="2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0" fillId="0" borderId="0" xfId="0"/>
    <xf numFmtId="0" fontId="25" fillId="0" borderId="0" xfId="0" applyFont="1" applyAlignment="1">
      <alignment horizontal="center" vertical="center" wrapText="1"/>
    </xf>
    <xf numFmtId="4" fontId="10" fillId="0" borderId="87" xfId="0" applyNumberFormat="1" applyFont="1" applyBorder="1" applyAlignment="1">
      <alignment horizontal="center" vertical="center" wrapText="1"/>
    </xf>
    <xf numFmtId="0" fontId="24" fillId="0" borderId="87" xfId="0" applyFont="1" applyBorder="1"/>
    <xf numFmtId="0" fontId="24" fillId="0" borderId="88" xfId="0" applyFont="1" applyBorder="1"/>
    <xf numFmtId="4" fontId="10" fillId="0" borderId="114" xfId="0" applyNumberFormat="1" applyFont="1" applyBorder="1" applyAlignment="1">
      <alignment horizontal="left" vertical="center" wrapText="1"/>
    </xf>
    <xf numFmtId="0" fontId="24" fillId="0" borderId="115" xfId="0" applyFont="1" applyBorder="1"/>
    <xf numFmtId="0" fontId="24" fillId="0" borderId="116" xfId="0" applyFont="1" applyBorder="1"/>
    <xf numFmtId="4" fontId="10" fillId="0" borderId="118" xfId="0" applyNumberFormat="1" applyFont="1" applyBorder="1" applyAlignment="1">
      <alignment horizontal="left" vertical="center" wrapText="1"/>
    </xf>
    <xf numFmtId="0" fontId="24" fillId="0" borderId="119" xfId="0" applyFont="1" applyBorder="1"/>
    <xf numFmtId="0" fontId="24" fillId="0" borderId="120" xfId="0" applyFont="1" applyBorder="1"/>
    <xf numFmtId="4" fontId="10" fillId="0" borderId="72" xfId="0" applyNumberFormat="1" applyFont="1" applyBorder="1" applyAlignment="1">
      <alignment horizontal="left" vertical="center" wrapText="1"/>
    </xf>
    <xf numFmtId="0" fontId="24" fillId="0" borderId="73" xfId="0" applyFont="1" applyBorder="1"/>
    <xf numFmtId="0" fontId="10" fillId="0" borderId="0" xfId="0" applyFont="1" applyAlignment="1">
      <alignment horizontal="center" vertical="center" wrapText="1"/>
    </xf>
    <xf numFmtId="172" fontId="10" fillId="0" borderId="0" xfId="0" applyNumberFormat="1" applyFont="1" applyAlignment="1">
      <alignment horizontal="center" vertical="center" wrapText="1"/>
    </xf>
    <xf numFmtId="4" fontId="10" fillId="0" borderId="104" xfId="0" applyNumberFormat="1" applyFont="1" applyBorder="1" applyAlignment="1">
      <alignment horizontal="center" vertical="center" wrapText="1"/>
    </xf>
    <xf numFmtId="0" fontId="24" fillId="0" borderId="104" xfId="0" applyFont="1" applyBorder="1"/>
    <xf numFmtId="0" fontId="24" fillId="0" borderId="105" xfId="0" applyFont="1" applyBorder="1"/>
    <xf numFmtId="4" fontId="10" fillId="0" borderId="72" xfId="0" applyNumberFormat="1" applyFont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0" fontId="24" fillId="0" borderId="91" xfId="0" applyFont="1" applyBorder="1"/>
    <xf numFmtId="0" fontId="10" fillId="8" borderId="94" xfId="0" applyFont="1" applyFill="1" applyBorder="1" applyAlignment="1">
      <alignment horizontal="left" vertical="center" wrapText="1"/>
    </xf>
    <xf numFmtId="0" fontId="24" fillId="0" borderId="95" xfId="0" applyFont="1" applyBorder="1"/>
    <xf numFmtId="0" fontId="24" fillId="0" borderId="96" xfId="0" applyFont="1" applyBorder="1"/>
    <xf numFmtId="4" fontId="25" fillId="0" borderId="110" xfId="0" applyNumberFormat="1" applyFont="1" applyBorder="1" applyAlignment="1">
      <alignment horizontal="left" vertical="center" wrapText="1"/>
    </xf>
    <xf numFmtId="0" fontId="24" fillId="0" borderId="111" xfId="0" applyFont="1" applyBorder="1"/>
    <xf numFmtId="0" fontId="24" fillId="0" borderId="112" xfId="0" applyFont="1" applyBorder="1"/>
    <xf numFmtId="4" fontId="12" fillId="7" borderId="0" xfId="0" applyNumberFormat="1" applyFont="1" applyFill="1" applyAlignment="1">
      <alignment horizontal="center" vertical="center" wrapText="1"/>
    </xf>
    <xf numFmtId="0" fontId="24" fillId="0" borderId="0" xfId="0" applyFont="1"/>
    <xf numFmtId="4" fontId="5" fillId="7" borderId="72" xfId="0" applyNumberFormat="1" applyFont="1" applyFill="1" applyBorder="1" applyAlignment="1">
      <alignment horizontal="center" vertical="center" wrapText="1"/>
    </xf>
    <xf numFmtId="0" fontId="24" fillId="0" borderId="74" xfId="0" applyFont="1" applyBorder="1"/>
    <xf numFmtId="0" fontId="10" fillId="8" borderId="79" xfId="0" applyFont="1" applyFill="1" applyBorder="1" applyAlignment="1">
      <alignment horizontal="left" vertical="center" wrapText="1"/>
    </xf>
    <xf numFmtId="0" fontId="24" fillId="0" borderId="80" xfId="0" applyFont="1" applyBorder="1"/>
    <xf numFmtId="0" fontId="24" fillId="0" borderId="81" xfId="0" applyFont="1" applyBorder="1"/>
    <xf numFmtId="0" fontId="10" fillId="7" borderId="8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0" fontId="29" fillId="0" borderId="48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/>
    </xf>
    <xf numFmtId="0" fontId="31" fillId="0" borderId="79" xfId="0" applyFont="1" applyBorder="1" applyAlignment="1">
      <alignment horizontal="center" vertical="center"/>
    </xf>
    <xf numFmtId="0" fontId="24" fillId="0" borderId="80" xfId="0" applyFont="1" applyBorder="1" applyAlignment="1">
      <alignment vertical="center"/>
    </xf>
    <xf numFmtId="0" fontId="24" fillId="0" borderId="81" xfId="0" applyFont="1" applyBorder="1" applyAlignment="1">
      <alignment vertical="center"/>
    </xf>
    <xf numFmtId="0" fontId="32" fillId="10" borderId="1" xfId="0" applyFont="1" applyFill="1" applyBorder="1" applyAlignment="1">
      <alignment horizontal="center" vertical="center"/>
    </xf>
    <xf numFmtId="0" fontId="24" fillId="0" borderId="8" xfId="0" applyFont="1" applyBorder="1" applyAlignment="1">
      <alignment vertical="center"/>
    </xf>
    <xf numFmtId="0" fontId="32" fillId="10" borderId="126" xfId="0" applyFont="1" applyFill="1" applyBorder="1" applyAlignment="1">
      <alignment horizontal="center" vertical="center"/>
    </xf>
    <xf numFmtId="0" fontId="24" fillId="0" borderId="75" xfId="0" applyFont="1" applyBorder="1" applyAlignment="1">
      <alignment vertical="center"/>
    </xf>
    <xf numFmtId="0" fontId="32" fillId="10" borderId="127" xfId="0" applyFont="1" applyFill="1" applyBorder="1" applyAlignment="1">
      <alignment horizontal="center" vertical="center"/>
    </xf>
    <xf numFmtId="0" fontId="24" fillId="0" borderId="132" xfId="0" applyFont="1" applyBorder="1" applyAlignment="1">
      <alignment vertical="center"/>
    </xf>
    <xf numFmtId="0" fontId="33" fillId="10" borderId="128" xfId="0" applyFont="1" applyFill="1" applyBorder="1" applyAlignment="1">
      <alignment horizontal="center" vertical="center" wrapText="1"/>
    </xf>
    <xf numFmtId="0" fontId="24" fillId="0" borderId="106" xfId="0" applyFont="1" applyBorder="1" applyAlignment="1">
      <alignment vertical="center"/>
    </xf>
    <xf numFmtId="0" fontId="32" fillId="10" borderId="129" xfId="0" applyFont="1" applyFill="1" applyBorder="1" applyAlignment="1">
      <alignment horizontal="center" vertical="center"/>
    </xf>
    <xf numFmtId="0" fontId="24" fillId="0" borderId="130" xfId="0" applyFont="1" applyBorder="1" applyAlignment="1">
      <alignment vertical="center"/>
    </xf>
    <xf numFmtId="0" fontId="24" fillId="0" borderId="131" xfId="0" applyFont="1" applyBorder="1" applyAlignment="1">
      <alignment vertical="center"/>
    </xf>
    <xf numFmtId="49" fontId="28" fillId="0" borderId="48" xfId="0" applyNumberFormat="1" applyFont="1" applyBorder="1" applyAlignment="1">
      <alignment horizontal="center" vertical="center"/>
    </xf>
    <xf numFmtId="49" fontId="28" fillId="0" borderId="25" xfId="0" applyNumberFormat="1" applyFont="1" applyBorder="1" applyAlignment="1">
      <alignment horizontal="center" vertical="center"/>
    </xf>
    <xf numFmtId="49" fontId="28" fillId="0" borderId="49" xfId="0" applyNumberFormat="1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8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9" xfId="2" applyFont="1" applyBorder="1" applyAlignment="1">
      <alignment horizontal="center"/>
    </xf>
    <xf numFmtId="0" fontId="4" fillId="0" borderId="4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5" xfId="2" applyFont="1" applyBorder="1" applyAlignment="1">
      <alignment horizontal="left"/>
    </xf>
    <xf numFmtId="0" fontId="4" fillId="0" borderId="6" xfId="2" applyFont="1" applyBorder="1" applyAlignment="1">
      <alignment horizontal="left"/>
    </xf>
    <xf numFmtId="0" fontId="4" fillId="0" borderId="7" xfId="2" applyFont="1" applyBorder="1" applyAlignment="1">
      <alignment horizontal="left"/>
    </xf>
    <xf numFmtId="0" fontId="4" fillId="0" borderId="10" xfId="2" applyFont="1" applyBorder="1" applyAlignment="1">
      <alignment horizontal="left"/>
    </xf>
    <xf numFmtId="0" fontId="4" fillId="0" borderId="11" xfId="2" applyFont="1" applyBorder="1" applyAlignment="1">
      <alignment horizontal="left"/>
    </xf>
    <xf numFmtId="0" fontId="4" fillId="0" borderId="13" xfId="2" applyFont="1" applyBorder="1" applyAlignment="1">
      <alignment horizontal="left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12" xfId="2" applyFont="1" applyFill="1" applyBorder="1" applyAlignment="1">
      <alignment horizontal="center" vertical="center"/>
    </xf>
    <xf numFmtId="0" fontId="4" fillId="0" borderId="14" xfId="2" applyFont="1" applyBorder="1" applyAlignment="1">
      <alignment horizontal="left"/>
    </xf>
    <xf numFmtId="0" fontId="4" fillId="0" borderId="15" xfId="2" applyFont="1" applyBorder="1" applyAlignment="1">
      <alignment horizontal="left"/>
    </xf>
    <xf numFmtId="0" fontId="4" fillId="0" borderId="16" xfId="2" applyFont="1" applyBorder="1" applyAlignment="1">
      <alignment horizontal="left"/>
    </xf>
    <xf numFmtId="0" fontId="5" fillId="3" borderId="17" xfId="2" applyFont="1" applyFill="1" applyBorder="1" applyAlignment="1">
      <alignment horizontal="center" vertical="center" wrapText="1"/>
    </xf>
    <xf numFmtId="0" fontId="5" fillId="3" borderId="18" xfId="2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5" fillId="3" borderId="17" xfId="2" applyFont="1" applyFill="1" applyBorder="1" applyAlignment="1">
      <alignment horizontal="center" vertical="center"/>
    </xf>
    <xf numFmtId="0" fontId="5" fillId="3" borderId="18" xfId="2" applyFont="1" applyFill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2" fillId="0" borderId="18" xfId="2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3" borderId="14" xfId="2" applyFont="1" applyFill="1" applyBorder="1" applyAlignment="1">
      <alignment horizontal="center" vertical="center"/>
    </xf>
    <xf numFmtId="0" fontId="5" fillId="3" borderId="15" xfId="2" applyFont="1" applyFill="1" applyBorder="1" applyAlignment="1">
      <alignment horizontal="center" vertical="center"/>
    </xf>
    <xf numFmtId="0" fontId="5" fillId="3" borderId="19" xfId="2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10" fillId="3" borderId="19" xfId="2" applyFont="1" applyFill="1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2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0" xfId="2" applyAlignment="1">
      <alignment horizontal="center"/>
    </xf>
    <xf numFmtId="0" fontId="2" fillId="0" borderId="21" xfId="2" applyBorder="1" applyAlignment="1">
      <alignment horizontal="center"/>
    </xf>
    <xf numFmtId="0" fontId="2" fillId="0" borderId="0" xfId="2" applyBorder="1" applyAlignment="1">
      <alignment horizontal="center"/>
    </xf>
    <xf numFmtId="0" fontId="5" fillId="4" borderId="1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/>
    </xf>
    <xf numFmtId="0" fontId="5" fillId="4" borderId="30" xfId="2" applyFont="1" applyFill="1" applyBorder="1" applyAlignment="1">
      <alignment horizontal="center" vertical="center"/>
    </xf>
    <xf numFmtId="0" fontId="5" fillId="4" borderId="31" xfId="2" applyFont="1" applyFill="1" applyBorder="1" applyAlignment="1">
      <alignment horizontal="center" vertical="center"/>
    </xf>
    <xf numFmtId="0" fontId="5" fillId="3" borderId="28" xfId="2" quotePrefix="1" applyFont="1" applyFill="1" applyBorder="1" applyAlignment="1">
      <alignment horizontal="center" vertical="center"/>
    </xf>
    <xf numFmtId="0" fontId="5" fillId="3" borderId="32" xfId="2" quotePrefix="1" applyFont="1" applyFill="1" applyBorder="1" applyAlignment="1">
      <alignment horizontal="center" vertical="center"/>
    </xf>
    <xf numFmtId="0" fontId="5" fillId="3" borderId="28" xfId="2" quotePrefix="1" applyFont="1" applyFill="1" applyBorder="1" applyAlignment="1">
      <alignment horizontal="center"/>
    </xf>
    <xf numFmtId="0" fontId="5" fillId="3" borderId="28" xfId="2" applyFont="1" applyFill="1" applyBorder="1" applyAlignment="1">
      <alignment horizontal="center"/>
    </xf>
    <xf numFmtId="164" fontId="7" fillId="0" borderId="34" xfId="2" applyNumberFormat="1" applyFont="1" applyBorder="1" applyAlignment="1">
      <alignment horizontal="right"/>
    </xf>
    <xf numFmtId="164" fontId="7" fillId="0" borderId="19" xfId="2" applyNumberFormat="1" applyFont="1" applyBorder="1" applyAlignment="1">
      <alignment horizontal="right"/>
    </xf>
    <xf numFmtId="164" fontId="7" fillId="0" borderId="36" xfId="2" applyNumberFormat="1" applyFont="1" applyBorder="1" applyAlignment="1">
      <alignment horizontal="right"/>
    </xf>
    <xf numFmtId="164" fontId="7" fillId="0" borderId="12" xfId="2" applyNumberFormat="1" applyFont="1" applyBorder="1" applyAlignment="1">
      <alignment horizontal="right"/>
    </xf>
    <xf numFmtId="0" fontId="12" fillId="3" borderId="22" xfId="2" applyFont="1" applyFill="1" applyBorder="1" applyAlignment="1">
      <alignment horizontal="center" vertical="center"/>
    </xf>
    <xf numFmtId="0" fontId="12" fillId="3" borderId="23" xfId="2" applyFont="1" applyFill="1" applyBorder="1" applyAlignment="1">
      <alignment horizontal="center" vertical="center"/>
    </xf>
    <xf numFmtId="0" fontId="5" fillId="0" borderId="24" xfId="2" applyFont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6" fillId="0" borderId="24" xfId="2" applyFont="1" applyBorder="1" applyAlignment="1">
      <alignment horizontal="center" vertical="center" wrapText="1"/>
    </xf>
    <xf numFmtId="0" fontId="6" fillId="0" borderId="25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27" xfId="2" applyFont="1" applyBorder="1" applyAlignment="1">
      <alignment horizontal="center" vertical="center" wrapText="1"/>
    </xf>
    <xf numFmtId="4" fontId="13" fillId="3" borderId="29" xfId="2" applyNumberFormat="1" applyFont="1" applyFill="1" applyBorder="1" applyAlignment="1">
      <alignment horizontal="center" vertical="center"/>
    </xf>
    <xf numFmtId="4" fontId="13" fillId="3" borderId="33" xfId="2" applyNumberFormat="1" applyFont="1" applyFill="1" applyBorder="1" applyAlignment="1">
      <alignment horizontal="center" vertical="center"/>
    </xf>
    <xf numFmtId="164" fontId="7" fillId="0" borderId="45" xfId="2" applyNumberFormat="1" applyFont="1" applyBorder="1" applyAlignment="1">
      <alignment horizontal="right"/>
    </xf>
    <xf numFmtId="164" fontId="7" fillId="0" borderId="46" xfId="2" applyNumberFormat="1" applyFont="1" applyBorder="1" applyAlignment="1">
      <alignment horizontal="right"/>
    </xf>
    <xf numFmtId="0" fontId="16" fillId="5" borderId="164" xfId="2" applyFont="1" applyFill="1" applyBorder="1" applyAlignment="1">
      <alignment horizontal="center" vertical="center" wrapText="1"/>
    </xf>
    <xf numFmtId="0" fontId="16" fillId="5" borderId="154" xfId="2" applyFont="1" applyFill="1" applyBorder="1" applyAlignment="1">
      <alignment horizontal="center" vertical="center" wrapText="1"/>
    </xf>
    <xf numFmtId="0" fontId="16" fillId="5" borderId="165" xfId="2" applyFont="1" applyFill="1" applyBorder="1" applyAlignment="1">
      <alignment horizontal="center" vertical="center" wrapText="1"/>
    </xf>
    <xf numFmtId="164" fontId="7" fillId="0" borderId="37" xfId="2" applyNumberFormat="1" applyFont="1" applyBorder="1" applyAlignment="1">
      <alignment horizontal="right"/>
    </xf>
    <xf numFmtId="164" fontId="7" fillId="0" borderId="38" xfId="2" applyNumberFormat="1" applyFont="1" applyBorder="1" applyAlignment="1">
      <alignment horizontal="right"/>
    </xf>
    <xf numFmtId="0" fontId="5" fillId="0" borderId="158" xfId="2" applyFont="1" applyBorder="1" applyAlignment="1">
      <alignment horizontal="center"/>
    </xf>
    <xf numFmtId="0" fontId="5" fillId="0" borderId="28" xfId="2" applyFont="1" applyBorder="1" applyAlignment="1">
      <alignment horizontal="center"/>
    </xf>
    <xf numFmtId="0" fontId="5" fillId="0" borderId="29" xfId="2" applyFont="1" applyBorder="1" applyAlignment="1">
      <alignment horizontal="center"/>
    </xf>
    <xf numFmtId="0" fontId="12" fillId="0" borderId="159" xfId="2" applyFont="1" applyBorder="1" applyAlignment="1">
      <alignment horizontal="center" vertical="center" wrapText="1"/>
    </xf>
    <xf numFmtId="0" fontId="12" fillId="0" borderId="156" xfId="2" applyFont="1" applyBorder="1" applyAlignment="1">
      <alignment horizontal="center" vertical="center" wrapText="1"/>
    </xf>
    <xf numFmtId="0" fontId="12" fillId="0" borderId="155" xfId="2" applyFont="1" applyBorder="1" applyAlignment="1">
      <alignment horizontal="center" vertical="center" wrapText="1"/>
    </xf>
    <xf numFmtId="0" fontId="2" fillId="0" borderId="30" xfId="2" quotePrefix="1" applyBorder="1" applyAlignment="1">
      <alignment horizontal="center"/>
    </xf>
    <xf numFmtId="0" fontId="2" fillId="0" borderId="42" xfId="2" quotePrefix="1" applyBorder="1" applyAlignment="1">
      <alignment horizontal="center"/>
    </xf>
    <xf numFmtId="0" fontId="2" fillId="0" borderId="31" xfId="2" quotePrefix="1" applyBorder="1" applyAlignment="1">
      <alignment horizontal="center"/>
    </xf>
    <xf numFmtId="0" fontId="5" fillId="0" borderId="157" xfId="2" applyFont="1" applyBorder="1" applyAlignment="1">
      <alignment horizontal="center"/>
    </xf>
    <xf numFmtId="0" fontId="5" fillId="0" borderId="42" xfId="2" applyFont="1" applyBorder="1" applyAlignment="1">
      <alignment horizontal="center"/>
    </xf>
    <xf numFmtId="0" fontId="5" fillId="0" borderId="43" xfId="2" applyFont="1" applyBorder="1" applyAlignment="1">
      <alignment horizontal="center"/>
    </xf>
    <xf numFmtId="0" fontId="5" fillId="0" borderId="47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21" xfId="2" applyFont="1" applyBorder="1" applyAlignment="1">
      <alignment horizontal="center"/>
    </xf>
    <xf numFmtId="0" fontId="2" fillId="0" borderId="8" xfId="2" quotePrefix="1" applyBorder="1" applyAlignment="1">
      <alignment horizontal="center"/>
    </xf>
    <xf numFmtId="0" fontId="2" fillId="0" borderId="0" xfId="2" quotePrefix="1" applyBorder="1" applyAlignment="1">
      <alignment horizontal="center"/>
    </xf>
    <xf numFmtId="0" fontId="2" fillId="0" borderId="9" xfId="2" quotePrefix="1" applyBorder="1" applyAlignment="1">
      <alignment horizontal="center"/>
    </xf>
    <xf numFmtId="0" fontId="5" fillId="0" borderId="39" xfId="2" applyFont="1" applyBorder="1" applyAlignment="1">
      <alignment horizontal="center"/>
    </xf>
    <xf numFmtId="0" fontId="5" fillId="0" borderId="40" xfId="2" applyFont="1" applyBorder="1" applyAlignment="1">
      <alignment horizontal="center"/>
    </xf>
    <xf numFmtId="0" fontId="5" fillId="0" borderId="41" xfId="2" applyFont="1" applyBorder="1" applyAlignment="1">
      <alignment horizontal="center"/>
    </xf>
    <xf numFmtId="0" fontId="12" fillId="0" borderId="17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wrapText="1"/>
    </xf>
    <xf numFmtId="0" fontId="12" fillId="0" borderId="20" xfId="2" applyFont="1" applyBorder="1" applyAlignment="1">
      <alignment horizontal="center" vertical="center" wrapText="1"/>
    </xf>
    <xf numFmtId="0" fontId="12" fillId="0" borderId="164" xfId="2" applyFont="1" applyBorder="1" applyAlignment="1">
      <alignment horizontal="center" vertical="center" wrapText="1"/>
    </xf>
    <xf numFmtId="0" fontId="12" fillId="0" borderId="154" xfId="2" applyFont="1" applyBorder="1" applyAlignment="1">
      <alignment horizontal="center" vertical="center" wrapText="1"/>
    </xf>
    <xf numFmtId="0" fontId="12" fillId="0" borderId="165" xfId="2" applyFont="1" applyBorder="1" applyAlignment="1">
      <alignment horizontal="center" vertical="center" wrapText="1"/>
    </xf>
    <xf numFmtId="0" fontId="16" fillId="5" borderId="166" xfId="2" applyFont="1" applyFill="1" applyBorder="1" applyAlignment="1">
      <alignment horizontal="center" vertical="center" wrapText="1"/>
    </xf>
    <xf numFmtId="0" fontId="16" fillId="5" borderId="167" xfId="2" applyFont="1" applyFill="1" applyBorder="1" applyAlignment="1">
      <alignment horizontal="center" vertical="center" wrapText="1"/>
    </xf>
    <xf numFmtId="0" fontId="16" fillId="5" borderId="50" xfId="2" applyFont="1" applyFill="1" applyBorder="1" applyAlignment="1">
      <alignment horizontal="center" vertical="center" wrapText="1"/>
    </xf>
    <xf numFmtId="0" fontId="2" fillId="0" borderId="30" xfId="2" applyBorder="1" applyAlignment="1">
      <alignment horizontal="center"/>
    </xf>
    <xf numFmtId="0" fontId="2" fillId="0" borderId="42" xfId="2" applyBorder="1" applyAlignment="1">
      <alignment horizontal="center"/>
    </xf>
    <xf numFmtId="0" fontId="2" fillId="0" borderId="43" xfId="2" applyBorder="1" applyAlignment="1">
      <alignment horizontal="center"/>
    </xf>
    <xf numFmtId="0" fontId="16" fillId="5" borderId="161" xfId="2" applyFont="1" applyFill="1" applyBorder="1" applyAlignment="1">
      <alignment horizontal="center" vertical="center" wrapText="1"/>
    </xf>
    <xf numFmtId="0" fontId="16" fillId="5" borderId="162" xfId="2" applyFont="1" applyFill="1" applyBorder="1" applyAlignment="1">
      <alignment horizontal="center" vertical="center" wrapText="1"/>
    </xf>
    <xf numFmtId="0" fontId="16" fillId="5" borderId="163" xfId="2" applyFont="1" applyFill="1" applyBorder="1" applyAlignment="1">
      <alignment horizontal="center" vertical="center" wrapText="1"/>
    </xf>
    <xf numFmtId="0" fontId="20" fillId="0" borderId="63" xfId="2" applyFont="1" applyBorder="1" applyAlignment="1">
      <alignment vertical="center"/>
    </xf>
    <xf numFmtId="0" fontId="20" fillId="0" borderId="64" xfId="2" applyFont="1" applyBorder="1" applyAlignment="1">
      <alignment vertical="center"/>
    </xf>
    <xf numFmtId="0" fontId="16" fillId="0" borderId="42" xfId="2" applyFont="1" applyBorder="1" applyAlignment="1">
      <alignment horizontal="center"/>
    </xf>
    <xf numFmtId="0" fontId="5" fillId="0" borderId="24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49" xfId="2" applyFont="1" applyBorder="1" applyAlignment="1">
      <alignment horizontal="center" vertical="center"/>
    </xf>
    <xf numFmtId="0" fontId="13" fillId="0" borderId="48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3" fillId="0" borderId="49" xfId="2" applyFont="1" applyBorder="1" applyAlignment="1">
      <alignment horizontal="center" vertical="center"/>
    </xf>
    <xf numFmtId="0" fontId="20" fillId="0" borderId="48" xfId="2" applyFont="1" applyBorder="1" applyAlignment="1">
      <alignment horizontal="center" vertical="center" wrapText="1"/>
    </xf>
    <xf numFmtId="0" fontId="20" fillId="0" borderId="25" xfId="2" applyFont="1" applyBorder="1" applyAlignment="1">
      <alignment horizontal="center" vertical="center" wrapText="1"/>
    </xf>
    <xf numFmtId="0" fontId="20" fillId="0" borderId="49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1" fillId="0" borderId="2" xfId="2" applyFont="1" applyBorder="1" applyAlignment="1">
      <alignment horizontal="center" vertical="center" wrapText="1"/>
    </xf>
    <xf numFmtId="0" fontId="21" fillId="0" borderId="27" xfId="2" applyFont="1" applyBorder="1" applyAlignment="1">
      <alignment horizontal="center" vertical="center" wrapText="1"/>
    </xf>
    <xf numFmtId="0" fontId="21" fillId="0" borderId="8" xfId="2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 wrapText="1"/>
    </xf>
    <xf numFmtId="0" fontId="21" fillId="0" borderId="21" xfId="2" applyFont="1" applyBorder="1" applyAlignment="1">
      <alignment horizontal="center" vertical="center" wrapText="1"/>
    </xf>
    <xf numFmtId="0" fontId="21" fillId="0" borderId="30" xfId="2" applyFont="1" applyBorder="1" applyAlignment="1">
      <alignment horizontal="center" vertical="center" wrapText="1"/>
    </xf>
    <xf numFmtId="0" fontId="21" fillId="0" borderId="42" xfId="2" applyFont="1" applyBorder="1" applyAlignment="1">
      <alignment horizontal="center" vertical="center" wrapText="1"/>
    </xf>
    <xf numFmtId="0" fontId="21" fillId="0" borderId="43" xfId="2" applyFont="1" applyBorder="1" applyAlignment="1">
      <alignment horizontal="center" vertical="center" wrapText="1"/>
    </xf>
    <xf numFmtId="0" fontId="10" fillId="0" borderId="48" xfId="2" applyFont="1" applyBorder="1" applyAlignment="1">
      <alignment horizontal="left" vertical="center"/>
    </xf>
    <xf numFmtId="0" fontId="10" fillId="0" borderId="25" xfId="2" applyFont="1" applyBorder="1" applyAlignment="1">
      <alignment horizontal="left" vertical="center"/>
    </xf>
    <xf numFmtId="0" fontId="20" fillId="0" borderId="58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57" xfId="2" applyFont="1" applyBorder="1" applyAlignment="1">
      <alignment horizontal="center"/>
    </xf>
    <xf numFmtId="0" fontId="20" fillId="6" borderId="63" xfId="2" applyFont="1" applyFill="1" applyBorder="1" applyAlignment="1">
      <alignment horizontal="center" vertical="center"/>
    </xf>
    <xf numFmtId="0" fontId="20" fillId="6" borderId="64" xfId="2" applyFont="1" applyFill="1" applyBorder="1" applyAlignment="1">
      <alignment horizontal="center" vertical="center"/>
    </xf>
    <xf numFmtId="0" fontId="20" fillId="0" borderId="63" xfId="2" applyFont="1" applyBorder="1" applyAlignment="1">
      <alignment horizontal="left" vertical="center" wrapText="1"/>
    </xf>
    <xf numFmtId="0" fontId="20" fillId="0" borderId="64" xfId="2" applyFont="1" applyBorder="1" applyAlignment="1">
      <alignment horizontal="left" vertical="center" wrapText="1"/>
    </xf>
    <xf numFmtId="0" fontId="20" fillId="0" borderId="6" xfId="2" applyFont="1" applyBorder="1"/>
    <xf numFmtId="0" fontId="20" fillId="0" borderId="7" xfId="2" applyFont="1" applyBorder="1"/>
    <xf numFmtId="0" fontId="20" fillId="0" borderId="71" xfId="2" applyFont="1" applyBorder="1" applyAlignment="1">
      <alignment horizontal="left"/>
    </xf>
    <xf numFmtId="0" fontId="20" fillId="0" borderId="61" xfId="2" applyFont="1" applyBorder="1" applyAlignment="1">
      <alignment horizontal="left"/>
    </xf>
    <xf numFmtId="168" fontId="20" fillId="0" borderId="53" xfId="2" applyNumberFormat="1" applyFont="1" applyBorder="1" applyAlignment="1">
      <alignment horizontal="center"/>
    </xf>
    <xf numFmtId="168" fontId="20" fillId="0" borderId="54" xfId="2" applyNumberFormat="1" applyFont="1" applyBorder="1" applyAlignment="1">
      <alignment horizontal="center"/>
    </xf>
    <xf numFmtId="0" fontId="20" fillId="0" borderId="63" xfId="2" applyFont="1" applyBorder="1" applyAlignment="1">
      <alignment horizontal="left"/>
    </xf>
    <xf numFmtId="0" fontId="20" fillId="0" borderId="64" xfId="2" applyFont="1" applyBorder="1" applyAlignment="1">
      <alignment horizontal="left"/>
    </xf>
    <xf numFmtId="0" fontId="20" fillId="0" borderId="55" xfId="2" applyFont="1" applyBorder="1" applyAlignment="1">
      <alignment horizontal="left" vertical="center" wrapText="1"/>
    </xf>
    <xf numFmtId="0" fontId="20" fillId="0" borderId="56" xfId="2" applyFont="1" applyBorder="1" applyAlignment="1">
      <alignment horizontal="left" vertical="center" wrapText="1"/>
    </xf>
    <xf numFmtId="168" fontId="11" fillId="6" borderId="24" xfId="2" applyNumberFormat="1" applyFont="1" applyFill="1" applyBorder="1" applyAlignment="1">
      <alignment horizontal="right"/>
    </xf>
    <xf numFmtId="168" fontId="11" fillId="6" borderId="25" xfId="2" applyNumberFormat="1" applyFont="1" applyFill="1" applyBorder="1" applyAlignment="1">
      <alignment horizontal="right"/>
    </xf>
    <xf numFmtId="168" fontId="11" fillId="6" borderId="49" xfId="2" applyNumberFormat="1" applyFont="1" applyFill="1" applyBorder="1" applyAlignment="1">
      <alignment horizontal="right"/>
    </xf>
    <xf numFmtId="0" fontId="20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13" fillId="0" borderId="1" xfId="2" applyFont="1" applyBorder="1" applyAlignment="1">
      <alignment horizontal="center"/>
    </xf>
    <xf numFmtId="0" fontId="13" fillId="0" borderId="27" xfId="2" applyFont="1" applyBorder="1" applyAlignment="1">
      <alignment horizontal="center"/>
    </xf>
    <xf numFmtId="0" fontId="13" fillId="0" borderId="8" xfId="2" applyFont="1" applyBorder="1" applyAlignment="1">
      <alignment horizontal="center"/>
    </xf>
    <xf numFmtId="0" fontId="13" fillId="0" borderId="21" xfId="2" applyFont="1" applyBorder="1" applyAlignment="1">
      <alignment horizontal="center"/>
    </xf>
    <xf numFmtId="0" fontId="13" fillId="0" borderId="30" xfId="2" applyFont="1" applyBorder="1" applyAlignment="1">
      <alignment horizontal="center"/>
    </xf>
    <xf numFmtId="0" fontId="13" fillId="0" borderId="43" xfId="2" applyFont="1" applyBorder="1" applyAlignment="1">
      <alignment horizontal="center"/>
    </xf>
    <xf numFmtId="0" fontId="20" fillId="6" borderId="46" xfId="2" applyFont="1" applyFill="1" applyBorder="1" applyAlignment="1">
      <alignment horizontal="center"/>
    </xf>
    <xf numFmtId="0" fontId="20" fillId="6" borderId="28" xfId="2" applyFont="1" applyFill="1" applyBorder="1" applyAlignment="1">
      <alignment horizontal="center"/>
    </xf>
    <xf numFmtId="0" fontId="20" fillId="0" borderId="67" xfId="2" applyFont="1" applyBorder="1" applyAlignment="1">
      <alignment horizontal="center"/>
    </xf>
    <xf numFmtId="0" fontId="20" fillId="0" borderId="54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20" fillId="0" borderId="61" xfId="2" applyFont="1" applyBorder="1" applyAlignment="1">
      <alignment horizontal="center"/>
    </xf>
    <xf numFmtId="0" fontId="20" fillId="0" borderId="15" xfId="2" applyFont="1" applyBorder="1" applyAlignment="1">
      <alignment horizontal="center"/>
    </xf>
    <xf numFmtId="0" fontId="5" fillId="0" borderId="68" xfId="2" applyFont="1" applyBorder="1" applyAlignment="1">
      <alignment horizontal="center"/>
    </xf>
    <xf numFmtId="0" fontId="5" fillId="0" borderId="69" xfId="2" applyFont="1" applyBorder="1" applyAlignment="1">
      <alignment horizontal="center"/>
    </xf>
    <xf numFmtId="0" fontId="5" fillId="0" borderId="70" xfId="2" applyFont="1" applyBorder="1" applyAlignment="1">
      <alignment horizontal="center"/>
    </xf>
    <xf numFmtId="0" fontId="20" fillId="0" borderId="36" xfId="2" applyFont="1" applyBorder="1" applyAlignment="1">
      <alignment horizontal="left" vertical="center"/>
    </xf>
    <xf numFmtId="0" fontId="20" fillId="0" borderId="12" xfId="2" applyFont="1" applyBorder="1" applyAlignment="1">
      <alignment horizontal="left" vertical="center"/>
    </xf>
    <xf numFmtId="0" fontId="20" fillId="0" borderId="63" xfId="2" applyFont="1" applyBorder="1" applyAlignment="1">
      <alignment horizontal="left" vertical="center"/>
    </xf>
    <xf numFmtId="0" fontId="20" fillId="0" borderId="64" xfId="2" applyFont="1" applyBorder="1" applyAlignment="1">
      <alignment horizontal="left" vertical="center"/>
    </xf>
    <xf numFmtId="0" fontId="20" fillId="0" borderId="63" xfId="2" applyFont="1" applyBorder="1" applyAlignment="1">
      <alignment horizontal="center"/>
    </xf>
    <xf numFmtId="0" fontId="12" fillId="6" borderId="48" xfId="2" applyFont="1" applyFill="1" applyBorder="1" applyAlignment="1">
      <alignment horizontal="center" vertical="center" wrapText="1"/>
    </xf>
    <xf numFmtId="0" fontId="12" fillId="6" borderId="25" xfId="2" applyFont="1" applyFill="1" applyBorder="1" applyAlignment="1">
      <alignment horizontal="center" vertical="center" wrapText="1"/>
    </xf>
    <xf numFmtId="0" fontId="12" fillId="6" borderId="26" xfId="2" applyFont="1" applyFill="1" applyBorder="1" applyAlignment="1">
      <alignment horizontal="center" vertical="center" wrapText="1"/>
    </xf>
    <xf numFmtId="0" fontId="20" fillId="0" borderId="170" xfId="2" applyFont="1" applyBorder="1" applyAlignment="1">
      <alignment horizontal="left" vertical="center" wrapText="1"/>
    </xf>
    <xf numFmtId="0" fontId="20" fillId="0" borderId="169" xfId="2" applyFont="1" applyBorder="1" applyAlignment="1">
      <alignment horizontal="left" vertical="center" wrapText="1"/>
    </xf>
    <xf numFmtId="0" fontId="20" fillId="0" borderId="63" xfId="2" applyFont="1" applyBorder="1" applyAlignment="1">
      <alignment vertical="center" wrapText="1"/>
    </xf>
    <xf numFmtId="0" fontId="20" fillId="0" borderId="64" xfId="2" applyFont="1" applyBorder="1" applyAlignment="1">
      <alignment vertical="center" wrapText="1"/>
    </xf>
    <xf numFmtId="44" fontId="2" fillId="0" borderId="0" xfId="6" applyFont="1" applyAlignment="1">
      <alignment vertical="center" wrapText="1"/>
    </xf>
    <xf numFmtId="196" fontId="2" fillId="0" borderId="0" xfId="2" applyNumberFormat="1" applyBorder="1" applyAlignment="1">
      <alignment vertical="center" wrapText="1"/>
    </xf>
    <xf numFmtId="209" fontId="2" fillId="0" borderId="0" xfId="2" applyNumberFormat="1"/>
    <xf numFmtId="226" fontId="2" fillId="0" borderId="0" xfId="2" applyNumberFormat="1" applyBorder="1" applyAlignment="1">
      <alignment vertical="center" wrapText="1"/>
    </xf>
    <xf numFmtId="165" fontId="2" fillId="0" borderId="0" xfId="2" applyNumberFormat="1"/>
    <xf numFmtId="236" fontId="2" fillId="0" borderId="0" xfId="2" applyNumberFormat="1"/>
    <xf numFmtId="225" fontId="2" fillId="0" borderId="0" xfId="6" applyNumberFormat="1" applyFont="1" applyBorder="1" applyAlignment="1">
      <alignment vertical="center" wrapText="1"/>
    </xf>
  </cellXfs>
  <cellStyles count="7">
    <cellStyle name="Millares" xfId="1" builtinId="3"/>
    <cellStyle name="Millares 2" xfId="5" xr:uid="{00000000-0005-0000-0000-000001000000}"/>
    <cellStyle name="Moneda" xfId="6" builtinId="4"/>
    <cellStyle name="Normal" xfId="0" builtinId="0"/>
    <cellStyle name="Normal 2" xfId="2" xr:uid="{00000000-0005-0000-0000-000003000000}"/>
    <cellStyle name="Normal_MEDICION Y CORTE OBRA" xfId="3" xr:uid="{00000000-0005-0000-0000-000004000000}"/>
    <cellStyle name="Porcentaje 2" xfId="4" xr:uid="{00000000-0005-0000-0000-000005000000}"/>
  </cellStyles>
  <dxfs count="9">
    <dxf>
      <numFmt numFmtId="166" formatCode="_-[$$-240A]\ * #,##0.00_-;\-[$$-240A]\ * #,##0.00_-;_-[$$-240A]\ * &quot;-&quot;??_-;_-@_-"/>
      <alignment horizontal="left" vertical="center" textRotation="0" wrapText="1" indent="0" justifyLastLine="0" shrinkToFit="0" readingOrder="0"/>
    </dxf>
    <dxf>
      <numFmt numFmtId="166" formatCode="_-[$$-240A]\ * #,##0.00_-;\-[$$-240A]\ * #,##0.00_-;_-[$$-240A]\ * &quot;-&quot;??_-;_-@_-"/>
      <alignment horizontal="left" vertical="center" textRotation="0" wrapText="1" indent="0" justifyLastLine="0" shrinkToFit="0" readingOrder="0"/>
    </dxf>
    <dxf>
      <numFmt numFmtId="166" formatCode="_-[$$-240A]\ * #,##0.00_-;\-[$$-240A]\ * #,##0.00_-;_-[$$-240A]\ * &quot;-&quot;??_-;_-@_-"/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4472C4"/>
      <color rgb="FF00FF00"/>
      <color rgb="FFC0C0C0"/>
      <color rgb="FFFF99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7.png"/><Relationship Id="rId4" Type="http://schemas.openxmlformats.org/officeDocument/2006/relationships/image" Target="../media/image8.png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2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2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2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2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3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4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4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4.png"/></Relationships>
</file>

<file path=xl/drawings/_rels/drawing4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4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4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14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438149</xdr:colOff>
      <xdr:row>80</xdr:row>
      <xdr:rowOff>158849</xdr:rowOff>
    </xdr:from>
    <xdr:to>
      <xdr:col>2</xdr:col>
      <xdr:colOff>1219200</xdr:colOff>
      <xdr:row>87</xdr:row>
      <xdr:rowOff>1241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09699" y="18418274"/>
          <a:ext cx="781051" cy="1012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25</xdr:row>
      <xdr:rowOff>19373</xdr:rowOff>
    </xdr:from>
    <xdr:to>
      <xdr:col>1</xdr:col>
      <xdr:colOff>1371600</xdr:colOff>
      <xdr:row>32</xdr:row>
      <xdr:rowOff>22125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38250" y="5496248"/>
          <a:ext cx="876300" cy="11362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639536</xdr:colOff>
      <xdr:row>74</xdr:row>
      <xdr:rowOff>122464</xdr:rowOff>
    </xdr:from>
    <xdr:to>
      <xdr:col>2</xdr:col>
      <xdr:colOff>1515836</xdr:colOff>
      <xdr:row>80</xdr:row>
      <xdr:rowOff>34047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52500" y="23785285"/>
          <a:ext cx="876300" cy="11362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 rot="5400000">
          <a:off x="-27624" y="1474763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511040" y="10538460"/>
          <a:ext cx="0" cy="1447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4511040" y="10538460"/>
          <a:ext cx="0" cy="17830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/>
      </xdr:nvCxnSpPr>
      <xdr:spPr>
        <a:xfrm>
          <a:off x="11239501" y="11666220"/>
          <a:ext cx="42408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2" name="Conector recto 291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462642</xdr:colOff>
      <xdr:row>44</xdr:row>
      <xdr:rowOff>200437</xdr:rowOff>
    </xdr:from>
    <xdr:to>
      <xdr:col>37</xdr:col>
      <xdr:colOff>0</xdr:colOff>
      <xdr:row>53</xdr:row>
      <xdr:rowOff>33011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08428" y="1066433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69272</xdr:colOff>
      <xdr:row>13</xdr:row>
      <xdr:rowOff>69272</xdr:rowOff>
    </xdr:from>
    <xdr:to>
      <xdr:col>31</xdr:col>
      <xdr:colOff>302874</xdr:colOff>
      <xdr:row>37</xdr:row>
      <xdr:rowOff>64172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E4FD05ED-B46F-4E84-9925-824EC3839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727" y="3844636"/>
          <a:ext cx="7974829" cy="53635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62</xdr:row>
      <xdr:rowOff>169622</xdr:rowOff>
    </xdr:from>
    <xdr:to>
      <xdr:col>0</xdr:col>
      <xdr:colOff>51435</xdr:colOff>
      <xdr:row>63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 rot="5400000">
          <a:off x="-22861" y="15226743"/>
          <a:ext cx="9715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38</xdr:row>
      <xdr:rowOff>238125</xdr:rowOff>
    </xdr:from>
    <xdr:to>
      <xdr:col>17</xdr:col>
      <xdr:colOff>238125</xdr:colOff>
      <xdr:row>46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4383405" y="11454765"/>
          <a:ext cx="0" cy="8896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38</xdr:row>
      <xdr:rowOff>238125</xdr:rowOff>
    </xdr:from>
    <xdr:to>
      <xdr:col>17</xdr:col>
      <xdr:colOff>238125</xdr:colOff>
      <xdr:row>48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4383405" y="11454765"/>
          <a:ext cx="0" cy="123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CxnSpPr/>
      </xdr:nvCxnSpPr>
      <xdr:spPr>
        <a:xfrm>
          <a:off x="10988041" y="12009120"/>
          <a:ext cx="4231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174625</xdr:colOff>
      <xdr:row>28</xdr:row>
      <xdr:rowOff>64135</xdr:rowOff>
    </xdr:from>
    <xdr:to>
      <xdr:col>20</xdr:col>
      <xdr:colOff>177800</xdr:colOff>
      <xdr:row>29</xdr:row>
      <xdr:rowOff>105411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 txBox="1"/>
      </xdr:nvSpPr>
      <xdr:spPr>
        <a:xfrm>
          <a:off x="3832225" y="7028815"/>
          <a:ext cx="1222375" cy="4298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224154</xdr:colOff>
      <xdr:row>16</xdr:row>
      <xdr:rowOff>165734</xdr:rowOff>
    </xdr:from>
    <xdr:to>
      <xdr:col>24</xdr:col>
      <xdr:colOff>241299</xdr:colOff>
      <xdr:row>18</xdr:row>
      <xdr:rowOff>173989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/>
      </xdr:nvSpPr>
      <xdr:spPr>
        <a:xfrm>
          <a:off x="4857114" y="4524374"/>
          <a:ext cx="1236345" cy="4044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4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4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4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4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4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4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4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4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4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4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4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4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4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4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4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4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4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4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4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4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4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4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4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4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4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4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4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4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4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4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4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4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4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4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4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4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4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4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4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4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4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4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4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4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4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4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4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400-00001B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400-00001C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400-00001D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400-00001E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4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400-000020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4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4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2242</xdr:colOff>
      <xdr:row>44</xdr:row>
      <xdr:rowOff>0</xdr:rowOff>
    </xdr:from>
    <xdr:to>
      <xdr:col>38</xdr:col>
      <xdr:colOff>413657</xdr:colOff>
      <xdr:row>44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400-000023010000}"/>
            </a:ext>
          </a:extLst>
        </xdr:cNvPr>
        <xdr:cNvCxnSpPr/>
      </xdr:nvCxnSpPr>
      <xdr:spPr>
        <a:xfrm>
          <a:off x="10927977" y="10712824"/>
          <a:ext cx="3033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217714</xdr:colOff>
      <xdr:row>11</xdr:row>
      <xdr:rowOff>32540</xdr:rowOff>
    </xdr:from>
    <xdr:to>
      <xdr:col>31</xdr:col>
      <xdr:colOff>428383</xdr:colOff>
      <xdr:row>32</xdr:row>
      <xdr:rowOff>89091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4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243" y="3405511"/>
          <a:ext cx="8065993" cy="5412962"/>
        </a:xfrm>
        <a:prstGeom prst="rect">
          <a:avLst/>
        </a:prstGeom>
      </xdr:spPr>
    </xdr:pic>
    <xdr:clientData/>
  </xdr:twoCellAnchor>
  <xdr:twoCellAnchor>
    <xdr:from>
      <xdr:col>2</xdr:col>
      <xdr:colOff>215347</xdr:colOff>
      <xdr:row>23</xdr:row>
      <xdr:rowOff>190500</xdr:rowOff>
    </xdr:from>
    <xdr:to>
      <xdr:col>4</xdr:col>
      <xdr:colOff>137944</xdr:colOff>
      <xdr:row>31</xdr:row>
      <xdr:rowOff>115957</xdr:rowOff>
    </xdr:to>
    <xdr:sp macro="" textlink="">
      <xdr:nvSpPr>
        <xdr:cNvPr id="293" name="Rectángulo 292">
          <a:extLst>
            <a:ext uri="{FF2B5EF4-FFF2-40B4-BE49-F238E27FC236}">
              <a16:creationId xmlns:a16="http://schemas.microsoft.com/office/drawing/2014/main" id="{00000000-0008-0000-0400-000025010000}"/>
            </a:ext>
          </a:extLst>
        </xdr:cNvPr>
        <xdr:cNvSpPr/>
      </xdr:nvSpPr>
      <xdr:spPr>
        <a:xfrm>
          <a:off x="712304" y="6377609"/>
          <a:ext cx="419553" cy="196297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82826</xdr:colOff>
      <xdr:row>18</xdr:row>
      <xdr:rowOff>152400</xdr:rowOff>
    </xdr:from>
    <xdr:to>
      <xdr:col>4</xdr:col>
      <xdr:colOff>16565</xdr:colOff>
      <xdr:row>19</xdr:row>
      <xdr:rowOff>389283</xdr:rowOff>
    </xdr:to>
    <xdr:sp macro="" textlink="">
      <xdr:nvSpPr>
        <xdr:cNvPr id="296" name="Rectángulo 295">
          <a:extLst>
            <a:ext uri="{FF2B5EF4-FFF2-40B4-BE49-F238E27FC236}">
              <a16:creationId xmlns:a16="http://schemas.microsoft.com/office/drawing/2014/main" id="{00000000-0008-0000-0400-000028010000}"/>
            </a:ext>
          </a:extLst>
        </xdr:cNvPr>
        <xdr:cNvSpPr/>
      </xdr:nvSpPr>
      <xdr:spPr>
        <a:xfrm>
          <a:off x="828261" y="4898335"/>
          <a:ext cx="182217" cy="43566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3313</xdr:colOff>
      <xdr:row>15</xdr:row>
      <xdr:rowOff>182217</xdr:rowOff>
    </xdr:from>
    <xdr:to>
      <xdr:col>6</xdr:col>
      <xdr:colOff>8282</xdr:colOff>
      <xdr:row>17</xdr:row>
      <xdr:rowOff>8283</xdr:rowOff>
    </xdr:to>
    <xdr:sp macro="" textlink="">
      <xdr:nvSpPr>
        <xdr:cNvPr id="297" name="Rectángulo 296">
          <a:extLst>
            <a:ext uri="{FF2B5EF4-FFF2-40B4-BE49-F238E27FC236}">
              <a16:creationId xmlns:a16="http://schemas.microsoft.com/office/drawing/2014/main" id="{00000000-0008-0000-0400-000029010000}"/>
            </a:ext>
          </a:extLst>
        </xdr:cNvPr>
        <xdr:cNvSpPr/>
      </xdr:nvSpPr>
      <xdr:spPr>
        <a:xfrm>
          <a:off x="997226" y="4331804"/>
          <a:ext cx="501926" cy="223631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147431</xdr:colOff>
      <xdr:row>15</xdr:row>
      <xdr:rowOff>110986</xdr:rowOff>
    </xdr:from>
    <xdr:to>
      <xdr:col>9</xdr:col>
      <xdr:colOff>152401</xdr:colOff>
      <xdr:row>16</xdr:row>
      <xdr:rowOff>135834</xdr:rowOff>
    </xdr:to>
    <xdr:sp macro="" textlink="">
      <xdr:nvSpPr>
        <xdr:cNvPr id="298" name="Rectángulo 297">
          <a:extLst>
            <a:ext uri="{FF2B5EF4-FFF2-40B4-BE49-F238E27FC236}">
              <a16:creationId xmlns:a16="http://schemas.microsoft.com/office/drawing/2014/main" id="{00000000-0008-0000-0400-00002A010000}"/>
            </a:ext>
          </a:extLst>
        </xdr:cNvPr>
        <xdr:cNvSpPr/>
      </xdr:nvSpPr>
      <xdr:spPr>
        <a:xfrm>
          <a:off x="1886779" y="4260573"/>
          <a:ext cx="501926" cy="223631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35496</xdr:colOff>
      <xdr:row>11</xdr:row>
      <xdr:rowOff>165062</xdr:rowOff>
    </xdr:from>
    <xdr:to>
      <xdr:col>16</xdr:col>
      <xdr:colOff>40466</xdr:colOff>
      <xdr:row>12</xdr:row>
      <xdr:rowOff>189911</xdr:rowOff>
    </xdr:to>
    <xdr:sp macro="" textlink="">
      <xdr:nvSpPr>
        <xdr:cNvPr id="299" name="Rectángulo 298">
          <a:extLst>
            <a:ext uri="{FF2B5EF4-FFF2-40B4-BE49-F238E27FC236}">
              <a16:creationId xmlns:a16="http://schemas.microsoft.com/office/drawing/2014/main" id="{00000000-0008-0000-0400-00002B010000}"/>
            </a:ext>
          </a:extLst>
        </xdr:cNvPr>
        <xdr:cNvSpPr/>
      </xdr:nvSpPr>
      <xdr:spPr>
        <a:xfrm>
          <a:off x="3514192" y="3519519"/>
          <a:ext cx="501926" cy="223631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71941</xdr:colOff>
      <xdr:row>11</xdr:row>
      <xdr:rowOff>176658</xdr:rowOff>
    </xdr:from>
    <xdr:to>
      <xdr:col>23</xdr:col>
      <xdr:colOff>76910</xdr:colOff>
      <xdr:row>13</xdr:row>
      <xdr:rowOff>2724</xdr:rowOff>
    </xdr:to>
    <xdr:sp macro="" textlink="">
      <xdr:nvSpPr>
        <xdr:cNvPr id="300" name="Rectángulo 299">
          <a:extLst>
            <a:ext uri="{FF2B5EF4-FFF2-40B4-BE49-F238E27FC236}">
              <a16:creationId xmlns:a16="http://schemas.microsoft.com/office/drawing/2014/main" id="{00000000-0008-0000-0400-00002C010000}"/>
            </a:ext>
          </a:extLst>
        </xdr:cNvPr>
        <xdr:cNvSpPr/>
      </xdr:nvSpPr>
      <xdr:spPr>
        <a:xfrm>
          <a:off x="5289984" y="3531115"/>
          <a:ext cx="501926" cy="223631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16565</xdr:colOff>
      <xdr:row>17</xdr:row>
      <xdr:rowOff>165653</xdr:rowOff>
    </xdr:from>
    <xdr:to>
      <xdr:col>27</xdr:col>
      <xdr:colOff>49696</xdr:colOff>
      <xdr:row>19</xdr:row>
      <xdr:rowOff>331306</xdr:rowOff>
    </xdr:to>
    <xdr:sp macro="" textlink="">
      <xdr:nvSpPr>
        <xdr:cNvPr id="301" name="Rectángulo 300">
          <a:extLst>
            <a:ext uri="{FF2B5EF4-FFF2-40B4-BE49-F238E27FC236}">
              <a16:creationId xmlns:a16="http://schemas.microsoft.com/office/drawing/2014/main" id="{00000000-0008-0000-0400-00002D010000}"/>
            </a:ext>
          </a:extLst>
        </xdr:cNvPr>
        <xdr:cNvSpPr/>
      </xdr:nvSpPr>
      <xdr:spPr>
        <a:xfrm>
          <a:off x="6477000" y="4712805"/>
          <a:ext cx="281609" cy="56321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64701</xdr:colOff>
      <xdr:row>30</xdr:row>
      <xdr:rowOff>392206</xdr:rowOff>
    </xdr:from>
    <xdr:to>
      <xdr:col>17</xdr:col>
      <xdr:colOff>212911</xdr:colOff>
      <xdr:row>31</xdr:row>
      <xdr:rowOff>201706</xdr:rowOff>
    </xdr:to>
    <xdr:sp macro="" textlink="">
      <xdr:nvSpPr>
        <xdr:cNvPr id="302" name="Rectángulo 301">
          <a:extLst>
            <a:ext uri="{FF2B5EF4-FFF2-40B4-BE49-F238E27FC236}">
              <a16:creationId xmlns:a16="http://schemas.microsoft.com/office/drawing/2014/main" id="{00000000-0008-0000-0400-00002E010000}"/>
            </a:ext>
          </a:extLst>
        </xdr:cNvPr>
        <xdr:cNvSpPr/>
      </xdr:nvSpPr>
      <xdr:spPr>
        <a:xfrm>
          <a:off x="3023054" y="8202706"/>
          <a:ext cx="1380857" cy="280147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14909</xdr:colOff>
      <xdr:row>19</xdr:row>
      <xdr:rowOff>412476</xdr:rowOff>
    </xdr:from>
    <xdr:to>
      <xdr:col>27</xdr:col>
      <xdr:colOff>48040</xdr:colOff>
      <xdr:row>21</xdr:row>
      <xdr:rowOff>354498</xdr:rowOff>
    </xdr:to>
    <xdr:sp macro="" textlink="">
      <xdr:nvSpPr>
        <xdr:cNvPr id="303" name="Rectángulo 302">
          <a:extLst>
            <a:ext uri="{FF2B5EF4-FFF2-40B4-BE49-F238E27FC236}">
              <a16:creationId xmlns:a16="http://schemas.microsoft.com/office/drawing/2014/main" id="{00000000-0008-0000-0400-00002F010000}"/>
            </a:ext>
          </a:extLst>
        </xdr:cNvPr>
        <xdr:cNvSpPr/>
      </xdr:nvSpPr>
      <xdr:spPr>
        <a:xfrm>
          <a:off x="6475344" y="5357193"/>
          <a:ext cx="281609" cy="56321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134179</xdr:colOff>
      <xdr:row>21</xdr:row>
      <xdr:rowOff>157370</xdr:rowOff>
    </xdr:from>
    <xdr:to>
      <xdr:col>29</xdr:col>
      <xdr:colOff>198782</xdr:colOff>
      <xdr:row>21</xdr:row>
      <xdr:rowOff>356152</xdr:rowOff>
    </xdr:to>
    <xdr:sp macro="" textlink="">
      <xdr:nvSpPr>
        <xdr:cNvPr id="304" name="Rectángulo 303">
          <a:extLst>
            <a:ext uri="{FF2B5EF4-FFF2-40B4-BE49-F238E27FC236}">
              <a16:creationId xmlns:a16="http://schemas.microsoft.com/office/drawing/2014/main" id="{00000000-0008-0000-0400-000030010000}"/>
            </a:ext>
          </a:extLst>
        </xdr:cNvPr>
        <xdr:cNvSpPr/>
      </xdr:nvSpPr>
      <xdr:spPr>
        <a:xfrm>
          <a:off x="6843092" y="5723283"/>
          <a:ext cx="561560" cy="19878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223630</xdr:colOff>
      <xdr:row>23</xdr:row>
      <xdr:rowOff>144117</xdr:rowOff>
    </xdr:from>
    <xdr:to>
      <xdr:col>15</xdr:col>
      <xdr:colOff>240196</xdr:colOff>
      <xdr:row>27</xdr:row>
      <xdr:rowOff>41413</xdr:rowOff>
    </xdr:to>
    <xdr:sp macro="" textlink="">
      <xdr:nvSpPr>
        <xdr:cNvPr id="305" name="Rectángulo 304">
          <a:extLst>
            <a:ext uri="{FF2B5EF4-FFF2-40B4-BE49-F238E27FC236}">
              <a16:creationId xmlns:a16="http://schemas.microsoft.com/office/drawing/2014/main" id="{00000000-0008-0000-0400-000031010000}"/>
            </a:ext>
          </a:extLst>
        </xdr:cNvPr>
        <xdr:cNvSpPr/>
      </xdr:nvSpPr>
      <xdr:spPr>
        <a:xfrm>
          <a:off x="3702326" y="6331226"/>
          <a:ext cx="265044" cy="69242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82825</xdr:colOff>
      <xdr:row>30</xdr:row>
      <xdr:rowOff>425727</xdr:rowOff>
    </xdr:from>
    <xdr:to>
      <xdr:col>28</xdr:col>
      <xdr:colOff>147429</xdr:colOff>
      <xdr:row>31</xdr:row>
      <xdr:rowOff>160683</xdr:rowOff>
    </xdr:to>
    <xdr:sp macro="" textlink="">
      <xdr:nvSpPr>
        <xdr:cNvPr id="306" name="Rectángulo 305">
          <a:extLst>
            <a:ext uri="{FF2B5EF4-FFF2-40B4-BE49-F238E27FC236}">
              <a16:creationId xmlns:a16="http://schemas.microsoft.com/office/drawing/2014/main" id="{00000000-0008-0000-0400-000032010000}"/>
            </a:ext>
          </a:extLst>
        </xdr:cNvPr>
        <xdr:cNvSpPr/>
      </xdr:nvSpPr>
      <xdr:spPr>
        <a:xfrm>
          <a:off x="6543260" y="8186531"/>
          <a:ext cx="561560" cy="19878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177247</xdr:colOff>
      <xdr:row>30</xdr:row>
      <xdr:rowOff>453887</xdr:rowOff>
    </xdr:from>
    <xdr:to>
      <xdr:col>31</xdr:col>
      <xdr:colOff>34785</xdr:colOff>
      <xdr:row>31</xdr:row>
      <xdr:rowOff>188843</xdr:rowOff>
    </xdr:to>
    <xdr:sp macro="" textlink="">
      <xdr:nvSpPr>
        <xdr:cNvPr id="307" name="Rectángulo 306">
          <a:extLst>
            <a:ext uri="{FF2B5EF4-FFF2-40B4-BE49-F238E27FC236}">
              <a16:creationId xmlns:a16="http://schemas.microsoft.com/office/drawing/2014/main" id="{00000000-0008-0000-0400-000033010000}"/>
            </a:ext>
          </a:extLst>
        </xdr:cNvPr>
        <xdr:cNvSpPr/>
      </xdr:nvSpPr>
      <xdr:spPr>
        <a:xfrm>
          <a:off x="7631595" y="8214691"/>
          <a:ext cx="561560" cy="19878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81168</xdr:colOff>
      <xdr:row>31</xdr:row>
      <xdr:rowOff>1657</xdr:rowOff>
    </xdr:from>
    <xdr:to>
      <xdr:col>9</xdr:col>
      <xdr:colOff>157369</xdr:colOff>
      <xdr:row>31</xdr:row>
      <xdr:rowOff>182218</xdr:rowOff>
    </xdr:to>
    <xdr:sp macro="" textlink="">
      <xdr:nvSpPr>
        <xdr:cNvPr id="308" name="Rectángulo 307">
          <a:extLst>
            <a:ext uri="{FF2B5EF4-FFF2-40B4-BE49-F238E27FC236}">
              <a16:creationId xmlns:a16="http://schemas.microsoft.com/office/drawing/2014/main" id="{00000000-0008-0000-0400-000034010000}"/>
            </a:ext>
          </a:extLst>
        </xdr:cNvPr>
        <xdr:cNvSpPr/>
      </xdr:nvSpPr>
      <xdr:spPr>
        <a:xfrm>
          <a:off x="1572038" y="8226287"/>
          <a:ext cx="821635" cy="180561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48038</xdr:colOff>
      <xdr:row>30</xdr:row>
      <xdr:rowOff>440635</xdr:rowOff>
    </xdr:from>
    <xdr:to>
      <xdr:col>23</xdr:col>
      <xdr:colOff>112641</xdr:colOff>
      <xdr:row>31</xdr:row>
      <xdr:rowOff>175591</xdr:rowOff>
    </xdr:to>
    <xdr:sp macro="" textlink="">
      <xdr:nvSpPr>
        <xdr:cNvPr id="309" name="Rectángulo 308">
          <a:extLst>
            <a:ext uri="{FF2B5EF4-FFF2-40B4-BE49-F238E27FC236}">
              <a16:creationId xmlns:a16="http://schemas.microsoft.com/office/drawing/2014/main" id="{00000000-0008-0000-0400-000035010000}"/>
            </a:ext>
          </a:extLst>
        </xdr:cNvPr>
        <xdr:cNvSpPr/>
      </xdr:nvSpPr>
      <xdr:spPr>
        <a:xfrm>
          <a:off x="5266081" y="8201439"/>
          <a:ext cx="561560" cy="19878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16565</xdr:colOff>
      <xdr:row>23</xdr:row>
      <xdr:rowOff>137489</xdr:rowOff>
    </xdr:from>
    <xdr:to>
      <xdr:col>19</xdr:col>
      <xdr:colOff>231913</xdr:colOff>
      <xdr:row>26</xdr:row>
      <xdr:rowOff>24846</xdr:rowOff>
    </xdr:to>
    <xdr:sp macro="" textlink="">
      <xdr:nvSpPr>
        <xdr:cNvPr id="310" name="Rectángulo 309">
          <a:extLst>
            <a:ext uri="{FF2B5EF4-FFF2-40B4-BE49-F238E27FC236}">
              <a16:creationId xmlns:a16="http://schemas.microsoft.com/office/drawing/2014/main" id="{00000000-0008-0000-0400-000036010000}"/>
            </a:ext>
          </a:extLst>
        </xdr:cNvPr>
        <xdr:cNvSpPr/>
      </xdr:nvSpPr>
      <xdr:spPr>
        <a:xfrm>
          <a:off x="4737652" y="6324598"/>
          <a:ext cx="215348" cy="48370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36</xdr:col>
      <xdr:colOff>257735</xdr:colOff>
      <xdr:row>38</xdr:row>
      <xdr:rowOff>168087</xdr:rowOff>
    </xdr:from>
    <xdr:to>
      <xdr:col>37</xdr:col>
      <xdr:colOff>619525</xdr:colOff>
      <xdr:row>47</xdr:row>
      <xdr:rowOff>97512</xdr:rowOff>
    </xdr:to>
    <xdr:pic>
      <xdr:nvPicPr>
        <xdr:cNvPr id="311" name="Imagen 310">
          <a:extLst>
            <a:ext uri="{FF2B5EF4-FFF2-40B4-BE49-F238E27FC236}">
              <a16:creationId xmlns:a16="http://schemas.microsoft.com/office/drawing/2014/main" id="{00000000-0008-0000-04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046323" y="10096499"/>
          <a:ext cx="1224643" cy="1587895"/>
        </a:xfrm>
        <a:prstGeom prst="rect">
          <a:avLst/>
        </a:prstGeom>
      </xdr:spPr>
    </xdr:pic>
    <xdr:clientData/>
  </xdr:twoCellAnchor>
  <xdr:twoCellAnchor>
    <xdr:from>
      <xdr:col>10</xdr:col>
      <xdr:colOff>51052</xdr:colOff>
      <xdr:row>23</xdr:row>
      <xdr:rowOff>121527</xdr:rowOff>
    </xdr:from>
    <xdr:to>
      <xdr:col>12</xdr:col>
      <xdr:colOff>56021</xdr:colOff>
      <xdr:row>24</xdr:row>
      <xdr:rowOff>146375</xdr:rowOff>
    </xdr:to>
    <xdr:sp macro="" textlink="">
      <xdr:nvSpPr>
        <xdr:cNvPr id="312" name="Rectángulo 311">
          <a:extLst>
            <a:ext uri="{FF2B5EF4-FFF2-40B4-BE49-F238E27FC236}">
              <a16:creationId xmlns:a16="http://schemas.microsoft.com/office/drawing/2014/main" id="{00000000-0008-0000-0400-000038010000}"/>
            </a:ext>
          </a:extLst>
        </xdr:cNvPr>
        <xdr:cNvSpPr/>
      </xdr:nvSpPr>
      <xdr:spPr>
        <a:xfrm>
          <a:off x="2475597" y="6390709"/>
          <a:ext cx="489879" cy="23266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99543</xdr:colOff>
      <xdr:row>23</xdr:row>
      <xdr:rowOff>135382</xdr:rowOff>
    </xdr:from>
    <xdr:to>
      <xdr:col>6</xdr:col>
      <xdr:colOff>104513</xdr:colOff>
      <xdr:row>24</xdr:row>
      <xdr:rowOff>160230</xdr:rowOff>
    </xdr:to>
    <xdr:sp macro="" textlink="">
      <xdr:nvSpPr>
        <xdr:cNvPr id="313" name="Rectángulo 312">
          <a:extLst>
            <a:ext uri="{FF2B5EF4-FFF2-40B4-BE49-F238E27FC236}">
              <a16:creationId xmlns:a16="http://schemas.microsoft.com/office/drawing/2014/main" id="{00000000-0008-0000-0400-000039010000}"/>
            </a:ext>
          </a:extLst>
        </xdr:cNvPr>
        <xdr:cNvSpPr/>
      </xdr:nvSpPr>
      <xdr:spPr>
        <a:xfrm>
          <a:off x="1069361" y="6404564"/>
          <a:ext cx="489879" cy="23266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130715</xdr:colOff>
      <xdr:row>30</xdr:row>
      <xdr:rowOff>270464</xdr:rowOff>
    </xdr:from>
    <xdr:to>
      <xdr:col>6</xdr:col>
      <xdr:colOff>135685</xdr:colOff>
      <xdr:row>31</xdr:row>
      <xdr:rowOff>35539</xdr:rowOff>
    </xdr:to>
    <xdr:sp macro="" textlink="">
      <xdr:nvSpPr>
        <xdr:cNvPr id="314" name="Rectángulo 313">
          <a:extLst>
            <a:ext uri="{FF2B5EF4-FFF2-40B4-BE49-F238E27FC236}">
              <a16:creationId xmlns:a16="http://schemas.microsoft.com/office/drawing/2014/main" id="{00000000-0008-0000-0400-00003A010000}"/>
            </a:ext>
          </a:extLst>
        </xdr:cNvPr>
        <xdr:cNvSpPr/>
      </xdr:nvSpPr>
      <xdr:spPr>
        <a:xfrm>
          <a:off x="1100533" y="8167555"/>
          <a:ext cx="489879" cy="23266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231160</xdr:colOff>
      <xdr:row>30</xdr:row>
      <xdr:rowOff>318955</xdr:rowOff>
    </xdr:from>
    <xdr:to>
      <xdr:col>11</xdr:col>
      <xdr:colOff>236130</xdr:colOff>
      <xdr:row>31</xdr:row>
      <xdr:rowOff>84030</xdr:rowOff>
    </xdr:to>
    <xdr:sp macro="" textlink="">
      <xdr:nvSpPr>
        <xdr:cNvPr id="315" name="Rectángulo 314">
          <a:extLst>
            <a:ext uri="{FF2B5EF4-FFF2-40B4-BE49-F238E27FC236}">
              <a16:creationId xmlns:a16="http://schemas.microsoft.com/office/drawing/2014/main" id="{00000000-0008-0000-0400-00003B010000}"/>
            </a:ext>
          </a:extLst>
        </xdr:cNvPr>
        <xdr:cNvSpPr/>
      </xdr:nvSpPr>
      <xdr:spPr>
        <a:xfrm>
          <a:off x="2413251" y="8216046"/>
          <a:ext cx="489879" cy="23266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70548</xdr:colOff>
      <xdr:row>13</xdr:row>
      <xdr:rowOff>45215</xdr:rowOff>
    </xdr:from>
    <xdr:to>
      <xdr:col>27</xdr:col>
      <xdr:colOff>103679</xdr:colOff>
      <xdr:row>16</xdr:row>
      <xdr:rowOff>12085</xdr:rowOff>
    </xdr:to>
    <xdr:sp macro="" textlink="">
      <xdr:nvSpPr>
        <xdr:cNvPr id="316" name="Rectángulo 315">
          <a:extLst>
            <a:ext uri="{FF2B5EF4-FFF2-40B4-BE49-F238E27FC236}">
              <a16:creationId xmlns:a16="http://schemas.microsoft.com/office/drawing/2014/main" id="{00000000-0008-0000-0400-00003C010000}"/>
            </a:ext>
          </a:extLst>
        </xdr:cNvPr>
        <xdr:cNvSpPr/>
      </xdr:nvSpPr>
      <xdr:spPr>
        <a:xfrm>
          <a:off x="6480313" y="3821597"/>
          <a:ext cx="279660" cy="57198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176760</xdr:colOff>
      <xdr:row>21</xdr:row>
      <xdr:rowOff>224118</xdr:rowOff>
    </xdr:from>
    <xdr:to>
      <xdr:col>4</xdr:col>
      <xdr:colOff>209890</xdr:colOff>
      <xdr:row>23</xdr:row>
      <xdr:rowOff>179782</xdr:rowOff>
    </xdr:to>
    <xdr:sp macro="" textlink="">
      <xdr:nvSpPr>
        <xdr:cNvPr id="317" name="Rectángulo 316">
          <a:extLst>
            <a:ext uri="{FF2B5EF4-FFF2-40B4-BE49-F238E27FC236}">
              <a16:creationId xmlns:a16="http://schemas.microsoft.com/office/drawing/2014/main" id="{00000000-0008-0000-0400-00003D010000}"/>
            </a:ext>
          </a:extLst>
        </xdr:cNvPr>
        <xdr:cNvSpPr/>
      </xdr:nvSpPr>
      <xdr:spPr>
        <a:xfrm>
          <a:off x="916348" y="5827059"/>
          <a:ext cx="279660" cy="57198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59</xdr:row>
      <xdr:rowOff>169622</xdr:rowOff>
    </xdr:from>
    <xdr:to>
      <xdr:col>0</xdr:col>
      <xdr:colOff>51435</xdr:colOff>
      <xdr:row>60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 rot="5400000">
          <a:off x="-24766" y="151867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35</xdr:row>
      <xdr:rowOff>238125</xdr:rowOff>
    </xdr:from>
    <xdr:to>
      <xdr:col>17</xdr:col>
      <xdr:colOff>238125</xdr:colOff>
      <xdr:row>43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35</xdr:row>
      <xdr:rowOff>238125</xdr:rowOff>
    </xdr:from>
    <xdr:to>
      <xdr:col>17</xdr:col>
      <xdr:colOff>238125</xdr:colOff>
      <xdr:row>45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224154</xdr:colOff>
      <xdr:row>16</xdr:row>
      <xdr:rowOff>165734</xdr:rowOff>
    </xdr:from>
    <xdr:to>
      <xdr:col>24</xdr:col>
      <xdr:colOff>241299</xdr:colOff>
      <xdr:row>18</xdr:row>
      <xdr:rowOff>173989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/>
      </xdr:nvSpPr>
      <xdr:spPr>
        <a:xfrm>
          <a:off x="4929504" y="4528184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41</xdr:row>
      <xdr:rowOff>0</xdr:rowOff>
    </xdr:from>
    <xdr:to>
      <xdr:col>38</xdr:col>
      <xdr:colOff>413657</xdr:colOff>
      <xdr:row>41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CxnSpPr/>
      </xdr:nvCxnSpPr>
      <xdr:spPr>
        <a:xfrm>
          <a:off x="11115676" y="12077700"/>
          <a:ext cx="42617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215033</xdr:colOff>
      <xdr:row>10</xdr:row>
      <xdr:rowOff>24534</xdr:rowOff>
    </xdr:from>
    <xdr:to>
      <xdr:col>30</xdr:col>
      <xdr:colOff>129928</xdr:colOff>
      <xdr:row>28</xdr:row>
      <xdr:rowOff>151534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680" y="3184593"/>
          <a:ext cx="6078130" cy="4183529"/>
        </a:xfrm>
        <a:prstGeom prst="rect">
          <a:avLst/>
        </a:prstGeom>
      </xdr:spPr>
    </xdr:pic>
    <xdr:clientData/>
  </xdr:twoCellAnchor>
  <xdr:twoCellAnchor editAs="oneCell">
    <xdr:from>
      <xdr:col>36</xdr:col>
      <xdr:colOff>285750</xdr:colOff>
      <xdr:row>35</xdr:row>
      <xdr:rowOff>163285</xdr:rowOff>
    </xdr:from>
    <xdr:to>
      <xdr:col>37</xdr:col>
      <xdr:colOff>666750</xdr:colOff>
      <xdr:row>44</xdr:row>
      <xdr:rowOff>50287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919857" y="9007928"/>
          <a:ext cx="1224643" cy="1587895"/>
        </a:xfrm>
        <a:prstGeom prst="rect">
          <a:avLst/>
        </a:prstGeom>
      </xdr:spPr>
    </xdr:pic>
    <xdr:clientData/>
  </xdr:twoCellAnchor>
  <xdr:twoCellAnchor>
    <xdr:from>
      <xdr:col>25</xdr:col>
      <xdr:colOff>224117</xdr:colOff>
      <xdr:row>19</xdr:row>
      <xdr:rowOff>50867</xdr:rowOff>
    </xdr:from>
    <xdr:to>
      <xdr:col>27</xdr:col>
      <xdr:colOff>57029</xdr:colOff>
      <xdr:row>19</xdr:row>
      <xdr:rowOff>268941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/>
      </xdr:nvSpPr>
      <xdr:spPr>
        <a:xfrm>
          <a:off x="6387352" y="5037485"/>
          <a:ext cx="325971" cy="218074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152399</xdr:colOff>
      <xdr:row>21</xdr:row>
      <xdr:rowOff>12767</xdr:rowOff>
    </xdr:from>
    <xdr:to>
      <xdr:col>14</xdr:col>
      <xdr:colOff>231840</xdr:colOff>
      <xdr:row>21</xdr:row>
      <xdr:rowOff>230841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/>
      </xdr:nvSpPr>
      <xdr:spPr>
        <a:xfrm>
          <a:off x="3357281" y="5615708"/>
          <a:ext cx="325971" cy="218074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230840</xdr:colOff>
      <xdr:row>13</xdr:row>
      <xdr:rowOff>180856</xdr:rowOff>
    </xdr:from>
    <xdr:to>
      <xdr:col>12</xdr:col>
      <xdr:colOff>63752</xdr:colOff>
      <xdr:row>14</xdr:row>
      <xdr:rowOff>197224</xdr:rowOff>
    </xdr:to>
    <xdr:sp macro="" textlink="">
      <xdr:nvSpPr>
        <xdr:cNvPr id="293" name="Rectángulo 292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/>
      </xdr:nvSpPr>
      <xdr:spPr>
        <a:xfrm>
          <a:off x="2696134" y="3957238"/>
          <a:ext cx="325971" cy="218074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13326</xdr:colOff>
      <xdr:row>21</xdr:row>
      <xdr:rowOff>69358</xdr:rowOff>
    </xdr:from>
    <xdr:to>
      <xdr:col>29</xdr:col>
      <xdr:colOff>92768</xdr:colOff>
      <xdr:row>21</xdr:row>
      <xdr:rowOff>287432</xdr:rowOff>
    </xdr:to>
    <xdr:sp macro="" textlink="">
      <xdr:nvSpPr>
        <xdr:cNvPr id="294" name="Rectángulo 293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/>
      </xdr:nvSpPr>
      <xdr:spPr>
        <a:xfrm>
          <a:off x="6916150" y="5672299"/>
          <a:ext cx="325971" cy="218074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136071</xdr:colOff>
      <xdr:row>10</xdr:row>
      <xdr:rowOff>129632</xdr:rowOff>
    </xdr:from>
    <xdr:to>
      <xdr:col>29</xdr:col>
      <xdr:colOff>136071</xdr:colOff>
      <xdr:row>36</xdr:row>
      <xdr:rowOff>88031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4EC1B95C-C071-4972-8396-E2615FF5E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3286489"/>
          <a:ext cx="6858000" cy="518354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169622</xdr:rowOff>
    </xdr:from>
    <xdr:to>
      <xdr:col>0</xdr:col>
      <xdr:colOff>51435</xdr:colOff>
      <xdr:row>64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 rot="5400000">
          <a:off x="-24766" y="151867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39</xdr:row>
      <xdr:rowOff>238125</xdr:rowOff>
    </xdr:from>
    <xdr:to>
      <xdr:col>17</xdr:col>
      <xdr:colOff>238125</xdr:colOff>
      <xdr:row>47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39</xdr:row>
      <xdr:rowOff>238125</xdr:rowOff>
    </xdr:from>
    <xdr:to>
      <xdr:col>17</xdr:col>
      <xdr:colOff>238125</xdr:colOff>
      <xdr:row>49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45</xdr:row>
      <xdr:rowOff>0</xdr:rowOff>
    </xdr:from>
    <xdr:to>
      <xdr:col>38</xdr:col>
      <xdr:colOff>413657</xdr:colOff>
      <xdr:row>45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503464</xdr:colOff>
      <xdr:row>39</xdr:row>
      <xdr:rowOff>163285</xdr:rowOff>
    </xdr:from>
    <xdr:to>
      <xdr:col>37</xdr:col>
      <xdr:colOff>40821</xdr:colOff>
      <xdr:row>48</xdr:row>
      <xdr:rowOff>50287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790714" y="10327821"/>
          <a:ext cx="1224643" cy="1587895"/>
        </a:xfrm>
        <a:prstGeom prst="rect">
          <a:avLst/>
        </a:prstGeom>
      </xdr:spPr>
    </xdr:pic>
    <xdr:clientData/>
  </xdr:twoCellAnchor>
  <xdr:twoCellAnchor>
    <xdr:from>
      <xdr:col>6</xdr:col>
      <xdr:colOff>229053</xdr:colOff>
      <xdr:row>23</xdr:row>
      <xdr:rowOff>13607</xdr:rowOff>
    </xdr:from>
    <xdr:to>
      <xdr:col>9</xdr:col>
      <xdr:colOff>208642</xdr:colOff>
      <xdr:row>27</xdr:row>
      <xdr:rowOff>6804</xdr:rowOff>
    </xdr:to>
    <xdr:sp macro="" textlink="">
      <xdr:nvSpPr>
        <xdr:cNvPr id="293" name="CuadroTexto 292">
          <a:extLst>
            <a:ext uri="{FF2B5EF4-FFF2-40B4-BE49-F238E27FC236}">
              <a16:creationId xmlns:a16="http://schemas.microsoft.com/office/drawing/2014/main" id="{4FA7B01C-706C-4BF3-B06E-2441F2829886}"/>
            </a:ext>
          </a:extLst>
        </xdr:cNvPr>
        <xdr:cNvSpPr txBox="1"/>
      </xdr:nvSpPr>
      <xdr:spPr>
        <a:xfrm>
          <a:off x="1698624" y="6259286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1</a:t>
          </a:r>
        </a:p>
      </xdr:txBody>
    </xdr:sp>
    <xdr:clientData/>
  </xdr:twoCellAnchor>
  <xdr:twoCellAnchor>
    <xdr:from>
      <xdr:col>6</xdr:col>
      <xdr:colOff>79828</xdr:colOff>
      <xdr:row>27</xdr:row>
      <xdr:rowOff>175079</xdr:rowOff>
    </xdr:from>
    <xdr:to>
      <xdr:col>9</xdr:col>
      <xdr:colOff>59417</xdr:colOff>
      <xdr:row>30</xdr:row>
      <xdr:rowOff>195490</xdr:rowOff>
    </xdr:to>
    <xdr:sp macro="" textlink="">
      <xdr:nvSpPr>
        <xdr:cNvPr id="294" name="CuadroTexto 293">
          <a:extLst>
            <a:ext uri="{FF2B5EF4-FFF2-40B4-BE49-F238E27FC236}">
              <a16:creationId xmlns:a16="http://schemas.microsoft.com/office/drawing/2014/main" id="{1F9FA9C1-3921-47CF-9A29-28BBFC86B05F}"/>
            </a:ext>
          </a:extLst>
        </xdr:cNvPr>
        <xdr:cNvSpPr txBox="1"/>
      </xdr:nvSpPr>
      <xdr:spPr>
        <a:xfrm>
          <a:off x="1549399" y="7237186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2</a:t>
          </a:r>
        </a:p>
      </xdr:txBody>
    </xdr:sp>
    <xdr:clientData/>
  </xdr:twoCellAnchor>
  <xdr:twoCellAnchor>
    <xdr:from>
      <xdr:col>14</xdr:col>
      <xdr:colOff>130174</xdr:colOff>
      <xdr:row>28</xdr:row>
      <xdr:rowOff>25854</xdr:rowOff>
    </xdr:from>
    <xdr:to>
      <xdr:col>17</xdr:col>
      <xdr:colOff>109763</xdr:colOff>
      <xdr:row>30</xdr:row>
      <xdr:rowOff>236765</xdr:rowOff>
    </xdr:to>
    <xdr:sp macro="" textlink="">
      <xdr:nvSpPr>
        <xdr:cNvPr id="295" name="CuadroTexto 294">
          <a:extLst>
            <a:ext uri="{FF2B5EF4-FFF2-40B4-BE49-F238E27FC236}">
              <a16:creationId xmlns:a16="http://schemas.microsoft.com/office/drawing/2014/main" id="{DD0042D6-346A-439E-87D4-B25E627F9A44}"/>
            </a:ext>
          </a:extLst>
        </xdr:cNvPr>
        <xdr:cNvSpPr txBox="1"/>
      </xdr:nvSpPr>
      <xdr:spPr>
        <a:xfrm>
          <a:off x="3559174" y="7278461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3</a:t>
          </a:r>
        </a:p>
      </xdr:txBody>
    </xdr:sp>
    <xdr:clientData/>
  </xdr:twoCellAnchor>
  <xdr:twoCellAnchor>
    <xdr:from>
      <xdr:col>18</xdr:col>
      <xdr:colOff>239485</xdr:colOff>
      <xdr:row>28</xdr:row>
      <xdr:rowOff>19504</xdr:rowOff>
    </xdr:from>
    <xdr:to>
      <xdr:col>21</xdr:col>
      <xdr:colOff>219074</xdr:colOff>
      <xdr:row>30</xdr:row>
      <xdr:rowOff>230415</xdr:rowOff>
    </xdr:to>
    <xdr:sp macro="" textlink="">
      <xdr:nvSpPr>
        <xdr:cNvPr id="296" name="CuadroTexto 295">
          <a:extLst>
            <a:ext uri="{FF2B5EF4-FFF2-40B4-BE49-F238E27FC236}">
              <a16:creationId xmlns:a16="http://schemas.microsoft.com/office/drawing/2014/main" id="{CA72D375-40CF-4E76-8EAC-92DEACF5AA36}"/>
            </a:ext>
          </a:extLst>
        </xdr:cNvPr>
        <xdr:cNvSpPr txBox="1"/>
      </xdr:nvSpPr>
      <xdr:spPr>
        <a:xfrm>
          <a:off x="4648199" y="7272111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4</a:t>
          </a:r>
        </a:p>
      </xdr:txBody>
    </xdr:sp>
    <xdr:clientData/>
  </xdr:twoCellAnchor>
  <xdr:twoCellAnchor>
    <xdr:from>
      <xdr:col>24</xdr:col>
      <xdr:colOff>176438</xdr:colOff>
      <xdr:row>21</xdr:row>
      <xdr:rowOff>169636</xdr:rowOff>
    </xdr:from>
    <xdr:to>
      <xdr:col>27</xdr:col>
      <xdr:colOff>156028</xdr:colOff>
      <xdr:row>24</xdr:row>
      <xdr:rowOff>149225</xdr:rowOff>
    </xdr:to>
    <xdr:sp macro="" textlink="">
      <xdr:nvSpPr>
        <xdr:cNvPr id="297" name="CuadroTexto 296">
          <a:extLst>
            <a:ext uri="{FF2B5EF4-FFF2-40B4-BE49-F238E27FC236}">
              <a16:creationId xmlns:a16="http://schemas.microsoft.com/office/drawing/2014/main" id="{CCE5965F-8FDE-4B97-9D9E-E3EDE5F6B714}"/>
            </a:ext>
          </a:extLst>
        </xdr:cNvPr>
        <xdr:cNvSpPr txBox="1"/>
      </xdr:nvSpPr>
      <xdr:spPr>
        <a:xfrm>
          <a:off x="6054724" y="5789386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5</a:t>
          </a:r>
        </a:p>
      </xdr:txBody>
    </xdr:sp>
    <xdr:clientData/>
  </xdr:twoCellAnchor>
  <xdr:twoCellAnchor>
    <xdr:from>
      <xdr:col>13</xdr:col>
      <xdr:colOff>86179</xdr:colOff>
      <xdr:row>14</xdr:row>
      <xdr:rowOff>15875</xdr:rowOff>
    </xdr:from>
    <xdr:to>
      <xdr:col>16</xdr:col>
      <xdr:colOff>65768</xdr:colOff>
      <xdr:row>18</xdr:row>
      <xdr:rowOff>9072</xdr:rowOff>
    </xdr:to>
    <xdr:sp macro="" textlink="">
      <xdr:nvSpPr>
        <xdr:cNvPr id="298" name="CuadroTexto 297">
          <a:extLst>
            <a:ext uri="{FF2B5EF4-FFF2-40B4-BE49-F238E27FC236}">
              <a16:creationId xmlns:a16="http://schemas.microsoft.com/office/drawing/2014/main" id="{53FD48A6-1441-4776-B77C-D30449777BA1}"/>
            </a:ext>
          </a:extLst>
        </xdr:cNvPr>
        <xdr:cNvSpPr txBox="1"/>
      </xdr:nvSpPr>
      <xdr:spPr>
        <a:xfrm>
          <a:off x="3270250" y="3989161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6</a:t>
          </a:r>
        </a:p>
      </xdr:txBody>
    </xdr:sp>
    <xdr:clientData/>
  </xdr:twoCellAnchor>
  <xdr:twoCellAnchor>
    <xdr:from>
      <xdr:col>4</xdr:col>
      <xdr:colOff>179161</xdr:colOff>
      <xdr:row>13</xdr:row>
      <xdr:rowOff>172357</xdr:rowOff>
    </xdr:from>
    <xdr:to>
      <xdr:col>7</xdr:col>
      <xdr:colOff>158750</xdr:colOff>
      <xdr:row>17</xdr:row>
      <xdr:rowOff>165554</xdr:rowOff>
    </xdr:to>
    <xdr:sp macro="" textlink="">
      <xdr:nvSpPr>
        <xdr:cNvPr id="299" name="CuadroTexto 298">
          <a:extLst>
            <a:ext uri="{FF2B5EF4-FFF2-40B4-BE49-F238E27FC236}">
              <a16:creationId xmlns:a16="http://schemas.microsoft.com/office/drawing/2014/main" id="{53656EFB-A4AA-4AE0-B705-AA9402BFC65A}"/>
            </a:ext>
          </a:extLst>
        </xdr:cNvPr>
        <xdr:cNvSpPr txBox="1"/>
      </xdr:nvSpPr>
      <xdr:spPr>
        <a:xfrm>
          <a:off x="1158875" y="3941536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7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169622</xdr:rowOff>
    </xdr:from>
    <xdr:to>
      <xdr:col>0</xdr:col>
      <xdr:colOff>51435</xdr:colOff>
      <xdr:row>58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 rot="5400000">
          <a:off x="-24766" y="151867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33</xdr:row>
      <xdr:rowOff>238125</xdr:rowOff>
    </xdr:from>
    <xdr:to>
      <xdr:col>17</xdr:col>
      <xdr:colOff>238125</xdr:colOff>
      <xdr:row>41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33</xdr:row>
      <xdr:rowOff>238125</xdr:rowOff>
    </xdr:from>
    <xdr:to>
      <xdr:col>17</xdr:col>
      <xdr:colOff>238125</xdr:colOff>
      <xdr:row>43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4448175" y="115252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224154</xdr:colOff>
      <xdr:row>16</xdr:row>
      <xdr:rowOff>165734</xdr:rowOff>
    </xdr:from>
    <xdr:to>
      <xdr:col>24</xdr:col>
      <xdr:colOff>241299</xdr:colOff>
      <xdr:row>18</xdr:row>
      <xdr:rowOff>173989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/>
      </xdr:nvSpPr>
      <xdr:spPr>
        <a:xfrm>
          <a:off x="4929504" y="4528184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39</xdr:row>
      <xdr:rowOff>0</xdr:rowOff>
    </xdr:from>
    <xdr:to>
      <xdr:col>38</xdr:col>
      <xdr:colOff>413657</xdr:colOff>
      <xdr:row>39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CxnSpPr/>
      </xdr:nvCxnSpPr>
      <xdr:spPr>
        <a:xfrm>
          <a:off x="11115676" y="12077700"/>
          <a:ext cx="4223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231320</xdr:colOff>
      <xdr:row>9</xdr:row>
      <xdr:rowOff>136071</xdr:rowOff>
    </xdr:from>
    <xdr:to>
      <xdr:col>31</xdr:col>
      <xdr:colOff>187989</xdr:colOff>
      <xdr:row>33</xdr:row>
      <xdr:rowOff>70158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49" y="3088821"/>
          <a:ext cx="7767169" cy="5417766"/>
        </a:xfrm>
        <a:prstGeom prst="rect">
          <a:avLst/>
        </a:prstGeom>
      </xdr:spPr>
    </xdr:pic>
    <xdr:clientData/>
  </xdr:twoCellAnchor>
  <xdr:twoCellAnchor>
    <xdr:from>
      <xdr:col>17</xdr:col>
      <xdr:colOff>40821</xdr:colOff>
      <xdr:row>29</xdr:row>
      <xdr:rowOff>122464</xdr:rowOff>
    </xdr:from>
    <xdr:to>
      <xdr:col>19</xdr:col>
      <xdr:colOff>0</xdr:colOff>
      <xdr:row>32</xdr:row>
      <xdr:rowOff>105039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/>
      </xdr:nvSpPr>
      <xdr:spPr>
        <a:xfrm>
          <a:off x="4204607" y="7769678"/>
          <a:ext cx="449036" cy="58129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78920</xdr:colOff>
      <xdr:row>12</xdr:row>
      <xdr:rowOff>24493</xdr:rowOff>
    </xdr:from>
    <xdr:to>
      <xdr:col>5</xdr:col>
      <xdr:colOff>38099</xdr:colOff>
      <xdr:row>14</xdr:row>
      <xdr:rowOff>197568</xdr:rowOff>
    </xdr:to>
    <xdr:sp macro="" textlink="">
      <xdr:nvSpPr>
        <xdr:cNvPr id="301" name="Rectángulo 300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/>
      </xdr:nvSpPr>
      <xdr:spPr>
        <a:xfrm>
          <a:off x="813706" y="3589564"/>
          <a:ext cx="449036" cy="58129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36</xdr:col>
      <xdr:colOff>0</xdr:colOff>
      <xdr:row>33</xdr:row>
      <xdr:rowOff>163285</xdr:rowOff>
    </xdr:from>
    <xdr:to>
      <xdr:col>37</xdr:col>
      <xdr:colOff>802821</xdr:colOff>
      <xdr:row>42</xdr:row>
      <xdr:rowOff>50288</xdr:rowOff>
    </xdr:to>
    <xdr:pic>
      <xdr:nvPicPr>
        <xdr:cNvPr id="318" name="Imagen 31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348357" y="8599714"/>
          <a:ext cx="1224643" cy="15878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 rot="5400000">
          <a:off x="-22861" y="14304723"/>
          <a:ext cx="9715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4383405" y="10532745"/>
          <a:ext cx="0" cy="8896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4383405" y="10532745"/>
          <a:ext cx="0" cy="123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CxnSpPr/>
      </xdr:nvCxnSpPr>
      <xdr:spPr>
        <a:xfrm>
          <a:off x="10988041" y="11087100"/>
          <a:ext cx="4482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8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8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8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8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8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8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8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8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8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8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8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8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8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8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8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8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8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8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8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8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8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8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8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8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8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8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8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8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8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8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8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8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8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8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8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8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8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8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8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8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8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8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8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8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8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8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8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8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8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8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8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8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8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8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8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8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8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8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8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8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8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8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8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8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8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8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8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8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8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8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8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8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8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8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8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8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8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8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8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8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8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8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8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8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8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8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8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8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8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8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8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8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8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8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8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8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2" name="Conector recto 291">
          <a:extLst>
            <a:ext uri="{FF2B5EF4-FFF2-40B4-BE49-F238E27FC236}">
              <a16:creationId xmlns:a16="http://schemas.microsoft.com/office/drawing/2014/main" id="{00000000-0008-0000-0800-00002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3" name="Conector recto 292">
          <a:extLst>
            <a:ext uri="{FF2B5EF4-FFF2-40B4-BE49-F238E27FC236}">
              <a16:creationId xmlns:a16="http://schemas.microsoft.com/office/drawing/2014/main" id="{00000000-0008-0000-0800-00002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222250</xdr:colOff>
      <xdr:row>13</xdr:row>
      <xdr:rowOff>47625</xdr:rowOff>
    </xdr:from>
    <xdr:to>
      <xdr:col>30</xdr:col>
      <xdr:colOff>448735</xdr:colOff>
      <xdr:row>39</xdr:row>
      <xdr:rowOff>146804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00000000-0008-0000-08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3825875"/>
          <a:ext cx="7592485" cy="5401429"/>
        </a:xfrm>
        <a:prstGeom prst="rect">
          <a:avLst/>
        </a:prstGeom>
      </xdr:spPr>
    </xdr:pic>
    <xdr:clientData/>
  </xdr:twoCellAnchor>
  <xdr:twoCellAnchor>
    <xdr:from>
      <xdr:col>13</xdr:col>
      <xdr:colOff>88900</xdr:colOff>
      <xdr:row>36</xdr:row>
      <xdr:rowOff>114300</xdr:rowOff>
    </xdr:from>
    <xdr:to>
      <xdr:col>16</xdr:col>
      <xdr:colOff>127000</xdr:colOff>
      <xdr:row>39</xdr:row>
      <xdr:rowOff>130175</xdr:rowOff>
    </xdr:to>
    <xdr:sp macro="" textlink="">
      <xdr:nvSpPr>
        <xdr:cNvPr id="296" name="Rectángulo 295">
          <a:extLst>
            <a:ext uri="{FF2B5EF4-FFF2-40B4-BE49-F238E27FC236}">
              <a16:creationId xmlns:a16="http://schemas.microsoft.com/office/drawing/2014/main" id="{00000000-0008-0000-0800-000028010000}"/>
            </a:ext>
          </a:extLst>
        </xdr:cNvPr>
        <xdr:cNvSpPr/>
      </xdr:nvSpPr>
      <xdr:spPr>
        <a:xfrm>
          <a:off x="3308350" y="8439150"/>
          <a:ext cx="781050" cy="6159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38100</xdr:colOff>
      <xdr:row>39</xdr:row>
      <xdr:rowOff>184150</xdr:rowOff>
    </xdr:from>
    <xdr:to>
      <xdr:col>16</xdr:col>
      <xdr:colOff>196850</xdr:colOff>
      <xdr:row>41</xdr:row>
      <xdr:rowOff>117475</xdr:rowOff>
    </xdr:to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 txBox="1"/>
      </xdr:nvSpPr>
      <xdr:spPr>
        <a:xfrm>
          <a:off x="3257550" y="9109075"/>
          <a:ext cx="9017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 b="1"/>
            <a:t>RAMPA </a:t>
          </a:r>
        </a:p>
      </xdr:txBody>
    </xdr:sp>
    <xdr:clientData/>
  </xdr:twoCellAnchor>
  <xdr:twoCellAnchor editAs="oneCell">
    <xdr:from>
      <xdr:col>35</xdr:col>
      <xdr:colOff>317500</xdr:colOff>
      <xdr:row>44</xdr:row>
      <xdr:rowOff>174625</xdr:rowOff>
    </xdr:from>
    <xdr:to>
      <xdr:col>36</xdr:col>
      <xdr:colOff>684893</xdr:colOff>
      <xdr:row>53</xdr:row>
      <xdr:rowOff>79770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00000000-0008-0000-08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12750" y="10255250"/>
          <a:ext cx="1224643" cy="15878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206375</xdr:colOff>
      <xdr:row>9</xdr:row>
      <xdr:rowOff>47625</xdr:rowOff>
    </xdr:from>
    <xdr:to>
      <xdr:col>29</xdr:col>
      <xdr:colOff>213754</xdr:colOff>
      <xdr:row>44</xdr:row>
      <xdr:rowOff>140708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B8F76954-7A59-4581-96BB-70D3E10A4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375" y="3000375"/>
          <a:ext cx="7373379" cy="722095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 rot="5400000">
          <a:off x="-27624" y="1417613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9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460375</xdr:colOff>
      <xdr:row>44</xdr:row>
      <xdr:rowOff>95250</xdr:rowOff>
    </xdr:from>
    <xdr:to>
      <xdr:col>37</xdr:col>
      <xdr:colOff>2268</xdr:colOff>
      <xdr:row>53</xdr:row>
      <xdr:rowOff>395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55625" y="10175875"/>
          <a:ext cx="1224643" cy="1587895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23</xdr:row>
      <xdr:rowOff>0</xdr:rowOff>
    </xdr:from>
    <xdr:to>
      <xdr:col>10</xdr:col>
      <xdr:colOff>206375</xdr:colOff>
      <xdr:row>26</xdr:row>
      <xdr:rowOff>190500</xdr:rowOff>
    </xdr:to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/>
      </xdr:nvSpPr>
      <xdr:spPr>
        <a:xfrm>
          <a:off x="2032000" y="584200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1</a:t>
          </a:r>
        </a:p>
      </xdr:txBody>
    </xdr:sp>
    <xdr:clientData/>
  </xdr:twoCellAnchor>
  <xdr:twoCellAnchor>
    <xdr:from>
      <xdr:col>7</xdr:col>
      <xdr:colOff>104775</xdr:colOff>
      <xdr:row>27</xdr:row>
      <xdr:rowOff>152400</xdr:rowOff>
    </xdr:from>
    <xdr:to>
      <xdr:col>10</xdr:col>
      <xdr:colOff>57150</xdr:colOff>
      <xdr:row>31</xdr:row>
      <xdr:rowOff>200025</xdr:rowOff>
    </xdr:to>
    <xdr:sp macro="" textlink="">
      <xdr:nvSpPr>
        <xdr:cNvPr id="292" name="CuadroTexto 291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 txBox="1"/>
      </xdr:nvSpPr>
      <xdr:spPr>
        <a:xfrm>
          <a:off x="1882775" y="681990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2</a:t>
          </a:r>
        </a:p>
      </xdr:txBody>
    </xdr:sp>
    <xdr:clientData/>
  </xdr:twoCellAnchor>
  <xdr:twoCellAnchor>
    <xdr:from>
      <xdr:col>15</xdr:col>
      <xdr:colOff>82550</xdr:colOff>
      <xdr:row>28</xdr:row>
      <xdr:rowOff>3175</xdr:rowOff>
    </xdr:from>
    <xdr:to>
      <xdr:col>18</xdr:col>
      <xdr:colOff>34925</xdr:colOff>
      <xdr:row>32</xdr:row>
      <xdr:rowOff>34925</xdr:rowOff>
    </xdr:to>
    <xdr:sp macro="" textlink="">
      <xdr:nvSpPr>
        <xdr:cNvPr id="293" name="CuadroTexto 292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 txBox="1"/>
      </xdr:nvSpPr>
      <xdr:spPr>
        <a:xfrm>
          <a:off x="3892550" y="686117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3</a:t>
          </a:r>
        </a:p>
      </xdr:txBody>
    </xdr:sp>
    <xdr:clientData/>
  </xdr:twoCellAnchor>
  <xdr:twoCellAnchor>
    <xdr:from>
      <xdr:col>19</xdr:col>
      <xdr:colOff>155575</xdr:colOff>
      <xdr:row>27</xdr:row>
      <xdr:rowOff>187325</xdr:rowOff>
    </xdr:from>
    <xdr:to>
      <xdr:col>22</xdr:col>
      <xdr:colOff>107950</xdr:colOff>
      <xdr:row>32</xdr:row>
      <xdr:rowOff>28575</xdr:rowOff>
    </xdr:to>
    <xdr:sp macro="" textlink="">
      <xdr:nvSpPr>
        <xdr:cNvPr id="294" name="CuadroTexto 293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 txBox="1"/>
      </xdr:nvSpPr>
      <xdr:spPr>
        <a:xfrm>
          <a:off x="4981575" y="685482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4</a:t>
          </a:r>
        </a:p>
      </xdr:txBody>
    </xdr:sp>
    <xdr:clientData/>
  </xdr:twoCellAnchor>
  <xdr:twoCellAnchor>
    <xdr:from>
      <xdr:col>8</xdr:col>
      <xdr:colOff>228600</xdr:colOff>
      <xdr:row>37</xdr:row>
      <xdr:rowOff>85725</xdr:rowOff>
    </xdr:from>
    <xdr:to>
      <xdr:col>19</xdr:col>
      <xdr:colOff>174625</xdr:colOff>
      <xdr:row>41</xdr:row>
      <xdr:rowOff>69850</xdr:rowOff>
    </xdr:to>
    <xdr:sp macro="" textlink="">
      <xdr:nvSpPr>
        <xdr:cNvPr id="295" name="CuadroTexto 294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 txBox="1"/>
      </xdr:nvSpPr>
      <xdr:spPr>
        <a:xfrm>
          <a:off x="2260600" y="8753475"/>
          <a:ext cx="2740025" cy="809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CUBIERTA</a:t>
          </a:r>
        </a:p>
      </xdr:txBody>
    </xdr:sp>
    <xdr:clientData/>
  </xdr:twoCellAnchor>
  <xdr:twoCellAnchor editAs="oneCell">
    <xdr:from>
      <xdr:col>19</xdr:col>
      <xdr:colOff>222250</xdr:colOff>
      <xdr:row>36</xdr:row>
      <xdr:rowOff>122807</xdr:rowOff>
    </xdr:from>
    <xdr:to>
      <xdr:col>31</xdr:col>
      <xdr:colOff>274439</xdr:colOff>
      <xdr:row>44</xdr:row>
      <xdr:rowOff>174625</xdr:rowOff>
    </xdr:to>
    <xdr:pic>
      <xdr:nvPicPr>
        <xdr:cNvPr id="303" name="Imagen 302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48250" y="8584182"/>
          <a:ext cx="3544689" cy="1671068"/>
        </a:xfrm>
        <a:prstGeom prst="rect">
          <a:avLst/>
        </a:prstGeom>
      </xdr:spPr>
    </xdr:pic>
    <xdr:clientData/>
  </xdr:twoCellAnchor>
  <xdr:twoCellAnchor>
    <xdr:from>
      <xdr:col>25</xdr:col>
      <xdr:colOff>38100</xdr:colOff>
      <xdr:row>20</xdr:row>
      <xdr:rowOff>149225</xdr:rowOff>
    </xdr:from>
    <xdr:to>
      <xdr:col>27</xdr:col>
      <xdr:colOff>244475</xdr:colOff>
      <xdr:row>24</xdr:row>
      <xdr:rowOff>133350</xdr:rowOff>
    </xdr:to>
    <xdr:sp macro="" textlink="">
      <xdr:nvSpPr>
        <xdr:cNvPr id="304" name="CuadroTexto 303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 txBox="1"/>
      </xdr:nvSpPr>
      <xdr:spPr>
        <a:xfrm>
          <a:off x="6388100" y="537210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5</a:t>
          </a:r>
        </a:p>
      </xdr:txBody>
    </xdr:sp>
    <xdr:clientData/>
  </xdr:twoCellAnchor>
  <xdr:twoCellAnchor>
    <xdr:from>
      <xdr:col>14</xdr:col>
      <xdr:colOff>47626</xdr:colOff>
      <xdr:row>12</xdr:row>
      <xdr:rowOff>0</xdr:rowOff>
    </xdr:from>
    <xdr:to>
      <xdr:col>17</xdr:col>
      <xdr:colOff>1</xdr:colOff>
      <xdr:row>15</xdr:row>
      <xdr:rowOff>190500</xdr:rowOff>
    </xdr:to>
    <xdr:sp macro="" textlink="">
      <xdr:nvSpPr>
        <xdr:cNvPr id="305" name="CuadroTexto 304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 txBox="1"/>
      </xdr:nvSpPr>
      <xdr:spPr>
        <a:xfrm>
          <a:off x="3603626" y="357187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6</a:t>
          </a:r>
        </a:p>
      </xdr:txBody>
    </xdr:sp>
    <xdr:clientData/>
  </xdr:twoCellAnchor>
  <xdr:twoCellAnchor>
    <xdr:from>
      <xdr:col>5</xdr:col>
      <xdr:colOff>222251</xdr:colOff>
      <xdr:row>11</xdr:row>
      <xdr:rowOff>158750</xdr:rowOff>
    </xdr:from>
    <xdr:to>
      <xdr:col>8</xdr:col>
      <xdr:colOff>174626</xdr:colOff>
      <xdr:row>15</xdr:row>
      <xdr:rowOff>142875</xdr:rowOff>
    </xdr:to>
    <xdr:sp macro="" textlink="">
      <xdr:nvSpPr>
        <xdr:cNvPr id="306" name="CuadroTexto 305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 txBox="1"/>
      </xdr:nvSpPr>
      <xdr:spPr>
        <a:xfrm>
          <a:off x="1492251" y="352425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7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</xdr:colOff>
      <xdr:row>10</xdr:row>
      <xdr:rowOff>63500</xdr:rowOff>
    </xdr:from>
    <xdr:to>
      <xdr:col>31</xdr:col>
      <xdr:colOff>520611</xdr:colOff>
      <xdr:row>42</xdr:row>
      <xdr:rowOff>0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A110D7C0-65A5-4A35-B33E-407C46336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3222625"/>
          <a:ext cx="8553361" cy="66675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169622</xdr:rowOff>
    </xdr:from>
    <xdr:to>
      <xdr:col>0</xdr:col>
      <xdr:colOff>51435</xdr:colOff>
      <xdr:row>70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 rot="5400000">
          <a:off x="-27624" y="1511339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45</xdr:row>
      <xdr:rowOff>238125</xdr:rowOff>
    </xdr:from>
    <xdr:to>
      <xdr:col>17</xdr:col>
      <xdr:colOff>238125</xdr:colOff>
      <xdr:row>53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4511040" y="1148334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45</xdr:row>
      <xdr:rowOff>238125</xdr:rowOff>
    </xdr:from>
    <xdr:to>
      <xdr:col>17</xdr:col>
      <xdr:colOff>238125</xdr:colOff>
      <xdr:row>55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4511040" y="1148334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CxnSpPr/>
      </xdr:nvCxnSpPr>
      <xdr:spPr>
        <a:xfrm>
          <a:off x="11239501" y="12031980"/>
          <a:ext cx="42865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53340</xdr:colOff>
      <xdr:row>25</xdr:row>
      <xdr:rowOff>144145</xdr:rowOff>
    </xdr:from>
    <xdr:to>
      <xdr:col>20</xdr:col>
      <xdr:colOff>25400</xdr:colOff>
      <xdr:row>27</xdr:row>
      <xdr:rowOff>167005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/>
      </xdr:nvSpPr>
      <xdr:spPr>
        <a:xfrm>
          <a:off x="3863340" y="6354445"/>
          <a:ext cx="1242060" cy="429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A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A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A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A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A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A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A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A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A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A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A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A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A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A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A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A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A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A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A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A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A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A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A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A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A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A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A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A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A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A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A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A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A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A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A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A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A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A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A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A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A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A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A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A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A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A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A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A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A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A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A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A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A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A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A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A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A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A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A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A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A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A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A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A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A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A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A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A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A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A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A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A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A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A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A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A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A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A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A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A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A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A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A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A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A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A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A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A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A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A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A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A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A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51</xdr:row>
      <xdr:rowOff>0</xdr:rowOff>
    </xdr:from>
    <xdr:to>
      <xdr:col>38</xdr:col>
      <xdr:colOff>413657</xdr:colOff>
      <xdr:row>51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A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555625</xdr:colOff>
      <xdr:row>45</xdr:row>
      <xdr:rowOff>158750</xdr:rowOff>
    </xdr:from>
    <xdr:to>
      <xdr:col>37</xdr:col>
      <xdr:colOff>97518</xdr:colOff>
      <xdr:row>54</xdr:row>
      <xdr:rowOff>63895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00000000-0008-0000-0A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81000" y="10636250"/>
          <a:ext cx="1224643" cy="1587895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17</xdr:row>
      <xdr:rowOff>0</xdr:rowOff>
    </xdr:from>
    <xdr:to>
      <xdr:col>27</xdr:col>
      <xdr:colOff>15875</xdr:colOff>
      <xdr:row>19</xdr:row>
      <xdr:rowOff>174625</xdr:rowOff>
    </xdr:to>
    <xdr:sp macro="" textlink="">
      <xdr:nvSpPr>
        <xdr:cNvPr id="101" name="Rectángulo 100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/>
      </xdr:nvSpPr>
      <xdr:spPr>
        <a:xfrm>
          <a:off x="533400" y="4791075"/>
          <a:ext cx="6169025" cy="5746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25400</xdr:colOff>
      <xdr:row>29</xdr:row>
      <xdr:rowOff>104775</xdr:rowOff>
    </xdr:from>
    <xdr:to>
      <xdr:col>16</xdr:col>
      <xdr:colOff>79375</xdr:colOff>
      <xdr:row>31</xdr:row>
      <xdr:rowOff>153865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0A00-000024010000}"/>
            </a:ext>
          </a:extLst>
        </xdr:cNvPr>
        <xdr:cNvSpPr/>
      </xdr:nvSpPr>
      <xdr:spPr>
        <a:xfrm>
          <a:off x="523631" y="7233871"/>
          <a:ext cx="3541590" cy="437417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182930</xdr:colOff>
      <xdr:row>31</xdr:row>
      <xdr:rowOff>119429</xdr:rowOff>
    </xdr:from>
    <xdr:to>
      <xdr:col>15</xdr:col>
      <xdr:colOff>30530</xdr:colOff>
      <xdr:row>39</xdr:row>
      <xdr:rowOff>157529</xdr:rowOff>
    </xdr:to>
    <xdr:sp macro="" textlink="">
      <xdr:nvSpPr>
        <xdr:cNvPr id="293" name="Rectángulo 292">
          <a:extLst>
            <a:ext uri="{FF2B5EF4-FFF2-40B4-BE49-F238E27FC236}">
              <a16:creationId xmlns:a16="http://schemas.microsoft.com/office/drawing/2014/main" id="{00000000-0008-0000-0A00-000025010000}"/>
            </a:ext>
          </a:extLst>
        </xdr:cNvPr>
        <xdr:cNvSpPr/>
      </xdr:nvSpPr>
      <xdr:spPr>
        <a:xfrm>
          <a:off x="2923199" y="7636852"/>
          <a:ext cx="844062" cy="161338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25402</xdr:colOff>
      <xdr:row>13</xdr:row>
      <xdr:rowOff>374650</xdr:rowOff>
    </xdr:from>
    <xdr:to>
      <xdr:col>29</xdr:col>
      <xdr:colOff>47626</xdr:colOff>
      <xdr:row>40</xdr:row>
      <xdr:rowOff>0</xdr:rowOff>
    </xdr:to>
    <xdr:sp macro="" textlink="">
      <xdr:nvSpPr>
        <xdr:cNvPr id="294" name="Rectángulo 293">
          <a:extLst>
            <a:ext uri="{FF2B5EF4-FFF2-40B4-BE49-F238E27FC236}">
              <a16:creationId xmlns:a16="http://schemas.microsoft.com/office/drawing/2014/main" id="{00000000-0008-0000-0A00-000026010000}"/>
            </a:ext>
          </a:extLst>
        </xdr:cNvPr>
        <xdr:cNvSpPr/>
      </xdr:nvSpPr>
      <xdr:spPr>
        <a:xfrm>
          <a:off x="6883402" y="4152900"/>
          <a:ext cx="530224" cy="5324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166077</xdr:colOff>
      <xdr:row>19</xdr:row>
      <xdr:rowOff>184394</xdr:rowOff>
    </xdr:from>
    <xdr:to>
      <xdr:col>16</xdr:col>
      <xdr:colOff>86702</xdr:colOff>
      <xdr:row>29</xdr:row>
      <xdr:rowOff>80596</xdr:rowOff>
    </xdr:to>
    <xdr:sp macro="" textlink="">
      <xdr:nvSpPr>
        <xdr:cNvPr id="295" name="Rectángulo 294">
          <a:extLst>
            <a:ext uri="{FF2B5EF4-FFF2-40B4-BE49-F238E27FC236}">
              <a16:creationId xmlns:a16="http://schemas.microsoft.com/office/drawing/2014/main" id="{00000000-0008-0000-0A00-000027010000}"/>
            </a:ext>
          </a:extLst>
        </xdr:cNvPr>
        <xdr:cNvSpPr/>
      </xdr:nvSpPr>
      <xdr:spPr>
        <a:xfrm>
          <a:off x="3404577" y="5364529"/>
          <a:ext cx="667971" cy="1845163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 rot="5400000">
          <a:off x="-27624" y="1417613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98425</xdr:colOff>
      <xdr:row>25</xdr:row>
      <xdr:rowOff>76834</xdr:rowOff>
    </xdr:from>
    <xdr:to>
      <xdr:col>20</xdr:col>
      <xdr:colOff>101600</xdr:colOff>
      <xdr:row>27</xdr:row>
      <xdr:rowOff>112394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/>
      </xdr:nvSpPr>
      <xdr:spPr>
        <a:xfrm>
          <a:off x="3908425" y="6312534"/>
          <a:ext cx="1273175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71754</xdr:colOff>
      <xdr:row>15</xdr:row>
      <xdr:rowOff>11429</xdr:rowOff>
    </xdr:from>
    <xdr:to>
      <xdr:col>25</xdr:col>
      <xdr:colOff>86994</xdr:colOff>
      <xdr:row>17</xdr:row>
      <xdr:rowOff>25399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 txBox="1"/>
      </xdr:nvSpPr>
      <xdr:spPr>
        <a:xfrm>
          <a:off x="5151754" y="4215129"/>
          <a:ext cx="1285240" cy="420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B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B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B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B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B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B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B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B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B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B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B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B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B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B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B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B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B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B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B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B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B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B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B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B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B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B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B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B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B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B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B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B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B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B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B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B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B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B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B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B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B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B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B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B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B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B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B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B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B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B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B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B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B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B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B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B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B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B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B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B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B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B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B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B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B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B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B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B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B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B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B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B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B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B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B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B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B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B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B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B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B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B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B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B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B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B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B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B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B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B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B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B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B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B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B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B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B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B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B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B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B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B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B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B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B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B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B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B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B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B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B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B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B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B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B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B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222250</xdr:colOff>
      <xdr:row>44</xdr:row>
      <xdr:rowOff>174625</xdr:rowOff>
    </xdr:from>
    <xdr:to>
      <xdr:col>36</xdr:col>
      <xdr:colOff>605518</xdr:colOff>
      <xdr:row>53</xdr:row>
      <xdr:rowOff>79770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B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17500" y="1025525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51954</xdr:colOff>
      <xdr:row>11</xdr:row>
      <xdr:rowOff>103910</xdr:rowOff>
    </xdr:from>
    <xdr:to>
      <xdr:col>31</xdr:col>
      <xdr:colOff>160422</xdr:colOff>
      <xdr:row>41</xdr:row>
      <xdr:rowOff>159330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A6D1E472-2F6D-448C-9F80-3DED26B42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4409" y="3463637"/>
          <a:ext cx="7849695" cy="622069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 rot="5400000">
          <a:off x="-27624" y="1374179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>
          <a:spLocks noChangeShapeType="1"/>
        </xdr:cNvSpPr>
      </xdr:nvSpPr>
      <xdr:spPr bwMode="auto">
        <a:xfrm>
          <a:off x="4511040" y="1011174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>
          <a:spLocks noChangeShapeType="1"/>
        </xdr:cNvSpPr>
      </xdr:nvSpPr>
      <xdr:spPr bwMode="auto">
        <a:xfrm>
          <a:off x="4511040" y="1011174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100-00000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100-00000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100-00001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100-00001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100-00001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100-000013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100-000014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100-00001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100-00001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100-00001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100-00001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100-00001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100-00001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100-00001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100-00001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100-00001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100-00001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100-00001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100-00002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100-00002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100-00002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100-000023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100-000024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100-00002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100-00002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100-00002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100-00002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100-00002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100-00002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100-00002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100-00002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100-00002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100-00002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100-00002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100-00003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100-00003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100-00003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100-000033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100-000034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100-00003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100-00003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100-00003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100-00003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100-00003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100-00003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100-00003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100-00003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100-00003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100-00003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100-00003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100-00004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100-00004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100-00004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100-000043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100-000044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100-00004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100-00004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100-00004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100-00004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100-00004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100-00004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100-00004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100-00004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100-00004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100-00004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100-00004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100-00005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100-00005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100-00005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100-000053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100-000054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100-000055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100-000056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100-000057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100-000058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100-000059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100-00005A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100-00005B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100-00005C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100-00005D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100-00005E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100-00005F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100-000060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100-000061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100-000062000000}"/>
            </a:ext>
          </a:extLst>
        </xdr:cNvPr>
        <xdr:cNvCxnSpPr/>
      </xdr:nvCxnSpPr>
      <xdr:spPr>
        <a:xfrm>
          <a:off x="11239501" y="1066038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1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1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1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1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1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1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1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1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1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1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1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1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1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1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1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1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1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1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1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1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1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1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1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1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1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1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1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1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1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1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1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1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1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1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1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1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1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1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1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1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1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1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1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1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1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1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1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1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1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1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1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1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1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1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1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1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1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1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1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1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1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1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1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1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1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1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1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1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1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1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1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1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1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1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1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1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1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1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1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1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1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1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1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1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1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1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1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1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1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1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1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1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1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1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1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1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1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1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1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1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1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1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1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1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1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1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1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1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1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1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1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1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1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1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1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1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1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1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1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1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1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1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1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1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1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1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1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1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1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1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1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1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1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1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1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1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1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1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1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1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1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1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1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1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1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1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1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1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1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1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1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1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1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1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1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1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1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1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1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1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1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1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1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1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1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1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1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1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1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1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1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1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1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1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1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1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1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1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1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1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1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1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1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1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1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1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1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1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174625</xdr:colOff>
      <xdr:row>11</xdr:row>
      <xdr:rowOff>79375</xdr:rowOff>
    </xdr:from>
    <xdr:to>
      <xdr:col>31</xdr:col>
      <xdr:colOff>131294</xdr:colOff>
      <xdr:row>38</xdr:row>
      <xdr:rowOff>29337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1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5" y="3444875"/>
          <a:ext cx="8021169" cy="5458587"/>
        </a:xfrm>
        <a:prstGeom prst="rect">
          <a:avLst/>
        </a:prstGeom>
      </xdr:spPr>
    </xdr:pic>
    <xdr:clientData/>
  </xdr:twoCellAnchor>
  <xdr:twoCellAnchor editAs="oneCell">
    <xdr:from>
      <xdr:col>35</xdr:col>
      <xdr:colOff>381000</xdr:colOff>
      <xdr:row>44</xdr:row>
      <xdr:rowOff>158750</xdr:rowOff>
    </xdr:from>
    <xdr:to>
      <xdr:col>36</xdr:col>
      <xdr:colOff>764268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1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76250" y="10239375"/>
          <a:ext cx="1224643" cy="1587895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12</xdr:row>
      <xdr:rowOff>63500</xdr:rowOff>
    </xdr:from>
    <xdr:to>
      <xdr:col>11</xdr:col>
      <xdr:colOff>180522</xdr:colOff>
      <xdr:row>14</xdr:row>
      <xdr:rowOff>190500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2100-000022010000}"/>
            </a:ext>
          </a:extLst>
        </xdr:cNvPr>
        <xdr:cNvSpPr/>
      </xdr:nvSpPr>
      <xdr:spPr>
        <a:xfrm>
          <a:off x="2286000" y="3635375"/>
          <a:ext cx="688522" cy="5397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158749</xdr:colOff>
      <xdr:row>24</xdr:row>
      <xdr:rowOff>190500</xdr:rowOff>
    </xdr:from>
    <xdr:to>
      <xdr:col>9</xdr:col>
      <xdr:colOff>174624</xdr:colOff>
      <xdr:row>27</xdr:row>
      <xdr:rowOff>158750</xdr:rowOff>
    </xdr:to>
    <xdr:sp macro="" textlink="">
      <xdr:nvSpPr>
        <xdr:cNvPr id="291" name="Rectángulo 290">
          <a:extLst>
            <a:ext uri="{FF2B5EF4-FFF2-40B4-BE49-F238E27FC236}">
              <a16:creationId xmlns:a16="http://schemas.microsoft.com/office/drawing/2014/main" id="{00000000-0008-0000-2100-000023010000}"/>
            </a:ext>
          </a:extLst>
        </xdr:cNvPr>
        <xdr:cNvSpPr/>
      </xdr:nvSpPr>
      <xdr:spPr>
        <a:xfrm>
          <a:off x="1428749" y="6238875"/>
          <a:ext cx="1031875" cy="5873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95250</xdr:colOff>
      <xdr:row>19</xdr:row>
      <xdr:rowOff>95250</xdr:rowOff>
    </xdr:from>
    <xdr:to>
      <xdr:col>8</xdr:col>
      <xdr:colOff>47625</xdr:colOff>
      <xdr:row>21</xdr:row>
      <xdr:rowOff>121557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2100-000024010000}"/>
            </a:ext>
          </a:extLst>
        </xdr:cNvPr>
        <xdr:cNvSpPr/>
      </xdr:nvSpPr>
      <xdr:spPr>
        <a:xfrm>
          <a:off x="1619250" y="5111750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225425</xdr:colOff>
      <xdr:row>18</xdr:row>
      <xdr:rowOff>31751</xdr:rowOff>
    </xdr:from>
    <xdr:to>
      <xdr:col>20</xdr:col>
      <xdr:colOff>79375</xdr:colOff>
      <xdr:row>24</xdr:row>
      <xdr:rowOff>29483</xdr:rowOff>
    </xdr:to>
    <xdr:sp macro="" textlink="">
      <xdr:nvSpPr>
        <xdr:cNvPr id="294" name="Rectángulo 293">
          <a:extLst>
            <a:ext uri="{FF2B5EF4-FFF2-40B4-BE49-F238E27FC236}">
              <a16:creationId xmlns:a16="http://schemas.microsoft.com/office/drawing/2014/main" id="{00000000-0008-0000-2100-000026010000}"/>
            </a:ext>
          </a:extLst>
        </xdr:cNvPr>
        <xdr:cNvSpPr/>
      </xdr:nvSpPr>
      <xdr:spPr>
        <a:xfrm>
          <a:off x="4035425" y="4841876"/>
          <a:ext cx="1123950" cy="1235982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238125</xdr:colOff>
      <xdr:row>33</xdr:row>
      <xdr:rowOff>73025</xdr:rowOff>
    </xdr:from>
    <xdr:to>
      <xdr:col>7</xdr:col>
      <xdr:colOff>127000</xdr:colOff>
      <xdr:row>36</xdr:row>
      <xdr:rowOff>41275</xdr:rowOff>
    </xdr:to>
    <xdr:sp macro="" textlink="">
      <xdr:nvSpPr>
        <xdr:cNvPr id="295" name="Rectángulo 294">
          <a:extLst>
            <a:ext uri="{FF2B5EF4-FFF2-40B4-BE49-F238E27FC236}">
              <a16:creationId xmlns:a16="http://schemas.microsoft.com/office/drawing/2014/main" id="{00000000-0008-0000-2100-000027010000}"/>
            </a:ext>
          </a:extLst>
        </xdr:cNvPr>
        <xdr:cNvSpPr/>
      </xdr:nvSpPr>
      <xdr:spPr>
        <a:xfrm>
          <a:off x="1254125" y="7915275"/>
          <a:ext cx="650875" cy="5873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73025</xdr:colOff>
      <xdr:row>33</xdr:row>
      <xdr:rowOff>98425</xdr:rowOff>
    </xdr:from>
    <xdr:to>
      <xdr:col>9</xdr:col>
      <xdr:colOff>215900</xdr:colOff>
      <xdr:row>36</xdr:row>
      <xdr:rowOff>66675</xdr:rowOff>
    </xdr:to>
    <xdr:sp macro="" textlink="">
      <xdr:nvSpPr>
        <xdr:cNvPr id="296" name="Rectángulo 295">
          <a:extLst>
            <a:ext uri="{FF2B5EF4-FFF2-40B4-BE49-F238E27FC236}">
              <a16:creationId xmlns:a16="http://schemas.microsoft.com/office/drawing/2014/main" id="{00000000-0008-0000-2100-000028010000}"/>
            </a:ext>
          </a:extLst>
        </xdr:cNvPr>
        <xdr:cNvSpPr/>
      </xdr:nvSpPr>
      <xdr:spPr>
        <a:xfrm>
          <a:off x="1851025" y="7940675"/>
          <a:ext cx="650875" cy="5873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9525</xdr:colOff>
      <xdr:row>17</xdr:row>
      <xdr:rowOff>152400</xdr:rowOff>
    </xdr:from>
    <xdr:to>
      <xdr:col>5</xdr:col>
      <xdr:colOff>215900</xdr:colOff>
      <xdr:row>19</xdr:row>
      <xdr:rowOff>178707</xdr:rowOff>
    </xdr:to>
    <xdr:sp macro="" textlink="">
      <xdr:nvSpPr>
        <xdr:cNvPr id="297" name="Rectángulo 296">
          <a:extLst>
            <a:ext uri="{FF2B5EF4-FFF2-40B4-BE49-F238E27FC236}">
              <a16:creationId xmlns:a16="http://schemas.microsoft.com/office/drawing/2014/main" id="{00000000-0008-0000-2100-000029010000}"/>
            </a:ext>
          </a:extLst>
        </xdr:cNvPr>
        <xdr:cNvSpPr/>
      </xdr:nvSpPr>
      <xdr:spPr>
        <a:xfrm>
          <a:off x="1025525" y="4756150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3175</xdr:colOff>
      <xdr:row>16</xdr:row>
      <xdr:rowOff>19050</xdr:rowOff>
    </xdr:from>
    <xdr:to>
      <xdr:col>7</xdr:col>
      <xdr:colOff>209550</xdr:colOff>
      <xdr:row>18</xdr:row>
      <xdr:rowOff>45357</xdr:rowOff>
    </xdr:to>
    <xdr:sp macro="" textlink="">
      <xdr:nvSpPr>
        <xdr:cNvPr id="298" name="Rectángulo 297">
          <a:extLst>
            <a:ext uri="{FF2B5EF4-FFF2-40B4-BE49-F238E27FC236}">
              <a16:creationId xmlns:a16="http://schemas.microsoft.com/office/drawing/2014/main" id="{00000000-0008-0000-2100-00002A010000}"/>
            </a:ext>
          </a:extLst>
        </xdr:cNvPr>
        <xdr:cNvSpPr/>
      </xdr:nvSpPr>
      <xdr:spPr>
        <a:xfrm>
          <a:off x="1527175" y="4416425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60325</xdr:colOff>
      <xdr:row>12</xdr:row>
      <xdr:rowOff>203200</xdr:rowOff>
    </xdr:from>
    <xdr:to>
      <xdr:col>8</xdr:col>
      <xdr:colOff>12700</xdr:colOff>
      <xdr:row>15</xdr:row>
      <xdr:rowOff>23132</xdr:rowOff>
    </xdr:to>
    <xdr:sp macro="" textlink="">
      <xdr:nvSpPr>
        <xdr:cNvPr id="299" name="Rectángulo 298">
          <a:extLst>
            <a:ext uri="{FF2B5EF4-FFF2-40B4-BE49-F238E27FC236}">
              <a16:creationId xmlns:a16="http://schemas.microsoft.com/office/drawing/2014/main" id="{00000000-0008-0000-2100-00002B010000}"/>
            </a:ext>
          </a:extLst>
        </xdr:cNvPr>
        <xdr:cNvSpPr/>
      </xdr:nvSpPr>
      <xdr:spPr>
        <a:xfrm>
          <a:off x="1584325" y="3775075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130175</xdr:colOff>
      <xdr:row>15</xdr:row>
      <xdr:rowOff>95251</xdr:rowOff>
    </xdr:from>
    <xdr:to>
      <xdr:col>21</xdr:col>
      <xdr:colOff>82550</xdr:colOff>
      <xdr:row>17</xdr:row>
      <xdr:rowOff>121558</xdr:rowOff>
    </xdr:to>
    <xdr:sp macro="" textlink="">
      <xdr:nvSpPr>
        <xdr:cNvPr id="300" name="Rectángulo 299">
          <a:extLst>
            <a:ext uri="{FF2B5EF4-FFF2-40B4-BE49-F238E27FC236}">
              <a16:creationId xmlns:a16="http://schemas.microsoft.com/office/drawing/2014/main" id="{00000000-0008-0000-2100-00002C010000}"/>
            </a:ext>
          </a:extLst>
        </xdr:cNvPr>
        <xdr:cNvSpPr/>
      </xdr:nvSpPr>
      <xdr:spPr>
        <a:xfrm>
          <a:off x="4956175" y="428625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123825</xdr:colOff>
      <xdr:row>15</xdr:row>
      <xdr:rowOff>57151</xdr:rowOff>
    </xdr:from>
    <xdr:to>
      <xdr:col>24</xdr:col>
      <xdr:colOff>76200</xdr:colOff>
      <xdr:row>17</xdr:row>
      <xdr:rowOff>83458</xdr:rowOff>
    </xdr:to>
    <xdr:sp macro="" textlink="">
      <xdr:nvSpPr>
        <xdr:cNvPr id="301" name="Rectángulo 300">
          <a:extLst>
            <a:ext uri="{FF2B5EF4-FFF2-40B4-BE49-F238E27FC236}">
              <a16:creationId xmlns:a16="http://schemas.microsoft.com/office/drawing/2014/main" id="{00000000-0008-0000-2100-00002D010000}"/>
            </a:ext>
          </a:extLst>
        </xdr:cNvPr>
        <xdr:cNvSpPr/>
      </xdr:nvSpPr>
      <xdr:spPr>
        <a:xfrm>
          <a:off x="5711825" y="424815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22225</xdr:colOff>
      <xdr:row>23</xdr:row>
      <xdr:rowOff>114301</xdr:rowOff>
    </xdr:from>
    <xdr:to>
      <xdr:col>20</xdr:col>
      <xdr:colOff>228600</xdr:colOff>
      <xdr:row>25</xdr:row>
      <xdr:rowOff>140608</xdr:rowOff>
    </xdr:to>
    <xdr:sp macro="" textlink="">
      <xdr:nvSpPr>
        <xdr:cNvPr id="302" name="Rectángulo 301">
          <a:extLst>
            <a:ext uri="{FF2B5EF4-FFF2-40B4-BE49-F238E27FC236}">
              <a16:creationId xmlns:a16="http://schemas.microsoft.com/office/drawing/2014/main" id="{00000000-0008-0000-2100-00002E010000}"/>
            </a:ext>
          </a:extLst>
        </xdr:cNvPr>
        <xdr:cNvSpPr/>
      </xdr:nvSpPr>
      <xdr:spPr>
        <a:xfrm>
          <a:off x="4848225" y="595630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15875</xdr:colOff>
      <xdr:row>25</xdr:row>
      <xdr:rowOff>92076</xdr:rowOff>
    </xdr:from>
    <xdr:to>
      <xdr:col>18</xdr:col>
      <xdr:colOff>222250</xdr:colOff>
      <xdr:row>27</xdr:row>
      <xdr:rowOff>118383</xdr:rowOff>
    </xdr:to>
    <xdr:sp macro="" textlink="">
      <xdr:nvSpPr>
        <xdr:cNvPr id="303" name="Rectángulo 302">
          <a:extLst>
            <a:ext uri="{FF2B5EF4-FFF2-40B4-BE49-F238E27FC236}">
              <a16:creationId xmlns:a16="http://schemas.microsoft.com/office/drawing/2014/main" id="{00000000-0008-0000-2100-00002F010000}"/>
            </a:ext>
          </a:extLst>
        </xdr:cNvPr>
        <xdr:cNvSpPr/>
      </xdr:nvSpPr>
      <xdr:spPr>
        <a:xfrm>
          <a:off x="4333875" y="6346826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200025</xdr:colOff>
      <xdr:row>28</xdr:row>
      <xdr:rowOff>165101</xdr:rowOff>
    </xdr:from>
    <xdr:to>
      <xdr:col>30</xdr:col>
      <xdr:colOff>660400</xdr:colOff>
      <xdr:row>31</xdr:row>
      <xdr:rowOff>32658</xdr:rowOff>
    </xdr:to>
    <xdr:sp macro="" textlink="">
      <xdr:nvSpPr>
        <xdr:cNvPr id="304" name="Rectángulo 303">
          <a:extLst>
            <a:ext uri="{FF2B5EF4-FFF2-40B4-BE49-F238E27FC236}">
              <a16:creationId xmlns:a16="http://schemas.microsoft.com/office/drawing/2014/main" id="{00000000-0008-0000-2100-000030010000}"/>
            </a:ext>
          </a:extLst>
        </xdr:cNvPr>
        <xdr:cNvSpPr/>
      </xdr:nvSpPr>
      <xdr:spPr>
        <a:xfrm>
          <a:off x="7820025" y="702310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177800</xdr:colOff>
      <xdr:row>30</xdr:row>
      <xdr:rowOff>158751</xdr:rowOff>
    </xdr:from>
    <xdr:to>
      <xdr:col>28</xdr:col>
      <xdr:colOff>130175</xdr:colOff>
      <xdr:row>32</xdr:row>
      <xdr:rowOff>200933</xdr:rowOff>
    </xdr:to>
    <xdr:sp macro="" textlink="">
      <xdr:nvSpPr>
        <xdr:cNvPr id="305" name="Rectángulo 304">
          <a:extLst>
            <a:ext uri="{FF2B5EF4-FFF2-40B4-BE49-F238E27FC236}">
              <a16:creationId xmlns:a16="http://schemas.microsoft.com/office/drawing/2014/main" id="{00000000-0008-0000-2100-000031010000}"/>
            </a:ext>
          </a:extLst>
        </xdr:cNvPr>
        <xdr:cNvSpPr/>
      </xdr:nvSpPr>
      <xdr:spPr>
        <a:xfrm>
          <a:off x="6781800" y="739775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25</xdr:col>
      <xdr:colOff>92075</xdr:colOff>
      <xdr:row>27</xdr:row>
      <xdr:rowOff>184151</xdr:rowOff>
    </xdr:from>
    <xdr:to>
      <xdr:col>27</xdr:col>
      <xdr:colOff>44450</xdr:colOff>
      <xdr:row>30</xdr:row>
      <xdr:rowOff>51708</xdr:rowOff>
    </xdr:to>
    <xdr:sp macro="" textlink="">
      <xdr:nvSpPr>
        <xdr:cNvPr id="306" name="Rectángulo 305">
          <a:extLst>
            <a:ext uri="{FF2B5EF4-FFF2-40B4-BE49-F238E27FC236}">
              <a16:creationId xmlns:a16="http://schemas.microsoft.com/office/drawing/2014/main" id="{00000000-0008-0000-2100-000032010000}"/>
            </a:ext>
          </a:extLst>
        </xdr:cNvPr>
        <xdr:cNvSpPr/>
      </xdr:nvSpPr>
      <xdr:spPr>
        <a:xfrm>
          <a:off x="6442075" y="685165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23</xdr:col>
      <xdr:colOff>228600</xdr:colOff>
      <xdr:row>32</xdr:row>
      <xdr:rowOff>34926</xdr:rowOff>
    </xdr:from>
    <xdr:to>
      <xdr:col>25</xdr:col>
      <xdr:colOff>180975</xdr:colOff>
      <xdr:row>34</xdr:row>
      <xdr:rowOff>61233</xdr:rowOff>
    </xdr:to>
    <xdr:sp macro="" textlink="">
      <xdr:nvSpPr>
        <xdr:cNvPr id="307" name="Rectángulo 306">
          <a:extLst>
            <a:ext uri="{FF2B5EF4-FFF2-40B4-BE49-F238E27FC236}">
              <a16:creationId xmlns:a16="http://schemas.microsoft.com/office/drawing/2014/main" id="{00000000-0008-0000-2100-000033010000}"/>
            </a:ext>
          </a:extLst>
        </xdr:cNvPr>
        <xdr:cNvSpPr/>
      </xdr:nvSpPr>
      <xdr:spPr>
        <a:xfrm>
          <a:off x="6070600" y="767080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31750</xdr:colOff>
      <xdr:row>32</xdr:row>
      <xdr:rowOff>76201</xdr:rowOff>
    </xdr:from>
    <xdr:to>
      <xdr:col>23</xdr:col>
      <xdr:colOff>0</xdr:colOff>
      <xdr:row>34</xdr:row>
      <xdr:rowOff>102508</xdr:rowOff>
    </xdr:to>
    <xdr:sp macro="" textlink="">
      <xdr:nvSpPr>
        <xdr:cNvPr id="308" name="Rectángulo 307">
          <a:extLst>
            <a:ext uri="{FF2B5EF4-FFF2-40B4-BE49-F238E27FC236}">
              <a16:creationId xmlns:a16="http://schemas.microsoft.com/office/drawing/2014/main" id="{00000000-0008-0000-2100-000034010000}"/>
            </a:ext>
          </a:extLst>
        </xdr:cNvPr>
        <xdr:cNvSpPr/>
      </xdr:nvSpPr>
      <xdr:spPr>
        <a:xfrm>
          <a:off x="5111750" y="7712076"/>
          <a:ext cx="730250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111125</xdr:colOff>
      <xdr:row>30</xdr:row>
      <xdr:rowOff>92076</xdr:rowOff>
    </xdr:from>
    <xdr:to>
      <xdr:col>15</xdr:col>
      <xdr:colOff>63500</xdr:colOff>
      <xdr:row>32</xdr:row>
      <xdr:rowOff>134258</xdr:rowOff>
    </xdr:to>
    <xdr:sp macro="" textlink="">
      <xdr:nvSpPr>
        <xdr:cNvPr id="309" name="Rectángulo 308">
          <a:extLst>
            <a:ext uri="{FF2B5EF4-FFF2-40B4-BE49-F238E27FC236}">
              <a16:creationId xmlns:a16="http://schemas.microsoft.com/office/drawing/2014/main" id="{00000000-0008-0000-2100-000035010000}"/>
            </a:ext>
          </a:extLst>
        </xdr:cNvPr>
        <xdr:cNvSpPr/>
      </xdr:nvSpPr>
      <xdr:spPr>
        <a:xfrm>
          <a:off x="3413125" y="7331076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168275</xdr:colOff>
      <xdr:row>17</xdr:row>
      <xdr:rowOff>38101</xdr:rowOff>
    </xdr:from>
    <xdr:to>
      <xdr:col>14</xdr:col>
      <xdr:colOff>120650</xdr:colOff>
      <xdr:row>19</xdr:row>
      <xdr:rowOff>64408</xdr:rowOff>
    </xdr:to>
    <xdr:sp macro="" textlink="">
      <xdr:nvSpPr>
        <xdr:cNvPr id="310" name="Rectángulo 309">
          <a:extLst>
            <a:ext uri="{FF2B5EF4-FFF2-40B4-BE49-F238E27FC236}">
              <a16:creationId xmlns:a16="http://schemas.microsoft.com/office/drawing/2014/main" id="{00000000-0008-0000-2100-000036010000}"/>
            </a:ext>
          </a:extLst>
        </xdr:cNvPr>
        <xdr:cNvSpPr/>
      </xdr:nvSpPr>
      <xdr:spPr>
        <a:xfrm>
          <a:off x="3216275" y="4641851"/>
          <a:ext cx="460375" cy="43905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169622</xdr:rowOff>
    </xdr:from>
    <xdr:to>
      <xdr:col>0</xdr:col>
      <xdr:colOff>51435</xdr:colOff>
      <xdr:row>77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 rot="5400000">
          <a:off x="-27624" y="1417613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52</xdr:row>
      <xdr:rowOff>238125</xdr:rowOff>
    </xdr:from>
    <xdr:to>
      <xdr:col>17</xdr:col>
      <xdr:colOff>238125</xdr:colOff>
      <xdr:row>60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52</xdr:row>
      <xdr:rowOff>238125</xdr:rowOff>
    </xdr:from>
    <xdr:to>
      <xdr:col>17</xdr:col>
      <xdr:colOff>238125</xdr:colOff>
      <xdr:row>62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ShapeType="1"/>
        </xdr:cNvSpPr>
      </xdr:nvSpPr>
      <xdr:spPr bwMode="auto">
        <a:xfrm>
          <a:off x="4511040" y="1054608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CxnSpPr/>
      </xdr:nvCxnSpPr>
      <xdr:spPr>
        <a:xfrm>
          <a:off x="11239501" y="1109472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111125</xdr:colOff>
      <xdr:row>25</xdr:row>
      <xdr:rowOff>89535</xdr:rowOff>
    </xdr:from>
    <xdr:to>
      <xdr:col>20</xdr:col>
      <xdr:colOff>142875</xdr:colOff>
      <xdr:row>27</xdr:row>
      <xdr:rowOff>158750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/>
      </xdr:nvSpPr>
      <xdr:spPr>
        <a:xfrm>
          <a:off x="3921125" y="6312535"/>
          <a:ext cx="1301750" cy="481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C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C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C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C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C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C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C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C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C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C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C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C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C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C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C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C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C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C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C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C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C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C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C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C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C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C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C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C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C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C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C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C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C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C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C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C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C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C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C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C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C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C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C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C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C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C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C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C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C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C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C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C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C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C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C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C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C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C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C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C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C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C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C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C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C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C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C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C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C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C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C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C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C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C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C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C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C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C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C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C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C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C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C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C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C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C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C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C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C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C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C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C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C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C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C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C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C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C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C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C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C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C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C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C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C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C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C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C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C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C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C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C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C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C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C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58</xdr:row>
      <xdr:rowOff>0</xdr:rowOff>
    </xdr:from>
    <xdr:to>
      <xdr:col>38</xdr:col>
      <xdr:colOff>413657</xdr:colOff>
      <xdr:row>58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C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412750</xdr:colOff>
      <xdr:row>52</xdr:row>
      <xdr:rowOff>158750</xdr:rowOff>
    </xdr:from>
    <xdr:to>
      <xdr:col>36</xdr:col>
      <xdr:colOff>796018</xdr:colOff>
      <xdr:row>61</xdr:row>
      <xdr:rowOff>63895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C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08000" y="1020762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111125</xdr:colOff>
      <xdr:row>10</xdr:row>
      <xdr:rowOff>79375</xdr:rowOff>
    </xdr:from>
    <xdr:to>
      <xdr:col>31</xdr:col>
      <xdr:colOff>421707</xdr:colOff>
      <xdr:row>41</xdr:row>
      <xdr:rowOff>158750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5125" y="3238500"/>
          <a:ext cx="8375082" cy="638175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 rot="5400000">
          <a:off x="-24766" y="137960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136525</xdr:colOff>
      <xdr:row>34</xdr:row>
      <xdr:rowOff>104140</xdr:rowOff>
    </xdr:from>
    <xdr:to>
      <xdr:col>18</xdr:col>
      <xdr:colOff>103505</xdr:colOff>
      <xdr:row>36</xdr:row>
      <xdr:rowOff>171450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 txBox="1"/>
      </xdr:nvSpPr>
      <xdr:spPr>
        <a:xfrm>
          <a:off x="3184525" y="8092440"/>
          <a:ext cx="1490980" cy="4737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</a:t>
          </a:r>
        </a:p>
      </xdr:txBody>
    </xdr:sp>
    <xdr:clientData/>
  </xdr:twoCellAnchor>
  <xdr:twoCellAnchor>
    <xdr:from>
      <xdr:col>1</xdr:col>
      <xdr:colOff>30162</xdr:colOff>
      <xdr:row>14</xdr:row>
      <xdr:rowOff>188913</xdr:rowOff>
    </xdr:from>
    <xdr:to>
      <xdr:col>2</xdr:col>
      <xdr:colOff>238442</xdr:colOff>
      <xdr:row>31</xdr:row>
      <xdr:rowOff>89218</xdr:rowOff>
    </xdr:to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/>
      </xdr:nvSpPr>
      <xdr:spPr>
        <a:xfrm rot="16200000">
          <a:off x="-1157288" y="5583238"/>
          <a:ext cx="3345180" cy="462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LATERAL</a:t>
          </a:r>
          <a:r>
            <a:rPr lang="es-CO" sz="2400" b="1" baseline="0">
              <a:solidFill>
                <a:srgbClr val="FF0000"/>
              </a:solidFill>
            </a:rPr>
            <a:t> IZQ.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72389</xdr:colOff>
      <xdr:row>9</xdr:row>
      <xdr:rowOff>173990</xdr:rowOff>
    </xdr:from>
    <xdr:to>
      <xdr:col>26</xdr:col>
      <xdr:colOff>52704</xdr:colOff>
      <xdr:row>12</xdr:row>
      <xdr:rowOff>21590</xdr:rowOff>
    </xdr:to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/>
      </xdr:nvSpPr>
      <xdr:spPr>
        <a:xfrm>
          <a:off x="3882389" y="3145790"/>
          <a:ext cx="2774315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TRASERA</a:t>
          </a:r>
        </a:p>
      </xdr:txBody>
    </xdr:sp>
    <xdr:clientData/>
  </xdr:twoCellAnchor>
  <xdr:twoCellAnchor>
    <xdr:from>
      <xdr:col>30</xdr:col>
      <xdr:colOff>278448</xdr:colOff>
      <xdr:row>16</xdr:row>
      <xdr:rowOff>169864</xdr:rowOff>
    </xdr:from>
    <xdr:to>
      <xdr:col>31</xdr:col>
      <xdr:colOff>44133</xdr:colOff>
      <xdr:row>33</xdr:row>
      <xdr:rowOff>64454</xdr:rowOff>
    </xdr:to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/>
      </xdr:nvSpPr>
      <xdr:spPr>
        <a:xfrm rot="16200000">
          <a:off x="6460808" y="5973129"/>
          <a:ext cx="3339465" cy="4641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LATERAL</a:t>
          </a:r>
          <a:r>
            <a:rPr lang="es-CO" sz="2400" b="1" baseline="0">
              <a:solidFill>
                <a:srgbClr val="FF0000"/>
              </a:solidFill>
            </a:rPr>
            <a:t> DER.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D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D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D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D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D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D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D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D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D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D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D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D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D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D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D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D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D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D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D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D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D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D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D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D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D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D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D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D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D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D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D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D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D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D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D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D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D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D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D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D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D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D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D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D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D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D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D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D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D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D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D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D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D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D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D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D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D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D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D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D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D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D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D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D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D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D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D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D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D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D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D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D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D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D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D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D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D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D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D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D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D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D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D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D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D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D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D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D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D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D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D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D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D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D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D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D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D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D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D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D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D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D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D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D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D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D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D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D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D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174625</xdr:colOff>
      <xdr:row>44</xdr:row>
      <xdr:rowOff>142875</xdr:rowOff>
    </xdr:from>
    <xdr:to>
      <xdr:col>36</xdr:col>
      <xdr:colOff>557893</xdr:colOff>
      <xdr:row>53</xdr:row>
      <xdr:rowOff>48020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D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69875" y="1019175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</xdr:colOff>
      <xdr:row>11</xdr:row>
      <xdr:rowOff>111126</xdr:rowOff>
    </xdr:from>
    <xdr:to>
      <xdr:col>30</xdr:col>
      <xdr:colOff>178394</xdr:colOff>
      <xdr:row>33</xdr:row>
      <xdr:rowOff>174626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1375" y="3476626"/>
          <a:ext cx="6957019" cy="45085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 rot="5400000">
          <a:off x="-27624" y="13726556"/>
          <a:ext cx="104777" cy="49530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ShapeType="1"/>
        </xdr:cNvSpPr>
      </xdr:nvSpPr>
      <xdr:spPr bwMode="auto">
        <a:xfrm>
          <a:off x="4511040" y="10096500"/>
          <a:ext cx="0" cy="8686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ShapeType="1"/>
        </xdr:cNvSpPr>
      </xdr:nvSpPr>
      <xdr:spPr bwMode="auto">
        <a:xfrm>
          <a:off x="4511040" y="10096500"/>
          <a:ext cx="0" cy="12039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E00-00005C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E00-000060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E00-000062000000}"/>
            </a:ext>
          </a:extLst>
        </xdr:cNvPr>
        <xdr:cNvCxnSpPr/>
      </xdr:nvCxnSpPr>
      <xdr:spPr>
        <a:xfrm>
          <a:off x="11239501" y="10645140"/>
          <a:ext cx="44998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106276</xdr:colOff>
      <xdr:row>25</xdr:row>
      <xdr:rowOff>86591</xdr:rowOff>
    </xdr:from>
    <xdr:to>
      <xdr:col>19</xdr:col>
      <xdr:colOff>141836</xdr:colOff>
      <xdr:row>27</xdr:row>
      <xdr:rowOff>153901</xdr:rowOff>
    </xdr:to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SpPr txBox="1"/>
      </xdr:nvSpPr>
      <xdr:spPr>
        <a:xfrm>
          <a:off x="3662276" y="6296891"/>
          <a:ext cx="1305560" cy="4737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74525</xdr:colOff>
      <xdr:row>15</xdr:row>
      <xdr:rowOff>138660</xdr:rowOff>
    </xdr:from>
    <xdr:to>
      <xdr:col>24</xdr:col>
      <xdr:colOff>103100</xdr:colOff>
      <xdr:row>17</xdr:row>
      <xdr:rowOff>143105</xdr:rowOff>
    </xdr:to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00000000-0008-0000-0E00-00006C000000}"/>
            </a:ext>
          </a:extLst>
        </xdr:cNvPr>
        <xdr:cNvSpPr txBox="1"/>
      </xdr:nvSpPr>
      <xdr:spPr>
        <a:xfrm>
          <a:off x="4900525" y="4316960"/>
          <a:ext cx="1298575" cy="410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E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E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E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E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E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E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E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E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E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E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E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E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E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E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E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E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E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E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E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E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E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E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E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E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E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E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E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E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E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E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E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E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E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E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E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E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E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E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E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E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E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E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E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E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E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E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E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E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E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E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E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E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E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E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E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E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E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E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E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E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E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E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E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E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E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E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E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E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E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E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E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E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E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E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E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E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E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E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E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E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E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E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E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E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E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E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E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E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E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E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E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E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E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E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E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E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E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E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E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E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E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E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E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E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E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E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E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E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E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E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E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E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E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E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E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E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E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E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E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E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E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E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E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E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E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E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E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E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E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E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E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E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E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E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E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E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E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E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E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E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E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E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E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E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E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E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E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E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E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E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E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E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E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E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E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E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E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E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E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E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E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E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E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E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E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E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E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E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E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E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E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E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E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E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E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E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396875</xdr:colOff>
      <xdr:row>44</xdr:row>
      <xdr:rowOff>111125</xdr:rowOff>
    </xdr:from>
    <xdr:to>
      <xdr:col>36</xdr:col>
      <xdr:colOff>780143</xdr:colOff>
      <xdr:row>53</xdr:row>
      <xdr:rowOff>16270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E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92125" y="101600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174625</xdr:colOff>
      <xdr:row>9</xdr:row>
      <xdr:rowOff>190499</xdr:rowOff>
    </xdr:from>
    <xdr:to>
      <xdr:col>32</xdr:col>
      <xdr:colOff>3960</xdr:colOff>
      <xdr:row>42</xdr:row>
      <xdr:rowOff>95249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00000000-0008-0000-0E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4625" y="3143249"/>
          <a:ext cx="8687585" cy="66198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 rot="5400000">
          <a:off x="-24766" y="137960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F00-00002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F00-00002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F00-00003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F00-00003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F00-00003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F00-00003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F00-00003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0F00-00003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0F00-00004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0F00-00004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F00-00004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F00-00004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F00-00004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F00-00004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F00-00004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0F00-00004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F00-00004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F00-00004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F00-00005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0F00-00005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0F00-00005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F00-00005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0F00-00005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0F00-00005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0F00-00005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F00-00005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F00-00005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0F00-00005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F00-00005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0F00-00005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F00-00005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F00-00006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F00-00006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111125</xdr:colOff>
      <xdr:row>25</xdr:row>
      <xdr:rowOff>89535</xdr:rowOff>
    </xdr:from>
    <xdr:to>
      <xdr:col>20</xdr:col>
      <xdr:colOff>142875</xdr:colOff>
      <xdr:row>27</xdr:row>
      <xdr:rowOff>158750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F00-000064000000}"/>
            </a:ext>
          </a:extLst>
        </xdr:cNvPr>
        <xdr:cNvSpPr txBox="1"/>
      </xdr:nvSpPr>
      <xdr:spPr>
        <a:xfrm>
          <a:off x="3825875" y="6233160"/>
          <a:ext cx="1270000" cy="4692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81279</xdr:colOff>
      <xdr:row>15</xdr:row>
      <xdr:rowOff>133984</xdr:rowOff>
    </xdr:from>
    <xdr:to>
      <xdr:col>25</xdr:col>
      <xdr:colOff>98424</xdr:colOff>
      <xdr:row>17</xdr:row>
      <xdr:rowOff>142239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SpPr txBox="1"/>
      </xdr:nvSpPr>
      <xdr:spPr>
        <a:xfrm>
          <a:off x="5034279" y="4277359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0F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0F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0F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0F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F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F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F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0F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F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0F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0F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0F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F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F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0F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0F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0F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0F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0F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0F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0F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0F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0F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0F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0F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0F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0F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0F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0F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0F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0F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0F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0F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F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F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0F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0F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F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F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0F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0F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0F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0F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0F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0F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0F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0F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0F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F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0F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0F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0F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F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F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F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F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F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0F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0F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0F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0F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0F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0F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0F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0F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0F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0F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0F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0F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0F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0F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0F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F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0F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F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0F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F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F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F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F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F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0F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0F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0F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0F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0F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0F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0F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0F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0F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0F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0F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0F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0F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0F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0F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0F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0F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0F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0F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0F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F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0F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0F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0F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F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0F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0F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0F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0F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0F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0F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F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F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F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F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F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F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0F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0F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F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0F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0F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0F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0F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0F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F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F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0F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0F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0F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0F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0F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0F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0F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0F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0F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0F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0F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0F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0F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0F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0F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0F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0F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0F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0F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0F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0F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0F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0F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0F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0F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0F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0F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0F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0F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0F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0F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0F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0F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0F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0F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0F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0F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0F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0F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0F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0F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0F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0F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0F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0F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0F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0F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0F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0F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0F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0F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0F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0F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0F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0F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31783</xdr:colOff>
      <xdr:row>11</xdr:row>
      <xdr:rowOff>63501</xdr:rowOff>
    </xdr:from>
    <xdr:to>
      <xdr:col>31</xdr:col>
      <xdr:colOff>140648</xdr:colOff>
      <xdr:row>37</xdr:row>
      <xdr:rowOff>35553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00000000-0008-0000-0F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783" y="3429001"/>
          <a:ext cx="7919365" cy="5242552"/>
        </a:xfrm>
        <a:prstGeom prst="rect">
          <a:avLst/>
        </a:prstGeom>
      </xdr:spPr>
    </xdr:pic>
    <xdr:clientData/>
  </xdr:twoCellAnchor>
  <xdr:twoCellAnchor editAs="oneCell">
    <xdr:from>
      <xdr:col>35</xdr:col>
      <xdr:colOff>254000</xdr:colOff>
      <xdr:row>44</xdr:row>
      <xdr:rowOff>158750</xdr:rowOff>
    </xdr:from>
    <xdr:to>
      <xdr:col>36</xdr:col>
      <xdr:colOff>637268</xdr:colOff>
      <xdr:row>53</xdr:row>
      <xdr:rowOff>63895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0F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49250" y="10207625"/>
          <a:ext cx="1224643" cy="158789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 rot="5400000">
          <a:off x="-24766" y="137960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>
          <a:spLocks noChangeShapeType="1"/>
        </xdr:cNvSpPr>
      </xdr:nvSpPr>
      <xdr:spPr bwMode="auto">
        <a:xfrm>
          <a:off x="4448175" y="101346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000-00002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000-00002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000-00002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000-00002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000-00002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000-00002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000-00002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000-00002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000-00002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000-00003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000-00003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000-00003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000-00003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000-00003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000-00003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000-00003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000-00003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000-00003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000-00003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000-00003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000-00003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000-00003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000-00004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000-00004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000-00004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000-00004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000-00004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000-00004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000-00004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000-00004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000-00004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000-00004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000-00004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000-00004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000-00004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000-00004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000-00004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000-00004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000-00005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000-00005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000-00005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000-000053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000-000054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000-000055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000-000056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000-000057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000-000058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000-000059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000-00005A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000-00005B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000-00005C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000-00005D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000-00005E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000-00005F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000-000060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000-000061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000-000062000000}"/>
            </a:ext>
          </a:extLst>
        </xdr:cNvPr>
        <xdr:cNvCxnSpPr/>
      </xdr:nvCxnSpPr>
      <xdr:spPr>
        <a:xfrm>
          <a:off x="11115676" y="106870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136525</xdr:colOff>
      <xdr:row>34</xdr:row>
      <xdr:rowOff>104140</xdr:rowOff>
    </xdr:from>
    <xdr:to>
      <xdr:col>18</xdr:col>
      <xdr:colOff>103505</xdr:colOff>
      <xdr:row>36</xdr:row>
      <xdr:rowOff>171450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1000-000064000000}"/>
            </a:ext>
          </a:extLst>
        </xdr:cNvPr>
        <xdr:cNvSpPr txBox="1"/>
      </xdr:nvSpPr>
      <xdr:spPr>
        <a:xfrm>
          <a:off x="3108325" y="8009890"/>
          <a:ext cx="1452880" cy="467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</a:t>
          </a:r>
        </a:p>
      </xdr:txBody>
    </xdr:sp>
    <xdr:clientData/>
  </xdr:twoCellAnchor>
  <xdr:twoCellAnchor>
    <xdr:from>
      <xdr:col>2</xdr:col>
      <xdr:colOff>61912</xdr:colOff>
      <xdr:row>14</xdr:row>
      <xdr:rowOff>109538</xdr:rowOff>
    </xdr:from>
    <xdr:to>
      <xdr:col>4</xdr:col>
      <xdr:colOff>16192</xdr:colOff>
      <xdr:row>31</xdr:row>
      <xdr:rowOff>9843</xdr:rowOff>
    </xdr:to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00000000-0008-0000-1000-000065000000}"/>
            </a:ext>
          </a:extLst>
        </xdr:cNvPr>
        <xdr:cNvSpPr txBox="1"/>
      </xdr:nvSpPr>
      <xdr:spPr>
        <a:xfrm rot="16200000">
          <a:off x="-849313" y="5459413"/>
          <a:ext cx="326263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LATERAL</a:t>
          </a:r>
          <a:r>
            <a:rPr lang="es-CO" sz="2400" b="1" baseline="0">
              <a:solidFill>
                <a:srgbClr val="FF0000"/>
              </a:solidFill>
            </a:rPr>
            <a:t> IZQ.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72389</xdr:colOff>
      <xdr:row>9</xdr:row>
      <xdr:rowOff>173990</xdr:rowOff>
    </xdr:from>
    <xdr:to>
      <xdr:col>26</xdr:col>
      <xdr:colOff>52704</xdr:colOff>
      <xdr:row>12</xdr:row>
      <xdr:rowOff>21590</xdr:rowOff>
    </xdr:to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00000000-0008-0000-1000-000066000000}"/>
            </a:ext>
          </a:extLst>
        </xdr:cNvPr>
        <xdr:cNvSpPr txBox="1"/>
      </xdr:nvSpPr>
      <xdr:spPr>
        <a:xfrm>
          <a:off x="3787139" y="3126740"/>
          <a:ext cx="270446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TRASERA</a:t>
          </a:r>
        </a:p>
      </xdr:txBody>
    </xdr:sp>
    <xdr:clientData/>
  </xdr:twoCellAnchor>
  <xdr:twoCellAnchor>
    <xdr:from>
      <xdr:col>30</xdr:col>
      <xdr:colOff>40323</xdr:colOff>
      <xdr:row>16</xdr:row>
      <xdr:rowOff>122239</xdr:rowOff>
    </xdr:from>
    <xdr:to>
      <xdr:col>30</xdr:col>
      <xdr:colOff>504508</xdr:colOff>
      <xdr:row>33</xdr:row>
      <xdr:rowOff>16829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000-000067000000}"/>
            </a:ext>
          </a:extLst>
        </xdr:cNvPr>
        <xdr:cNvSpPr txBox="1"/>
      </xdr:nvSpPr>
      <xdr:spPr>
        <a:xfrm rot="16200000">
          <a:off x="6073458" y="5862004"/>
          <a:ext cx="3256915" cy="4641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FACHADA LATERAL</a:t>
          </a:r>
          <a:r>
            <a:rPr lang="es-CO" sz="2400" b="1" baseline="0">
              <a:solidFill>
                <a:srgbClr val="FF0000"/>
              </a:solidFill>
            </a:rPr>
            <a:t> DER.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0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0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0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0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0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0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0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0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0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0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0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0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0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0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0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0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0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0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0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0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0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0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0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0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0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0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0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0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0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0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0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0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0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0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0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0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0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0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0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0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0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0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0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0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0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0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0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0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0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0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0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0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0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0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0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0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0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0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0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0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0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0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0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0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0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0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0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0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0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0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0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0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0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0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0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0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0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0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0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0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0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0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0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0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0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0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0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0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0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0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0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0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0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0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0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0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0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0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0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0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0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0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0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0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0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0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0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0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0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0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0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0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0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0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0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0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0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0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0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0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0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0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0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0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0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0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0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0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0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0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0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0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0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0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0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0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0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0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0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0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0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0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0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0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0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0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0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0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0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0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0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0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0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0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0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0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0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0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0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0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0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0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0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0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0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0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0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0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0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0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0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0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0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0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0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0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0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0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0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0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0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0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0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0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0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0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0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0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428625</xdr:colOff>
      <xdr:row>44</xdr:row>
      <xdr:rowOff>142875</xdr:rowOff>
    </xdr:from>
    <xdr:to>
      <xdr:col>36</xdr:col>
      <xdr:colOff>811893</xdr:colOff>
      <xdr:row>53</xdr:row>
      <xdr:rowOff>48020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23875" y="1019175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</xdr:row>
      <xdr:rowOff>79375</xdr:rowOff>
    </xdr:from>
    <xdr:to>
      <xdr:col>30</xdr:col>
      <xdr:colOff>47626</xdr:colOff>
      <xdr:row>34</xdr:row>
      <xdr:rowOff>42874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1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8876" y="3841750"/>
          <a:ext cx="6508750" cy="421799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 rot="5400000">
          <a:off x="-24766" y="142532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100-00001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100-00001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100-00001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100-00001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100-00001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100-00002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100-00002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100-00002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100-00002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100-00002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100-00002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100-00002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100-00002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100-00002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100-00002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100-00002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100-00002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100-00002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100-00003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100-00003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100-00003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100-00003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100-00003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100-00003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100-00003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100-00003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100-00003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100-00003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100-00003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100-00003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100-00003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100-00004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100-00004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100-00004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100-00004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100-00004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100-00004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100-00004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100-00004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100-00004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100-00004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100-00004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100-00004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100-00004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100-00004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100-00004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100-00004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100-00005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100-00005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100-00005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100-00005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100-00005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100-00005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100-00005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100-00005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100-00005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100-00005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100-00005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100-00005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100-00005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100-00005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100-00005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100-00005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100-00006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100-00006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100-00006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89765</xdr:colOff>
      <xdr:row>13</xdr:row>
      <xdr:rowOff>435205</xdr:rowOff>
    </xdr:from>
    <xdr:to>
      <xdr:col>24</xdr:col>
      <xdr:colOff>106910</xdr:colOff>
      <xdr:row>15</xdr:row>
      <xdr:rowOff>205335</xdr:rowOff>
    </xdr:to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00000000-0008-0000-1100-00006C000000}"/>
            </a:ext>
          </a:extLst>
        </xdr:cNvPr>
        <xdr:cNvSpPr txBox="1"/>
      </xdr:nvSpPr>
      <xdr:spPr>
        <a:xfrm>
          <a:off x="4915765" y="4451580"/>
          <a:ext cx="1287145" cy="4210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15</xdr:col>
      <xdr:colOff>246611</xdr:colOff>
      <xdr:row>24</xdr:row>
      <xdr:rowOff>25631</xdr:rowOff>
    </xdr:from>
    <xdr:to>
      <xdr:col>20</xdr:col>
      <xdr:colOff>249786</xdr:colOff>
      <xdr:row>26</xdr:row>
      <xdr:rowOff>107546</xdr:rowOff>
    </xdr:to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00000000-0008-0000-1100-00006D000000}"/>
            </a:ext>
          </a:extLst>
        </xdr:cNvPr>
        <xdr:cNvSpPr txBox="1"/>
      </xdr:nvSpPr>
      <xdr:spPr>
        <a:xfrm>
          <a:off x="4056611" y="6550256"/>
          <a:ext cx="1273175" cy="4946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1100-00006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1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1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1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1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1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1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1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1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1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1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1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1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1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1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1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1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1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1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1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1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1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1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1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1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1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1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1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1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1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1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1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1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1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1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1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1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1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1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1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1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1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1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1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1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1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1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1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1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1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1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1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1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1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1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1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1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1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1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1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1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1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1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1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1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1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1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1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1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1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1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1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1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1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1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1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1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1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1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1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1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1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1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1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1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1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1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1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1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1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1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1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1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1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1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1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1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1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1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1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1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1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1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1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1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1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1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1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1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1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1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1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1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1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1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1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1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1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1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1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1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1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1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1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1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1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1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1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1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1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1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1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1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1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1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1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1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1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1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1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1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1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1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1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1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1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1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1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1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1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1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1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1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1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1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1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1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1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1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1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1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1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1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1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1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1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1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1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1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1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1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1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1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1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1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1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1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1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1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1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1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1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1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1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1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1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1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1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365125</xdr:colOff>
      <xdr:row>44</xdr:row>
      <xdr:rowOff>174625</xdr:rowOff>
    </xdr:from>
    <xdr:to>
      <xdr:col>36</xdr:col>
      <xdr:colOff>748393</xdr:colOff>
      <xdr:row>53</xdr:row>
      <xdr:rowOff>79770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1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60375" y="10731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</xdr:colOff>
      <xdr:row>13</xdr:row>
      <xdr:rowOff>15875</xdr:rowOff>
    </xdr:from>
    <xdr:to>
      <xdr:col>31</xdr:col>
      <xdr:colOff>180204</xdr:colOff>
      <xdr:row>38</xdr:row>
      <xdr:rowOff>45411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1A9FC627-F1FD-4BA8-9BD2-2ADCC1558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3875" y="4032250"/>
          <a:ext cx="7974829" cy="536353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2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2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2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2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2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2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2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2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2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2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2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2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2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2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2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2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2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2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2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2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2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2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2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2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2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2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2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2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2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2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2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2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2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2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2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2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2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2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2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2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2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2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2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2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2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2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2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191134</xdr:colOff>
      <xdr:row>30</xdr:row>
      <xdr:rowOff>26034</xdr:rowOff>
    </xdr:from>
    <xdr:to>
      <xdr:col>16</xdr:col>
      <xdr:colOff>50800</xdr:colOff>
      <xdr:row>32</xdr:row>
      <xdr:rowOff>148590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1200-000064000000}"/>
            </a:ext>
          </a:extLst>
        </xdr:cNvPr>
        <xdr:cNvSpPr txBox="1"/>
      </xdr:nvSpPr>
      <xdr:spPr>
        <a:xfrm>
          <a:off x="1461134" y="7239634"/>
          <a:ext cx="2653666" cy="5162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CUARTO DE ASEO 1</a:t>
          </a:r>
        </a:p>
      </xdr:txBody>
    </xdr:sp>
    <xdr:clientData/>
  </xdr:twoCellAnchor>
  <xdr:twoCellAnchor>
    <xdr:from>
      <xdr:col>21</xdr:col>
      <xdr:colOff>55243</xdr:colOff>
      <xdr:row>18</xdr:row>
      <xdr:rowOff>104139</xdr:rowOff>
    </xdr:from>
    <xdr:to>
      <xdr:col>30</xdr:col>
      <xdr:colOff>455294</xdr:colOff>
      <xdr:row>20</xdr:row>
      <xdr:rowOff>116204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200-000067000000}"/>
            </a:ext>
          </a:extLst>
        </xdr:cNvPr>
        <xdr:cNvSpPr txBox="1"/>
      </xdr:nvSpPr>
      <xdr:spPr>
        <a:xfrm>
          <a:off x="5389243" y="4917439"/>
          <a:ext cx="2686051" cy="418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CUARTO DE ASEO 2</a:t>
          </a:r>
        </a:p>
      </xdr:txBody>
    </xdr:sp>
    <xdr:clientData/>
  </xdr:twoCellAnchor>
  <xdr:twoCellAnchor>
    <xdr:from>
      <xdr:col>10</xdr:col>
      <xdr:colOff>0</xdr:colOff>
      <xdr:row>27</xdr:row>
      <xdr:rowOff>127000</xdr:rowOff>
    </xdr:from>
    <xdr:to>
      <xdr:col>11</xdr:col>
      <xdr:colOff>152400</xdr:colOff>
      <xdr:row>29</xdr:row>
      <xdr:rowOff>76200</xdr:rowOff>
    </xdr:to>
    <xdr:sp macro="" textlink="">
      <xdr:nvSpPr>
        <xdr:cNvPr id="104" name="Rectángulo 103">
          <a:extLst>
            <a:ext uri="{FF2B5EF4-FFF2-40B4-BE49-F238E27FC236}">
              <a16:creationId xmlns:a16="http://schemas.microsoft.com/office/drawing/2014/main" id="{00000000-0008-0000-1200-000068000000}"/>
            </a:ext>
          </a:extLst>
        </xdr:cNvPr>
        <xdr:cNvSpPr/>
      </xdr:nvSpPr>
      <xdr:spPr>
        <a:xfrm>
          <a:off x="2540000" y="6769100"/>
          <a:ext cx="406400" cy="3302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25</xdr:col>
      <xdr:colOff>203200</xdr:colOff>
      <xdr:row>15</xdr:row>
      <xdr:rowOff>190500</xdr:rowOff>
    </xdr:from>
    <xdr:to>
      <xdr:col>26</xdr:col>
      <xdr:colOff>228600</xdr:colOff>
      <xdr:row>17</xdr:row>
      <xdr:rowOff>139700</xdr:rowOff>
    </xdr:to>
    <xdr:sp macro="" textlink="">
      <xdr:nvSpPr>
        <xdr:cNvPr id="105" name="Rectángulo 104">
          <a:extLst>
            <a:ext uri="{FF2B5EF4-FFF2-40B4-BE49-F238E27FC236}">
              <a16:creationId xmlns:a16="http://schemas.microsoft.com/office/drawing/2014/main" id="{00000000-0008-0000-1200-000069000000}"/>
            </a:ext>
          </a:extLst>
        </xdr:cNvPr>
        <xdr:cNvSpPr/>
      </xdr:nvSpPr>
      <xdr:spPr>
        <a:xfrm>
          <a:off x="6553200" y="4394200"/>
          <a:ext cx="279400" cy="355600"/>
        </a:xfrm>
        <a:prstGeom prst="rect">
          <a:avLst/>
        </a:prstGeom>
        <a:noFill/>
        <a:ln w="762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2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2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2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2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2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2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2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2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2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2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2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2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2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2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2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2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2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2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2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2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2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2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2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2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2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2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2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2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2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2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2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2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2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2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2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2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2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2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2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2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2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2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2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2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2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2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2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2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2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2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2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2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2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2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2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2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2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2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2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2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2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2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2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2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2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2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2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2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2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2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2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2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2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2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2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2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2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2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2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2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2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2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2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2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2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2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2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2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2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2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2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2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2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2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2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2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2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2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2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2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2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2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2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2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2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2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2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2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2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2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2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2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2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2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2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2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2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2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2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2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2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2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2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2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2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2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2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2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2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2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2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2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2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2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2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2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2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2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2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2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2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2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2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2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2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2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2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2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2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2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2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2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2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2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2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2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2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2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2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2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2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2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2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2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2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2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2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2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2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2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2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2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2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2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2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2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2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2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2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2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2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2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2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2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2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2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2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2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174625</xdr:colOff>
      <xdr:row>9</xdr:row>
      <xdr:rowOff>185467</xdr:rowOff>
    </xdr:from>
    <xdr:to>
      <xdr:col>30</xdr:col>
      <xdr:colOff>480079</xdr:colOff>
      <xdr:row>42</xdr:row>
      <xdr:rowOff>19652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00000000-0008-0000-12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6625" y="3138217"/>
          <a:ext cx="7163454" cy="6581060"/>
        </a:xfrm>
        <a:prstGeom prst="rect">
          <a:avLst/>
        </a:prstGeom>
      </xdr:spPr>
    </xdr:pic>
    <xdr:clientData/>
  </xdr:twoCellAnchor>
  <xdr:twoCellAnchor editAs="oneCell">
    <xdr:from>
      <xdr:col>35</xdr:col>
      <xdr:colOff>381000</xdr:colOff>
      <xdr:row>44</xdr:row>
      <xdr:rowOff>63500</xdr:rowOff>
    </xdr:from>
    <xdr:to>
      <xdr:col>36</xdr:col>
      <xdr:colOff>764268</xdr:colOff>
      <xdr:row>52</xdr:row>
      <xdr:rowOff>127395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2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76250" y="10144125"/>
          <a:ext cx="1224643" cy="158789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3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3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3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3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3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3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3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3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3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3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3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3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3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3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3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3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3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3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3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3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3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3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3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3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3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3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3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3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3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3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3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3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3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3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3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3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3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3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3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3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3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3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3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3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3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3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3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3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3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3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3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3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3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3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3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3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3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3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3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3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3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3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3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98425</xdr:colOff>
      <xdr:row>25</xdr:row>
      <xdr:rowOff>76834</xdr:rowOff>
    </xdr:from>
    <xdr:to>
      <xdr:col>20</xdr:col>
      <xdr:colOff>101600</xdr:colOff>
      <xdr:row>27</xdr:row>
      <xdr:rowOff>112394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1300-000064000000}"/>
            </a:ext>
          </a:extLst>
        </xdr:cNvPr>
        <xdr:cNvSpPr txBox="1"/>
      </xdr:nvSpPr>
      <xdr:spPr>
        <a:xfrm>
          <a:off x="3813175" y="6239509"/>
          <a:ext cx="1241425" cy="4356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71754</xdr:colOff>
      <xdr:row>15</xdr:row>
      <xdr:rowOff>11429</xdr:rowOff>
    </xdr:from>
    <xdr:to>
      <xdr:col>25</xdr:col>
      <xdr:colOff>86994</xdr:colOff>
      <xdr:row>17</xdr:row>
      <xdr:rowOff>25399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300-000067000000}"/>
            </a:ext>
          </a:extLst>
        </xdr:cNvPr>
        <xdr:cNvSpPr txBox="1"/>
      </xdr:nvSpPr>
      <xdr:spPr>
        <a:xfrm>
          <a:off x="5024754" y="4173854"/>
          <a:ext cx="1253490" cy="414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3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3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3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3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3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3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3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3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3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3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3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3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3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3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3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3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3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3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3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3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3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3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3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3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3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3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3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3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3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3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3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3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3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3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3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3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3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3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3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3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3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3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3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3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3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3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3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3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3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3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3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3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3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3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3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3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3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3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3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3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3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3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3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3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3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3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3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3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3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3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3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3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3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3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3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3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3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3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3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3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3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3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3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3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3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3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3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3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3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3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3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3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3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3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3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3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3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3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3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3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3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3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3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3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3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3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3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3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3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3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3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3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3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3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3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3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3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3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3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3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3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3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3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3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3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3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3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3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3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3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3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3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3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3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3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3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3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3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3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3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3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3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3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3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3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3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3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3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3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3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3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3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3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3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3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3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3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3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3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3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3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3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3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3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3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3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3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3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3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3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3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3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3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3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3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3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3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3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3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3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3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3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3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3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3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3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396875</xdr:colOff>
      <xdr:row>44</xdr:row>
      <xdr:rowOff>158750</xdr:rowOff>
    </xdr:from>
    <xdr:to>
      <xdr:col>36</xdr:col>
      <xdr:colOff>780143</xdr:colOff>
      <xdr:row>53</xdr:row>
      <xdr:rowOff>63895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3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92125" y="102393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158750</xdr:colOff>
      <xdr:row>10</xdr:row>
      <xdr:rowOff>190500</xdr:rowOff>
    </xdr:from>
    <xdr:to>
      <xdr:col>30</xdr:col>
      <xdr:colOff>520652</xdr:colOff>
      <xdr:row>36</xdr:row>
      <xdr:rowOff>174625</xdr:rowOff>
    </xdr:to>
    <xdr:pic>
      <xdr:nvPicPr>
        <xdr:cNvPr id="295" name="Imagen 294">
          <a:extLst>
            <a:ext uri="{FF2B5EF4-FFF2-40B4-BE49-F238E27FC236}">
              <a16:creationId xmlns:a16="http://schemas.microsoft.com/office/drawing/2014/main" id="{00000000-0008-0000-13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0" y="3349625"/>
          <a:ext cx="7981902" cy="52863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 rot="5400000">
          <a:off x="-24766" y="143104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>
          <a:spLocks noChangeShapeType="1"/>
        </xdr:cNvSpPr>
      </xdr:nvSpPr>
      <xdr:spPr bwMode="auto">
        <a:xfrm>
          <a:off x="4448175" y="106489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>
          <a:spLocks noChangeShapeType="1"/>
        </xdr:cNvSpPr>
      </xdr:nvSpPr>
      <xdr:spPr bwMode="auto">
        <a:xfrm>
          <a:off x="4448175" y="106489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400-00003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400-00003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400-00003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400-00003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400-00003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400-00004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400-00004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400-00004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400-00004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400-00004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400-00004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400-00004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400-00004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400-00005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400-00005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400-00005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400-000059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400-00005A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400-00005B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400-00005C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400-00005D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400-00005E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400-00005F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400-000060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400-000061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400-000062000000}"/>
            </a:ext>
          </a:extLst>
        </xdr:cNvPr>
        <xdr:cNvCxnSpPr/>
      </xdr:nvCxnSpPr>
      <xdr:spPr>
        <a:xfrm>
          <a:off x="11115676" y="112014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24995</xdr:colOff>
      <xdr:row>18</xdr:row>
      <xdr:rowOff>0</xdr:rowOff>
    </xdr:from>
    <xdr:to>
      <xdr:col>25</xdr:col>
      <xdr:colOff>195810</xdr:colOff>
      <xdr:row>32</xdr:row>
      <xdr:rowOff>15875</xdr:rowOff>
    </xdr:to>
    <xdr:sp macro="" textlink="">
      <xdr:nvSpPr>
        <xdr:cNvPr id="100" name="Forma libre: forma 99">
          <a:extLst>
            <a:ext uri="{FF2B5EF4-FFF2-40B4-BE49-F238E27FC236}">
              <a16:creationId xmlns:a16="http://schemas.microsoft.com/office/drawing/2014/main" id="{00000000-0008-0000-1400-000064000000}"/>
            </a:ext>
          </a:extLst>
        </xdr:cNvPr>
        <xdr:cNvSpPr/>
      </xdr:nvSpPr>
      <xdr:spPr>
        <a:xfrm>
          <a:off x="1510895" y="5257800"/>
          <a:ext cx="4876165" cy="2778125"/>
        </a:xfrm>
        <a:custGeom>
          <a:avLst/>
          <a:gdLst>
            <a:gd name="connsiteX0" fmla="*/ 63500 w 4610100"/>
            <a:gd name="connsiteY0" fmla="*/ 622300 h 2895600"/>
            <a:gd name="connsiteX1" fmla="*/ 1981200 w 4610100"/>
            <a:gd name="connsiteY1" fmla="*/ 635000 h 2895600"/>
            <a:gd name="connsiteX2" fmla="*/ 2019300 w 4610100"/>
            <a:gd name="connsiteY2" fmla="*/ 0 h 2895600"/>
            <a:gd name="connsiteX3" fmla="*/ 3060700 w 4610100"/>
            <a:gd name="connsiteY3" fmla="*/ 25400 h 2895600"/>
            <a:gd name="connsiteX4" fmla="*/ 3073400 w 4610100"/>
            <a:gd name="connsiteY4" fmla="*/ 508000 h 2895600"/>
            <a:gd name="connsiteX5" fmla="*/ 4610100 w 4610100"/>
            <a:gd name="connsiteY5" fmla="*/ 571500 h 2895600"/>
            <a:gd name="connsiteX6" fmla="*/ 4559300 w 4610100"/>
            <a:gd name="connsiteY6" fmla="*/ 2857500 h 2895600"/>
            <a:gd name="connsiteX7" fmla="*/ 3327400 w 4610100"/>
            <a:gd name="connsiteY7" fmla="*/ 2794000 h 2895600"/>
            <a:gd name="connsiteX8" fmla="*/ 3314700 w 4610100"/>
            <a:gd name="connsiteY8" fmla="*/ 2374900 h 2895600"/>
            <a:gd name="connsiteX9" fmla="*/ 2654300 w 4610100"/>
            <a:gd name="connsiteY9" fmla="*/ 2374900 h 2895600"/>
            <a:gd name="connsiteX10" fmla="*/ 2654300 w 4610100"/>
            <a:gd name="connsiteY10" fmla="*/ 2895600 h 2895600"/>
            <a:gd name="connsiteX11" fmla="*/ 0 w 4610100"/>
            <a:gd name="connsiteY11" fmla="*/ 2844800 h 2895600"/>
            <a:gd name="connsiteX12" fmla="*/ 63500 w 4610100"/>
            <a:gd name="connsiteY12" fmla="*/ 622300 h 2895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4610100" h="2895600">
              <a:moveTo>
                <a:pt x="63500" y="622300"/>
              </a:moveTo>
              <a:lnTo>
                <a:pt x="1981200" y="635000"/>
              </a:lnTo>
              <a:lnTo>
                <a:pt x="2019300" y="0"/>
              </a:lnTo>
              <a:lnTo>
                <a:pt x="3060700" y="25400"/>
              </a:lnTo>
              <a:lnTo>
                <a:pt x="3073400" y="508000"/>
              </a:lnTo>
              <a:lnTo>
                <a:pt x="4610100" y="571500"/>
              </a:lnTo>
              <a:lnTo>
                <a:pt x="4559300" y="2857500"/>
              </a:lnTo>
              <a:lnTo>
                <a:pt x="3327400" y="2794000"/>
              </a:lnTo>
              <a:lnTo>
                <a:pt x="3314700" y="2374900"/>
              </a:lnTo>
              <a:lnTo>
                <a:pt x="2654300" y="2374900"/>
              </a:lnTo>
              <a:lnTo>
                <a:pt x="2654300" y="2895600"/>
              </a:lnTo>
              <a:lnTo>
                <a:pt x="0" y="2844800"/>
              </a:lnTo>
              <a:lnTo>
                <a:pt x="63500" y="622300"/>
              </a:lnTo>
              <a:close/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89765</xdr:colOff>
      <xdr:row>13</xdr:row>
      <xdr:rowOff>435205</xdr:rowOff>
    </xdr:from>
    <xdr:to>
      <xdr:col>24</xdr:col>
      <xdr:colOff>106910</xdr:colOff>
      <xdr:row>15</xdr:row>
      <xdr:rowOff>205335</xdr:rowOff>
    </xdr:to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00000000-0008-0000-1400-000066000000}"/>
            </a:ext>
          </a:extLst>
        </xdr:cNvPr>
        <xdr:cNvSpPr txBox="1"/>
      </xdr:nvSpPr>
      <xdr:spPr>
        <a:xfrm>
          <a:off x="4795115" y="4445230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15</xdr:col>
      <xdr:colOff>246611</xdr:colOff>
      <xdr:row>24</xdr:row>
      <xdr:rowOff>25631</xdr:rowOff>
    </xdr:from>
    <xdr:to>
      <xdr:col>20</xdr:col>
      <xdr:colOff>249786</xdr:colOff>
      <xdr:row>26</xdr:row>
      <xdr:rowOff>107546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400-000067000000}"/>
            </a:ext>
          </a:extLst>
        </xdr:cNvPr>
        <xdr:cNvSpPr txBox="1"/>
      </xdr:nvSpPr>
      <xdr:spPr>
        <a:xfrm>
          <a:off x="3961361" y="6483581"/>
          <a:ext cx="1241425" cy="481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4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4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4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4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4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4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4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4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4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4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4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4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4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4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4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4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4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4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4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4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4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4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4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4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4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4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4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4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4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4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4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4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4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4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4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4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4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4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4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4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4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4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4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4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4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4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4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4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4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4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4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4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4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4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4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4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4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4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4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4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4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4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4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4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4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4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4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4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4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4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4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4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4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4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4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4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4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4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4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4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4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4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4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4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4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4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4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4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4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4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4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4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4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4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4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4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4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4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4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4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4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4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4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4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4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4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4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4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4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4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4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4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4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4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4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4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4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4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4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4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4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4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4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4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4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4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4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4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4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4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4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4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4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4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4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4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4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4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4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4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4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4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4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4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4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4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4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4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4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4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4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4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4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4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4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4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4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4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4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4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4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4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4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4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4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4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4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4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4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4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4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4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4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4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4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4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4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4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4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4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4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4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4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4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4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4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95249</xdr:colOff>
      <xdr:row>12</xdr:row>
      <xdr:rowOff>253999</xdr:rowOff>
    </xdr:from>
    <xdr:to>
      <xdr:col>30</xdr:col>
      <xdr:colOff>174624</xdr:colOff>
      <xdr:row>33</xdr:row>
      <xdr:rowOff>174625</xdr:rowOff>
    </xdr:to>
    <xdr:sp macro="" textlink="">
      <xdr:nvSpPr>
        <xdr:cNvPr id="294" name="Rectángulo 293">
          <a:extLst>
            <a:ext uri="{FF2B5EF4-FFF2-40B4-BE49-F238E27FC236}">
              <a16:creationId xmlns:a16="http://schemas.microsoft.com/office/drawing/2014/main" id="{00000000-0008-0000-1400-000026010000}"/>
            </a:ext>
          </a:extLst>
        </xdr:cNvPr>
        <xdr:cNvSpPr/>
      </xdr:nvSpPr>
      <xdr:spPr>
        <a:xfrm>
          <a:off x="1365249" y="3825874"/>
          <a:ext cx="6429375" cy="4667251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35</xdr:col>
      <xdr:colOff>301625</xdr:colOff>
      <xdr:row>44</xdr:row>
      <xdr:rowOff>158750</xdr:rowOff>
    </xdr:from>
    <xdr:to>
      <xdr:col>36</xdr:col>
      <xdr:colOff>684893</xdr:colOff>
      <xdr:row>53</xdr:row>
      <xdr:rowOff>63895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4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96875" y="1071562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222250</xdr:colOff>
      <xdr:row>12</xdr:row>
      <xdr:rowOff>222250</xdr:rowOff>
    </xdr:from>
    <xdr:to>
      <xdr:col>31</xdr:col>
      <xdr:colOff>132579</xdr:colOff>
      <xdr:row>37</xdr:row>
      <xdr:rowOff>13661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57569A42-9247-4D5C-A3A8-0BB76156F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6250" y="3794125"/>
          <a:ext cx="7974829" cy="536353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5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5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5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5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5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5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5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5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5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5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5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5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5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5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5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5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5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5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5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5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5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5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5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5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5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5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5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5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5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5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5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5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5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5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5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5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5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5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5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5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5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5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5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5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5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5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5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5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5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5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5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5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5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5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5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5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5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5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5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5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5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5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5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5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5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5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5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160654</xdr:colOff>
      <xdr:row>15</xdr:row>
      <xdr:rowOff>36829</xdr:rowOff>
    </xdr:from>
    <xdr:to>
      <xdr:col>25</xdr:col>
      <xdr:colOff>175894</xdr:colOff>
      <xdr:row>17</xdr:row>
      <xdr:rowOff>50799</xdr:rowOff>
    </xdr:to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00000000-0008-0000-1500-000065000000}"/>
            </a:ext>
          </a:extLst>
        </xdr:cNvPr>
        <xdr:cNvSpPr txBox="1"/>
      </xdr:nvSpPr>
      <xdr:spPr>
        <a:xfrm>
          <a:off x="5113654" y="4199254"/>
          <a:ext cx="1253490" cy="414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5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5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5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5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5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5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5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5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5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5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5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5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5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5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5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5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5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5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5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5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5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5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5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5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5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5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5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5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5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5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5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5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5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5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5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5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5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5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5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5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5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5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5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5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5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5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5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5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5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5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5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5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5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5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5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5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5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5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5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5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5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5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5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5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5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5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5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5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5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5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5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5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5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5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5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5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5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5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5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5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5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5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5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5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5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5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5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5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5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5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5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5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5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5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5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5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5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5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5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5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5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5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5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5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5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5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5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5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5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5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5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5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5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5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5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5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5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5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5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5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5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5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5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5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5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5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5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5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5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5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5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5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5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5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5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5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5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5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5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5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5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5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5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5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5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5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5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5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5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5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5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5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5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5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5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5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5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5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5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5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5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5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5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5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5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5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5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5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5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5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5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5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5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5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5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5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5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5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5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5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5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5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5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5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5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5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5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5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365125</xdr:colOff>
      <xdr:row>44</xdr:row>
      <xdr:rowOff>142875</xdr:rowOff>
    </xdr:from>
    <xdr:to>
      <xdr:col>36</xdr:col>
      <xdr:colOff>748393</xdr:colOff>
      <xdr:row>53</xdr:row>
      <xdr:rowOff>48020</xdr:rowOff>
    </xdr:to>
    <xdr:pic>
      <xdr:nvPicPr>
        <xdr:cNvPr id="290" name="Imagen 289">
          <a:extLst>
            <a:ext uri="{FF2B5EF4-FFF2-40B4-BE49-F238E27FC236}">
              <a16:creationId xmlns:a16="http://schemas.microsoft.com/office/drawing/2014/main" id="{00000000-0008-0000-15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60375" y="10223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13</xdr:row>
      <xdr:rowOff>111125</xdr:rowOff>
    </xdr:from>
    <xdr:to>
      <xdr:col>30</xdr:col>
      <xdr:colOff>647652</xdr:colOff>
      <xdr:row>39</xdr:row>
      <xdr:rowOff>95250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00000000-0008-0000-15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0" y="3889375"/>
          <a:ext cx="7981902" cy="5286375"/>
        </a:xfrm>
        <a:prstGeom prst="rect">
          <a:avLst/>
        </a:prstGeom>
      </xdr:spPr>
    </xdr:pic>
    <xdr:clientData/>
  </xdr:twoCellAnchor>
  <xdr:twoCellAnchor>
    <xdr:from>
      <xdr:col>7</xdr:col>
      <xdr:colOff>63499</xdr:colOff>
      <xdr:row>26</xdr:row>
      <xdr:rowOff>190500</xdr:rowOff>
    </xdr:from>
    <xdr:to>
      <xdr:col>10</xdr:col>
      <xdr:colOff>15874</xdr:colOff>
      <xdr:row>31</xdr:row>
      <xdr:rowOff>31750</xdr:rowOff>
    </xdr:to>
    <xdr:sp macro="" textlink="">
      <xdr:nvSpPr>
        <xdr:cNvPr id="293" name="CuadroTexto 292">
          <a:extLst>
            <a:ext uri="{FF2B5EF4-FFF2-40B4-BE49-F238E27FC236}">
              <a16:creationId xmlns:a16="http://schemas.microsoft.com/office/drawing/2014/main" id="{00000000-0008-0000-1500-000025010000}"/>
            </a:ext>
          </a:extLst>
        </xdr:cNvPr>
        <xdr:cNvSpPr txBox="1"/>
      </xdr:nvSpPr>
      <xdr:spPr>
        <a:xfrm>
          <a:off x="1841499" y="665162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1</a:t>
          </a:r>
        </a:p>
      </xdr:txBody>
    </xdr:sp>
    <xdr:clientData/>
  </xdr:twoCellAnchor>
  <xdr:twoCellAnchor>
    <xdr:from>
      <xdr:col>6</xdr:col>
      <xdr:colOff>168274</xdr:colOff>
      <xdr:row>31</xdr:row>
      <xdr:rowOff>200025</xdr:rowOff>
    </xdr:from>
    <xdr:to>
      <xdr:col>9</xdr:col>
      <xdr:colOff>120649</xdr:colOff>
      <xdr:row>35</xdr:row>
      <xdr:rowOff>184150</xdr:rowOff>
    </xdr:to>
    <xdr:sp macro="" textlink="">
      <xdr:nvSpPr>
        <xdr:cNvPr id="294" name="CuadroTexto 293">
          <a:extLst>
            <a:ext uri="{FF2B5EF4-FFF2-40B4-BE49-F238E27FC236}">
              <a16:creationId xmlns:a16="http://schemas.microsoft.com/office/drawing/2014/main" id="{00000000-0008-0000-1500-000026010000}"/>
            </a:ext>
          </a:extLst>
        </xdr:cNvPr>
        <xdr:cNvSpPr txBox="1"/>
      </xdr:nvSpPr>
      <xdr:spPr>
        <a:xfrm>
          <a:off x="1692274" y="762952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2</a:t>
          </a:r>
        </a:p>
      </xdr:txBody>
    </xdr:sp>
    <xdr:clientData/>
  </xdr:twoCellAnchor>
  <xdr:twoCellAnchor>
    <xdr:from>
      <xdr:col>14</xdr:col>
      <xdr:colOff>146049</xdr:colOff>
      <xdr:row>32</xdr:row>
      <xdr:rowOff>34925</xdr:rowOff>
    </xdr:from>
    <xdr:to>
      <xdr:col>17</xdr:col>
      <xdr:colOff>98424</xdr:colOff>
      <xdr:row>36</xdr:row>
      <xdr:rowOff>19050</xdr:rowOff>
    </xdr:to>
    <xdr:sp macro="" textlink="">
      <xdr:nvSpPr>
        <xdr:cNvPr id="295" name="CuadroTexto 294">
          <a:extLst>
            <a:ext uri="{FF2B5EF4-FFF2-40B4-BE49-F238E27FC236}">
              <a16:creationId xmlns:a16="http://schemas.microsoft.com/office/drawing/2014/main" id="{00000000-0008-0000-1500-000027010000}"/>
            </a:ext>
          </a:extLst>
        </xdr:cNvPr>
        <xdr:cNvSpPr txBox="1"/>
      </xdr:nvSpPr>
      <xdr:spPr>
        <a:xfrm>
          <a:off x="3702049" y="767080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3</a:t>
          </a:r>
        </a:p>
      </xdr:txBody>
    </xdr:sp>
    <xdr:clientData/>
  </xdr:twoCellAnchor>
  <xdr:twoCellAnchor>
    <xdr:from>
      <xdr:col>18</xdr:col>
      <xdr:colOff>219074</xdr:colOff>
      <xdr:row>32</xdr:row>
      <xdr:rowOff>28575</xdr:rowOff>
    </xdr:from>
    <xdr:to>
      <xdr:col>21</xdr:col>
      <xdr:colOff>171449</xdr:colOff>
      <xdr:row>36</xdr:row>
      <xdr:rowOff>12700</xdr:rowOff>
    </xdr:to>
    <xdr:sp macro="" textlink="">
      <xdr:nvSpPr>
        <xdr:cNvPr id="296" name="CuadroTexto 295">
          <a:extLst>
            <a:ext uri="{FF2B5EF4-FFF2-40B4-BE49-F238E27FC236}">
              <a16:creationId xmlns:a16="http://schemas.microsoft.com/office/drawing/2014/main" id="{00000000-0008-0000-1500-000028010000}"/>
            </a:ext>
          </a:extLst>
        </xdr:cNvPr>
        <xdr:cNvSpPr txBox="1"/>
      </xdr:nvSpPr>
      <xdr:spPr>
        <a:xfrm>
          <a:off x="4791074" y="766445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4</a:t>
          </a:r>
        </a:p>
      </xdr:txBody>
    </xdr:sp>
    <xdr:clientData/>
  </xdr:twoCellAnchor>
  <xdr:twoCellAnchor>
    <xdr:from>
      <xdr:col>24</xdr:col>
      <xdr:colOff>101599</xdr:colOff>
      <xdr:row>24</xdr:row>
      <xdr:rowOff>133350</xdr:rowOff>
    </xdr:from>
    <xdr:to>
      <xdr:col>27</xdr:col>
      <xdr:colOff>53974</xdr:colOff>
      <xdr:row>28</xdr:row>
      <xdr:rowOff>133350</xdr:rowOff>
    </xdr:to>
    <xdr:sp macro="" textlink="">
      <xdr:nvSpPr>
        <xdr:cNvPr id="297" name="CuadroTexto 296">
          <a:extLst>
            <a:ext uri="{FF2B5EF4-FFF2-40B4-BE49-F238E27FC236}">
              <a16:creationId xmlns:a16="http://schemas.microsoft.com/office/drawing/2014/main" id="{00000000-0008-0000-1500-000029010000}"/>
            </a:ext>
          </a:extLst>
        </xdr:cNvPr>
        <xdr:cNvSpPr txBox="1"/>
      </xdr:nvSpPr>
      <xdr:spPr>
        <a:xfrm>
          <a:off x="6197599" y="618172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5</a:t>
          </a:r>
        </a:p>
      </xdr:txBody>
    </xdr:sp>
    <xdr:clientData/>
  </xdr:twoCellAnchor>
  <xdr:twoCellAnchor>
    <xdr:from>
      <xdr:col>13</xdr:col>
      <xdr:colOff>111125</xdr:colOff>
      <xdr:row>15</xdr:row>
      <xdr:rowOff>190500</xdr:rowOff>
    </xdr:from>
    <xdr:to>
      <xdr:col>16</xdr:col>
      <xdr:colOff>63500</xdr:colOff>
      <xdr:row>19</xdr:row>
      <xdr:rowOff>174625</xdr:rowOff>
    </xdr:to>
    <xdr:sp macro="" textlink="">
      <xdr:nvSpPr>
        <xdr:cNvPr id="298" name="CuadroTexto 297">
          <a:extLst>
            <a:ext uri="{FF2B5EF4-FFF2-40B4-BE49-F238E27FC236}">
              <a16:creationId xmlns:a16="http://schemas.microsoft.com/office/drawing/2014/main" id="{00000000-0008-0000-1500-00002A010000}"/>
            </a:ext>
          </a:extLst>
        </xdr:cNvPr>
        <xdr:cNvSpPr txBox="1"/>
      </xdr:nvSpPr>
      <xdr:spPr>
        <a:xfrm>
          <a:off x="3413125" y="4381500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6</a:t>
          </a:r>
        </a:p>
      </xdr:txBody>
    </xdr:sp>
    <xdr:clientData/>
  </xdr:twoCellAnchor>
  <xdr:twoCellAnchor>
    <xdr:from>
      <xdr:col>5</xdr:col>
      <xdr:colOff>31750</xdr:colOff>
      <xdr:row>15</xdr:row>
      <xdr:rowOff>142875</xdr:rowOff>
    </xdr:from>
    <xdr:to>
      <xdr:col>7</xdr:col>
      <xdr:colOff>238125</xdr:colOff>
      <xdr:row>19</xdr:row>
      <xdr:rowOff>127000</xdr:rowOff>
    </xdr:to>
    <xdr:sp macro="" textlink="">
      <xdr:nvSpPr>
        <xdr:cNvPr id="299" name="CuadroTexto 298">
          <a:extLst>
            <a:ext uri="{FF2B5EF4-FFF2-40B4-BE49-F238E27FC236}">
              <a16:creationId xmlns:a16="http://schemas.microsoft.com/office/drawing/2014/main" id="{00000000-0008-0000-1500-00002B010000}"/>
            </a:ext>
          </a:extLst>
        </xdr:cNvPr>
        <xdr:cNvSpPr txBox="1"/>
      </xdr:nvSpPr>
      <xdr:spPr>
        <a:xfrm>
          <a:off x="1301750" y="4333875"/>
          <a:ext cx="714375" cy="8096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7</a:t>
          </a:r>
        </a:p>
      </xdr:txBody>
    </xdr:sp>
    <xdr:clientData/>
  </xdr:twoCellAnchor>
  <xdr:twoCellAnchor editAs="oneCell">
    <xdr:from>
      <xdr:col>0</xdr:col>
      <xdr:colOff>158750</xdr:colOff>
      <xdr:row>11</xdr:row>
      <xdr:rowOff>41491</xdr:rowOff>
    </xdr:from>
    <xdr:to>
      <xdr:col>31</xdr:col>
      <xdr:colOff>428625</xdr:colOff>
      <xdr:row>43</xdr:row>
      <xdr:rowOff>8292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FF8AF1FD-D128-4382-B6A7-8202B72C7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0" y="3406991"/>
          <a:ext cx="8588375" cy="6491426"/>
        </a:xfrm>
        <a:prstGeom prst="rect">
          <a:avLst/>
        </a:prstGeom>
      </xdr:spPr>
    </xdr:pic>
    <xdr:clientData/>
  </xdr:twoCellAnchor>
  <xdr:twoCellAnchor>
    <xdr:from>
      <xdr:col>7</xdr:col>
      <xdr:colOff>44405</xdr:colOff>
      <xdr:row>25</xdr:row>
      <xdr:rowOff>195912</xdr:rowOff>
    </xdr:from>
    <xdr:to>
      <xdr:col>10</xdr:col>
      <xdr:colOff>165099</xdr:colOff>
      <xdr:row>30</xdr:row>
      <xdr:rowOff>113030</xdr:rowOff>
    </xdr:to>
    <xdr:sp macro="" textlink="">
      <xdr:nvSpPr>
        <xdr:cNvPr id="301" name="CuadroTexto 300">
          <a:extLst>
            <a:ext uri="{FF2B5EF4-FFF2-40B4-BE49-F238E27FC236}">
              <a16:creationId xmlns:a16="http://schemas.microsoft.com/office/drawing/2014/main" id="{BED4D166-89B5-43D2-94D2-F7C5A0FCB790}"/>
            </a:ext>
          </a:extLst>
        </xdr:cNvPr>
        <xdr:cNvSpPr txBox="1"/>
      </xdr:nvSpPr>
      <xdr:spPr>
        <a:xfrm>
          <a:off x="1822405" y="6450662"/>
          <a:ext cx="882694" cy="90136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1</a:t>
          </a:r>
        </a:p>
      </xdr:txBody>
    </xdr:sp>
    <xdr:clientData/>
  </xdr:twoCellAnchor>
  <xdr:twoCellAnchor>
    <xdr:from>
      <xdr:col>7</xdr:col>
      <xdr:colOff>194403</xdr:colOff>
      <xdr:row>34</xdr:row>
      <xdr:rowOff>182020</xdr:rowOff>
    </xdr:from>
    <xdr:to>
      <xdr:col>11</xdr:col>
      <xdr:colOff>73025</xdr:colOff>
      <xdr:row>38</xdr:row>
      <xdr:rowOff>20048</xdr:rowOff>
    </xdr:to>
    <xdr:sp macro="" textlink="">
      <xdr:nvSpPr>
        <xdr:cNvPr id="302" name="CuadroTexto 301">
          <a:extLst>
            <a:ext uri="{FF2B5EF4-FFF2-40B4-BE49-F238E27FC236}">
              <a16:creationId xmlns:a16="http://schemas.microsoft.com/office/drawing/2014/main" id="{E05FEAE8-102C-45D6-B6E9-9C0A5624AC19}"/>
            </a:ext>
          </a:extLst>
        </xdr:cNvPr>
        <xdr:cNvSpPr txBox="1"/>
      </xdr:nvSpPr>
      <xdr:spPr>
        <a:xfrm>
          <a:off x="1972403" y="8230645"/>
          <a:ext cx="894622" cy="66352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2</a:t>
          </a:r>
        </a:p>
      </xdr:txBody>
    </xdr:sp>
    <xdr:clientData/>
  </xdr:twoCellAnchor>
  <xdr:twoCellAnchor>
    <xdr:from>
      <xdr:col>16</xdr:col>
      <xdr:colOff>203928</xdr:colOff>
      <xdr:row>34</xdr:row>
      <xdr:rowOff>68861</xdr:rowOff>
    </xdr:from>
    <xdr:to>
      <xdr:col>20</xdr:col>
      <xdr:colOff>82550</xdr:colOff>
      <xdr:row>37</xdr:row>
      <xdr:rowOff>70847</xdr:rowOff>
    </xdr:to>
    <xdr:sp macro="" textlink="">
      <xdr:nvSpPr>
        <xdr:cNvPr id="303" name="CuadroTexto 302">
          <a:extLst>
            <a:ext uri="{FF2B5EF4-FFF2-40B4-BE49-F238E27FC236}">
              <a16:creationId xmlns:a16="http://schemas.microsoft.com/office/drawing/2014/main" id="{17F13C89-DA00-4523-834D-B41DBB426EA1}"/>
            </a:ext>
          </a:extLst>
        </xdr:cNvPr>
        <xdr:cNvSpPr txBox="1"/>
      </xdr:nvSpPr>
      <xdr:spPr>
        <a:xfrm>
          <a:off x="4267928" y="8117486"/>
          <a:ext cx="894622" cy="621111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3</a:t>
          </a:r>
        </a:p>
      </xdr:txBody>
    </xdr:sp>
    <xdr:clientData/>
  </xdr:twoCellAnchor>
  <xdr:twoCellAnchor>
    <xdr:from>
      <xdr:col>22</xdr:col>
      <xdr:colOff>86453</xdr:colOff>
      <xdr:row>34</xdr:row>
      <xdr:rowOff>61432</xdr:rowOff>
    </xdr:from>
    <xdr:to>
      <xdr:col>25</xdr:col>
      <xdr:colOff>219075</xdr:colOff>
      <xdr:row>37</xdr:row>
      <xdr:rowOff>74022</xdr:rowOff>
    </xdr:to>
    <xdr:sp macro="" textlink="">
      <xdr:nvSpPr>
        <xdr:cNvPr id="304" name="CuadroTexto 303">
          <a:extLst>
            <a:ext uri="{FF2B5EF4-FFF2-40B4-BE49-F238E27FC236}">
              <a16:creationId xmlns:a16="http://schemas.microsoft.com/office/drawing/2014/main" id="{4689F373-180E-4428-A46F-747A847C8CA4}"/>
            </a:ext>
          </a:extLst>
        </xdr:cNvPr>
        <xdr:cNvSpPr txBox="1"/>
      </xdr:nvSpPr>
      <xdr:spPr>
        <a:xfrm>
          <a:off x="5674453" y="8110057"/>
          <a:ext cx="894622" cy="63171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4</a:t>
          </a:r>
        </a:p>
      </xdr:txBody>
    </xdr:sp>
    <xdr:clientData/>
  </xdr:twoCellAnchor>
  <xdr:twoCellAnchor>
    <xdr:from>
      <xdr:col>29</xdr:col>
      <xdr:colOff>16603</xdr:colOff>
      <xdr:row>28</xdr:row>
      <xdr:rowOff>62921</xdr:rowOff>
    </xdr:from>
    <xdr:to>
      <xdr:col>30</xdr:col>
      <xdr:colOff>657225</xdr:colOff>
      <xdr:row>31</xdr:row>
      <xdr:rowOff>135255</xdr:rowOff>
    </xdr:to>
    <xdr:sp macro="" textlink="">
      <xdr:nvSpPr>
        <xdr:cNvPr id="305" name="CuadroTexto 304">
          <a:extLst>
            <a:ext uri="{FF2B5EF4-FFF2-40B4-BE49-F238E27FC236}">
              <a16:creationId xmlns:a16="http://schemas.microsoft.com/office/drawing/2014/main" id="{46C19C91-9049-461E-86C6-6F6AC207AF6F}"/>
            </a:ext>
          </a:extLst>
        </xdr:cNvPr>
        <xdr:cNvSpPr txBox="1"/>
      </xdr:nvSpPr>
      <xdr:spPr>
        <a:xfrm>
          <a:off x="7382603" y="6920921"/>
          <a:ext cx="894622" cy="64383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5</a:t>
          </a:r>
        </a:p>
      </xdr:txBody>
    </xdr:sp>
    <xdr:clientData/>
  </xdr:twoCellAnchor>
  <xdr:twoCellAnchor>
    <xdr:from>
      <xdr:col>17</xdr:col>
      <xdr:colOff>26129</xdr:colOff>
      <xdr:row>14</xdr:row>
      <xdr:rowOff>39430</xdr:rowOff>
    </xdr:from>
    <xdr:to>
      <xdr:col>20</xdr:col>
      <xdr:colOff>158751</xdr:colOff>
      <xdr:row>18</xdr:row>
      <xdr:rowOff>115298</xdr:rowOff>
    </xdr:to>
    <xdr:sp macro="" textlink="">
      <xdr:nvSpPr>
        <xdr:cNvPr id="306" name="CuadroTexto 305">
          <a:extLst>
            <a:ext uri="{FF2B5EF4-FFF2-40B4-BE49-F238E27FC236}">
              <a16:creationId xmlns:a16="http://schemas.microsoft.com/office/drawing/2014/main" id="{3FC7FB77-CEA8-410A-9C4C-DBD8CF6E0E99}"/>
            </a:ext>
          </a:extLst>
        </xdr:cNvPr>
        <xdr:cNvSpPr txBox="1"/>
      </xdr:nvSpPr>
      <xdr:spPr>
        <a:xfrm>
          <a:off x="4344129" y="4024055"/>
          <a:ext cx="894622" cy="90136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6</a:t>
          </a:r>
        </a:p>
      </xdr:txBody>
    </xdr:sp>
    <xdr:clientData/>
  </xdr:twoCellAnchor>
  <xdr:twoCellAnchor>
    <xdr:from>
      <xdr:col>4</xdr:col>
      <xdr:colOff>89629</xdr:colOff>
      <xdr:row>14</xdr:row>
      <xdr:rowOff>23555</xdr:rowOff>
    </xdr:from>
    <xdr:to>
      <xdr:col>7</xdr:col>
      <xdr:colOff>222251</xdr:colOff>
      <xdr:row>18</xdr:row>
      <xdr:rowOff>99423</xdr:rowOff>
    </xdr:to>
    <xdr:sp macro="" textlink="">
      <xdr:nvSpPr>
        <xdr:cNvPr id="307" name="CuadroTexto 306">
          <a:extLst>
            <a:ext uri="{FF2B5EF4-FFF2-40B4-BE49-F238E27FC236}">
              <a16:creationId xmlns:a16="http://schemas.microsoft.com/office/drawing/2014/main" id="{222BD2C0-92D4-4CDA-BE23-2C6B9ABE1EE6}"/>
            </a:ext>
          </a:extLst>
        </xdr:cNvPr>
        <xdr:cNvSpPr txBox="1"/>
      </xdr:nvSpPr>
      <xdr:spPr>
        <a:xfrm>
          <a:off x="1105629" y="4008180"/>
          <a:ext cx="894622" cy="90136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</a:rPr>
            <a:t>7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 rot="5400000">
          <a:off x="-24766" y="142532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600-00001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600-00001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600-00001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600-00001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600-00001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600-00001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600-00001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600-00001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600-00001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600-00002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600-00002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600-00002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600-00002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600-00002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600-00002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600-00002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600-00002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600-00002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600-00002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600-00002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600-00002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600-00002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600-00002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600-00002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600-00002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600-00003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600-00003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600-00003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600-00003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600-00003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600-00003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600-00003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600-00003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600-00003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600-00003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600-00003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600-00003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600-00003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600-00003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600-00003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600-00003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600-00004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600-00004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600-00004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600-00004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600-00004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600-00004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600-00004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600-00004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600-00004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600-00004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600-00004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600-00004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600-00004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600-00004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600-00005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600-00005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600-00005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600-00005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600-00005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600-00005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600-00005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600-00005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600-00005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600-00005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600-00005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600-00005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600-00005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600-00005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600-00005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600-00005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600-00006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600-00006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600-00006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111125</xdr:colOff>
      <xdr:row>26</xdr:row>
      <xdr:rowOff>153035</xdr:rowOff>
    </xdr:from>
    <xdr:to>
      <xdr:col>21</xdr:col>
      <xdr:colOff>114300</xdr:colOff>
      <xdr:row>27</xdr:row>
      <xdr:rowOff>393700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1600-000064000000}"/>
            </a:ext>
          </a:extLst>
        </xdr:cNvPr>
        <xdr:cNvSpPr txBox="1"/>
      </xdr:nvSpPr>
      <xdr:spPr>
        <a:xfrm>
          <a:off x="4073525" y="6515735"/>
          <a:ext cx="1241425" cy="4406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224154</xdr:colOff>
      <xdr:row>16</xdr:row>
      <xdr:rowOff>165734</xdr:rowOff>
    </xdr:from>
    <xdr:to>
      <xdr:col>24</xdr:col>
      <xdr:colOff>241299</xdr:colOff>
      <xdr:row>18</xdr:row>
      <xdr:rowOff>173989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600-000067000000}"/>
            </a:ext>
          </a:extLst>
        </xdr:cNvPr>
        <xdr:cNvSpPr txBox="1"/>
      </xdr:nvSpPr>
      <xdr:spPr>
        <a:xfrm>
          <a:off x="4929504" y="4528184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6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6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6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6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6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6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6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6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6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6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6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6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6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6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6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6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6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6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6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6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6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6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6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6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6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6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6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6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6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6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6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6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6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6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6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6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6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6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6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6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6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6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6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6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6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6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6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6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6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6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6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6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6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6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6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6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6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6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6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6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6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6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6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6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6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6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6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6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6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6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6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6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6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6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6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6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6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6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6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6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6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6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6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6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6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6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6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6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6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6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6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6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6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6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6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6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6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6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6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6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6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6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6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6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6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6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6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6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6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6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6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6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6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6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6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6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6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6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6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6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6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6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6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6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6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6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6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6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6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6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6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6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6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6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6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6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6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6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6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6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6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6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6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6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6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6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6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6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6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6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6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6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6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6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6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6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6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6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6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6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6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6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6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6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6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6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6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6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6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6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6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6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6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6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6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6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6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6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6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6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6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6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6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6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6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6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6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6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238125</xdr:colOff>
      <xdr:row>10</xdr:row>
      <xdr:rowOff>0</xdr:rowOff>
    </xdr:from>
    <xdr:to>
      <xdr:col>31</xdr:col>
      <xdr:colOff>399699</xdr:colOff>
      <xdr:row>35</xdr:row>
      <xdr:rowOff>127000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00000000-0008-0000-16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3159125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428625</xdr:colOff>
      <xdr:row>44</xdr:row>
      <xdr:rowOff>142875</xdr:rowOff>
    </xdr:from>
    <xdr:to>
      <xdr:col>36</xdr:col>
      <xdr:colOff>811893</xdr:colOff>
      <xdr:row>53</xdr:row>
      <xdr:rowOff>48020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6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23875" y="10668000"/>
          <a:ext cx="1224643" cy="158789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/>
      </xdr:nvSpPr>
      <xdr:spPr>
        <a:xfrm rot="5400000">
          <a:off x="-24766" y="142532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700-00001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700-00001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700-00001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700-00001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700-00001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700-00002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700-00002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700-00002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700-00002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700-00002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700-00002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700-00002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700-00002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700-00002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700-00002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700-00002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700-00002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700-00002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700-00003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700-00003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700-00003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700-00003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700-00003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700-00003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700-00003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700-00003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700-00003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700-00003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700-00003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700-00003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700-00003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700-00003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700-00003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700-00003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700-00004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700-00004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700-00004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700-00004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700-00004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700-00004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700-00004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700-00004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700-00004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700-00004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700-00004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700-00004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700-00004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700-00004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700-00004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700-00004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700-00005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700-00005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700-00005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700-00005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700-00005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700-00005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700-00005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700-00005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700-00005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700-00005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700-00005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700-00005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700-00005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700-00005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700-00005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700-00005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700-00006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700-00006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700-00006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111125</xdr:colOff>
      <xdr:row>26</xdr:row>
      <xdr:rowOff>153035</xdr:rowOff>
    </xdr:from>
    <xdr:to>
      <xdr:col>21</xdr:col>
      <xdr:colOff>114300</xdr:colOff>
      <xdr:row>27</xdr:row>
      <xdr:rowOff>393700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1700-000064000000}"/>
            </a:ext>
          </a:extLst>
        </xdr:cNvPr>
        <xdr:cNvSpPr txBox="1"/>
      </xdr:nvSpPr>
      <xdr:spPr>
        <a:xfrm>
          <a:off x="4073525" y="6515735"/>
          <a:ext cx="1241425" cy="4406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FF0000"/>
              </a:solidFill>
            </a:rPr>
            <a:t>ÁREA</a:t>
          </a:r>
          <a:r>
            <a:rPr lang="es-CO" sz="2400" b="1" baseline="0">
              <a:solidFill>
                <a:srgbClr val="FF0000"/>
              </a:solidFill>
            </a:rPr>
            <a:t> 1</a:t>
          </a:r>
          <a:endParaRPr lang="es-CO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224154</xdr:colOff>
      <xdr:row>16</xdr:row>
      <xdr:rowOff>165734</xdr:rowOff>
    </xdr:from>
    <xdr:to>
      <xdr:col>24</xdr:col>
      <xdr:colOff>241299</xdr:colOff>
      <xdr:row>18</xdr:row>
      <xdr:rowOff>173989</xdr:rowOff>
    </xdr:to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1700-000067000000}"/>
            </a:ext>
          </a:extLst>
        </xdr:cNvPr>
        <xdr:cNvSpPr txBox="1"/>
      </xdr:nvSpPr>
      <xdr:spPr>
        <a:xfrm>
          <a:off x="4929504" y="4528184"/>
          <a:ext cx="1255395" cy="4083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 b="1">
              <a:solidFill>
                <a:srgbClr val="00B050"/>
              </a:solidFill>
            </a:rPr>
            <a:t>ÁREA</a:t>
          </a:r>
          <a:r>
            <a:rPr lang="es-CO" sz="2400" b="1" baseline="0">
              <a:solidFill>
                <a:srgbClr val="00B050"/>
              </a:solidFill>
            </a:rPr>
            <a:t> 2</a:t>
          </a:r>
          <a:endParaRPr lang="es-CO" sz="2400" b="1">
            <a:solidFill>
              <a:srgbClr val="00B050"/>
            </a:solidFill>
          </a:endParaRPr>
        </a:p>
      </xdr:txBody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7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7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7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7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7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7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7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7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7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7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7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7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7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7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7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7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7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7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7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7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7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7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7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7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7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7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7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7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7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7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7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7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7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7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7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7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7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7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7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7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7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7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7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7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7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7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7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7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7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7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7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7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7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7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7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7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7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7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7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7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7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7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7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7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7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7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7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7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7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7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7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7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7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7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7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7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7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7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7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7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7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7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7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7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7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7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7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7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7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7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7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7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7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7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7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7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7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7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7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7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7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7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7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7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7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7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7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7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7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7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7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7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7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7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7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7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7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7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7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7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7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7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7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7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7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7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7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7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7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7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7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7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7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7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7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7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7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7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7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7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7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7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7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7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7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7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7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7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7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7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7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7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7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7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7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7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7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7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7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7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7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7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7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7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7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7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7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7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7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7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7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7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7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7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7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7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7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7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7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7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7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7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7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7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00000000-0008-0000-1700-00002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17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17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17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206375</xdr:colOff>
      <xdr:row>12</xdr:row>
      <xdr:rowOff>0</xdr:rowOff>
    </xdr:from>
    <xdr:to>
      <xdr:col>31</xdr:col>
      <xdr:colOff>367949</xdr:colOff>
      <xdr:row>37</xdr:row>
      <xdr:rowOff>127000</xdr:rowOff>
    </xdr:to>
    <xdr:pic>
      <xdr:nvPicPr>
        <xdr:cNvPr id="293" name="Imagen 292">
          <a:extLst>
            <a:ext uri="{FF2B5EF4-FFF2-40B4-BE49-F238E27FC236}">
              <a16:creationId xmlns:a16="http://schemas.microsoft.com/office/drawing/2014/main" id="{00000000-0008-0000-17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375" y="3571875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428625</xdr:colOff>
      <xdr:row>44</xdr:row>
      <xdr:rowOff>190500</xdr:rowOff>
    </xdr:from>
    <xdr:to>
      <xdr:col>36</xdr:col>
      <xdr:colOff>811893</xdr:colOff>
      <xdr:row>53</xdr:row>
      <xdr:rowOff>95645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00000000-0008-0000-17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23875" y="10715625"/>
          <a:ext cx="1224643" cy="158789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/>
      </xdr:nvSpPr>
      <xdr:spPr>
        <a:xfrm rot="5400000">
          <a:off x="-24766" y="142532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800-00001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800-00001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800-00001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800-00001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800-00001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800-00001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800-00001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800-00001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800-00001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800-00001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800-00001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800-00001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800-00001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800-00001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800-00001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800-00001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800-00002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800-00002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800-00002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800-00002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800-00002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800-00002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800-00002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800-00002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800-00002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800-00002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800-00002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800-00002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800-00002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800-00002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800-00003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800-00003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800-00003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800-00003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800-00003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800-00003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800-00003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800-00003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800-00003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800-00003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800-00003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800-00003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800-00003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800-00003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800-00003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800-00003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800-00004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800-00004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800-00004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800-00004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800-00004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800-00004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800-00004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800-00004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800-00004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800-00004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800-00004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800-00004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800-00004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800-00004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800-00004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800-00004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800-00005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800-00005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800-00005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800-00005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800-00005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800-00005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800-00005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800-00005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800-00005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800-00005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800-00005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800-00005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800-00005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800-00005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800-00005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800-00005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800-00006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800-00006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800-00006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8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8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8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8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8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8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8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8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8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8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8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8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8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8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8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8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8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8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8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8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8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8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8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8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8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8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8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8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8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8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8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8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8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8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8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8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8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8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8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8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8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8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8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8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8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8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8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8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8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8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8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8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8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8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8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8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8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8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8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8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8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8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8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8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8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8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8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8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8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8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8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8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8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8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8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8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8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8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8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8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8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8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8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8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8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8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8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8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8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8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8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8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8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8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8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8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8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8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8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8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8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8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8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8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8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8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8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8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8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8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8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8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8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8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8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8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8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8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8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8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8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8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8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8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8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8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8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8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8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8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8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8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8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8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8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8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8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8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8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8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8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8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8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8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8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8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8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8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8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8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8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8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8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8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8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8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8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8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8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8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8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8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8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8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8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8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8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8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8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8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8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8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8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8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8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8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8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8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8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8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8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8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8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8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8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8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8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8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15875</xdr:colOff>
      <xdr:row>11</xdr:row>
      <xdr:rowOff>190500</xdr:rowOff>
    </xdr:from>
    <xdr:to>
      <xdr:col>31</xdr:col>
      <xdr:colOff>177449</xdr:colOff>
      <xdr:row>39</xdr:row>
      <xdr:rowOff>142875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8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" y="3556000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381000</xdr:colOff>
      <xdr:row>44</xdr:row>
      <xdr:rowOff>142875</xdr:rowOff>
    </xdr:from>
    <xdr:to>
      <xdr:col>36</xdr:col>
      <xdr:colOff>764268</xdr:colOff>
      <xdr:row>53</xdr:row>
      <xdr:rowOff>48020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8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76250" y="10223500"/>
          <a:ext cx="1224643" cy="158789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9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9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9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9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9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9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9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9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9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9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9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9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9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9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9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9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9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9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9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9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9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9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9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9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9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9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9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9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9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9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9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9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9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9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9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9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9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9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9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9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9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9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9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9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9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9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9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9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9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9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9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9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9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9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9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9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9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9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9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9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9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9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9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9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9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9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9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9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9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9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9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9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9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9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9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9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9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9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9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9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9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9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9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9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9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9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9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9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9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9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9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9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9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9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9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9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9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9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9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9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9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9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9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9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9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9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9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9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9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9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9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9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9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9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9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9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9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9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9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9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9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9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9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9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9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9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9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9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9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9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9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9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9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9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9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9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9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9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9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9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9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9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9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9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9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9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9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9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9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9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9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9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9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9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9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9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9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9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9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9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9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9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9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9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9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9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9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9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9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9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9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9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9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9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9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9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9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9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9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9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9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9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9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9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9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9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9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9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9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9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9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9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9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9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9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9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9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9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9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9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9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9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9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9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9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9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9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9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9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9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9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9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9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9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9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9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9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9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9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9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9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9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9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9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9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9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9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9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9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9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9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9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9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9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9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9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9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9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9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9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9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9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9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9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9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9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9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9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9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9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9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9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9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9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9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9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9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9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9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9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9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9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9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9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9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9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9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9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9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9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9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9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15875</xdr:colOff>
      <xdr:row>11</xdr:row>
      <xdr:rowOff>127000</xdr:rowOff>
    </xdr:from>
    <xdr:to>
      <xdr:col>31</xdr:col>
      <xdr:colOff>431449</xdr:colOff>
      <xdr:row>39</xdr:row>
      <xdr:rowOff>79375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9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875" y="3492500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333375</xdr:colOff>
      <xdr:row>44</xdr:row>
      <xdr:rowOff>127000</xdr:rowOff>
    </xdr:from>
    <xdr:to>
      <xdr:col>36</xdr:col>
      <xdr:colOff>716643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9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28625" y="10207625"/>
          <a:ext cx="1224643" cy="158789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A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A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A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A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A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A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A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A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A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A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A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A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A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A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A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A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A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A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A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A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A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A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A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A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A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A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A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A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A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A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A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A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A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A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A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A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A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A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A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A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A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A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A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A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A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A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A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A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A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A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A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A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A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A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A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A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A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A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A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A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A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A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A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A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A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A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A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A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A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A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A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A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A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A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A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A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A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A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A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A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A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A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A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A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A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A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A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A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A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A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A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A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A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A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A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A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A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A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A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A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A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A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A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A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A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A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A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A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A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A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A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A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A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A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A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A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A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A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A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A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A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A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A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A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A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A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A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A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A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A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A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A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A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A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A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A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A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A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A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A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A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A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A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A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A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A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A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A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A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A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A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A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A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A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A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A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A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A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A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A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A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A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A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A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A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A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A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A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A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A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A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A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A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A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A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A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A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A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A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A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A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A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A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A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A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A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A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A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A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A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A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A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A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A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A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A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A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A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A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A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A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A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A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A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A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A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A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A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A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A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A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A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A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A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A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A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A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A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A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A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A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A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A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A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A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A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A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A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A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A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A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A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A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A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A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A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A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A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A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A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A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A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A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A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A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A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A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A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A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A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A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A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A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A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A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A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A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A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A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A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A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A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A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A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A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A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A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A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A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A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11</xdr:row>
      <xdr:rowOff>95250</xdr:rowOff>
    </xdr:from>
    <xdr:to>
      <xdr:col>31</xdr:col>
      <xdr:colOff>256824</xdr:colOff>
      <xdr:row>39</xdr:row>
      <xdr:rowOff>47625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A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460750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381000</xdr:colOff>
      <xdr:row>44</xdr:row>
      <xdr:rowOff>190500</xdr:rowOff>
    </xdr:from>
    <xdr:to>
      <xdr:col>36</xdr:col>
      <xdr:colOff>764268</xdr:colOff>
      <xdr:row>53</xdr:row>
      <xdr:rowOff>95645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A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76250" y="10271125"/>
          <a:ext cx="1224643" cy="158789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B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B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B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B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B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B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B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B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B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B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B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B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B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B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B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B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B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B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B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B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B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B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B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B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B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B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B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B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B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B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B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B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B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B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B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B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B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B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B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B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B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B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B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B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B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B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B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B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B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B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B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B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B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B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B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B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B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B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B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B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B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B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B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B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B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B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B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B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B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B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B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B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B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B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B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B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B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B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B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B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B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B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B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B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B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B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B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B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B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B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B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B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B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B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B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B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B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B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B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B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B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B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B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B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B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B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B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B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B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B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B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B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B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B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B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B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B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B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B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B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B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B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B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B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B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B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B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B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B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B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B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B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B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B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B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B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B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B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B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B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B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B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B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B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B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B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B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B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B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B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B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B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B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B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B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B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B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B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B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B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B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B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B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B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B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B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B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B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B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B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B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B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B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B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B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B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B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B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B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B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B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B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B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B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B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B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B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B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B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B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B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B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B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B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B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B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B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B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B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B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B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B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B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B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B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B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B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B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B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B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B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B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B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B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B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B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B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B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B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B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B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B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B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B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B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B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B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B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B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B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B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B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B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B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B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B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B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B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B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B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B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B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B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B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B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B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B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B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B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B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B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B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B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B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B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B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B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B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B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B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B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B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B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B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B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B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B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B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B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B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63500</xdr:colOff>
      <xdr:row>10</xdr:row>
      <xdr:rowOff>63500</xdr:rowOff>
    </xdr:from>
    <xdr:to>
      <xdr:col>31</xdr:col>
      <xdr:colOff>225074</xdr:colOff>
      <xdr:row>38</xdr:row>
      <xdr:rowOff>15875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B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0" y="3222625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206375</xdr:colOff>
      <xdr:row>44</xdr:row>
      <xdr:rowOff>127000</xdr:rowOff>
    </xdr:from>
    <xdr:to>
      <xdr:col>36</xdr:col>
      <xdr:colOff>589643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B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01625" y="10207625"/>
          <a:ext cx="1224643" cy="158789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C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C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C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C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C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C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C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C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C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C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C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C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C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C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C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C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C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C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C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C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C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C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C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C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C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C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C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C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C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C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C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C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C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C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C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C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C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C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C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C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C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C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C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C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C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C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C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C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C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C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C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C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C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C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C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C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C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C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C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C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C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C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C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C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C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C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C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C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C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C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C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C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C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C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C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C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C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C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C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C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C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C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C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C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C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C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C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C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C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C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C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C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C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C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C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C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C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C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C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C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C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C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C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C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C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C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C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C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C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C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C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C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C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C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C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C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C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C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C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C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C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C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C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C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C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C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C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C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C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C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C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C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C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C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C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C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C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C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C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C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C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C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C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C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C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C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C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C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C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C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C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C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C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C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C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C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C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C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C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C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C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C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C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C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C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C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C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C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C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C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C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C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C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C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C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C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C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C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C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C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C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C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C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C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C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C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C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C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C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C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C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C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C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C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C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C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C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C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C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C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C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C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C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C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C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C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C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C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C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C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C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C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C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C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C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C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C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C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C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C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C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C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C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C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C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C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C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C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C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C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C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C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C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C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C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C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C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C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C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C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C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C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C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C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C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C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C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C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C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C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C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C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C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C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C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C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C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C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C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C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C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C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C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C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C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C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C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C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C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C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C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C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C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127000</xdr:colOff>
      <xdr:row>11</xdr:row>
      <xdr:rowOff>47625</xdr:rowOff>
    </xdr:from>
    <xdr:to>
      <xdr:col>31</xdr:col>
      <xdr:colOff>83669</xdr:colOff>
      <xdr:row>37</xdr:row>
      <xdr:rowOff>196342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C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3413125"/>
          <a:ext cx="8021169" cy="5458587"/>
        </a:xfrm>
        <a:prstGeom prst="rect">
          <a:avLst/>
        </a:prstGeom>
      </xdr:spPr>
    </xdr:pic>
    <xdr:clientData/>
  </xdr:twoCellAnchor>
  <xdr:twoCellAnchor editAs="oneCell">
    <xdr:from>
      <xdr:col>35</xdr:col>
      <xdr:colOff>317500</xdr:colOff>
      <xdr:row>44</xdr:row>
      <xdr:rowOff>142875</xdr:rowOff>
    </xdr:from>
    <xdr:to>
      <xdr:col>36</xdr:col>
      <xdr:colOff>700768</xdr:colOff>
      <xdr:row>53</xdr:row>
      <xdr:rowOff>48020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C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12750" y="10223500"/>
          <a:ext cx="1224643" cy="1587895"/>
        </a:xfrm>
        <a:prstGeom prst="rect">
          <a:avLst/>
        </a:prstGeom>
      </xdr:spPr>
    </xdr:pic>
    <xdr:clientData/>
  </xdr:twoCellAnchor>
  <xdr:twoCellAnchor>
    <xdr:from>
      <xdr:col>14</xdr:col>
      <xdr:colOff>0</xdr:colOff>
      <xdr:row>12</xdr:row>
      <xdr:rowOff>111125</xdr:rowOff>
    </xdr:from>
    <xdr:to>
      <xdr:col>17</xdr:col>
      <xdr:colOff>47625</xdr:colOff>
      <xdr:row>14</xdr:row>
      <xdr:rowOff>47625</xdr:rowOff>
    </xdr:to>
    <xdr:sp macro="" textlink="">
      <xdr:nvSpPr>
        <xdr:cNvPr id="99" name="Rectángulo 98">
          <a:extLst>
            <a:ext uri="{FF2B5EF4-FFF2-40B4-BE49-F238E27FC236}">
              <a16:creationId xmlns:a16="http://schemas.microsoft.com/office/drawing/2014/main" id="{00000000-0008-0000-1C00-000063000000}"/>
            </a:ext>
          </a:extLst>
        </xdr:cNvPr>
        <xdr:cNvSpPr/>
      </xdr:nvSpPr>
      <xdr:spPr>
        <a:xfrm>
          <a:off x="3556000" y="3683000"/>
          <a:ext cx="809625" cy="349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231775</xdr:colOff>
      <xdr:row>33</xdr:row>
      <xdr:rowOff>152400</xdr:rowOff>
    </xdr:from>
    <xdr:to>
      <xdr:col>30</xdr:col>
      <xdr:colOff>533400</xdr:colOff>
      <xdr:row>35</xdr:row>
      <xdr:rowOff>88900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1C00-000022010000}"/>
            </a:ext>
          </a:extLst>
        </xdr:cNvPr>
        <xdr:cNvSpPr/>
      </xdr:nvSpPr>
      <xdr:spPr>
        <a:xfrm>
          <a:off x="7343775" y="7994650"/>
          <a:ext cx="809625" cy="349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D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D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D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D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D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D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D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D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D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D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D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D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D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D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D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D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D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D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D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D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D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D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D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D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D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D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D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D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D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D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D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D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D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D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D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D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D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D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D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D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D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D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D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D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D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D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D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D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D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D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D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D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D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D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D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D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D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D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D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D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D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D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D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D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D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D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D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D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D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D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D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D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D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D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D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D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D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D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D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D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D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D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D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D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D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D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D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D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D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D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D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D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D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D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D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D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D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D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D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D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D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D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D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D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D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D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D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D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D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D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D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D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D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D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D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D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D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D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D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D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D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D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D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D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D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D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D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D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D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D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D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D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D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D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D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D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D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D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D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D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D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D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D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D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D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D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D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D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D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D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D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D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D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D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D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D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D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D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D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D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D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D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D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D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D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D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D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D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D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D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D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D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D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D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D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D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D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D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D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D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D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D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D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D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D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D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D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D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D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D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D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D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D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D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D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D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D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D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D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D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D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D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D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D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D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D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D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D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D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D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D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D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D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D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D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D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D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D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D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D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D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D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D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D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D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D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D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D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D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D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D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D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D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D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D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D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D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D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D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D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D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D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D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D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D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D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D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D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D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D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D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D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D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D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D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D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D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D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D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D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D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D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D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D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D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D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D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D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D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D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111125</xdr:colOff>
      <xdr:row>10</xdr:row>
      <xdr:rowOff>174625</xdr:rowOff>
    </xdr:from>
    <xdr:to>
      <xdr:col>31</xdr:col>
      <xdr:colOff>67794</xdr:colOff>
      <xdr:row>37</xdr:row>
      <xdr:rowOff>124587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D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125" y="3333750"/>
          <a:ext cx="8021169" cy="5458587"/>
        </a:xfrm>
        <a:prstGeom prst="rect">
          <a:avLst/>
        </a:prstGeom>
      </xdr:spPr>
    </xdr:pic>
    <xdr:clientData/>
  </xdr:twoCellAnchor>
  <xdr:twoCellAnchor editAs="oneCell">
    <xdr:from>
      <xdr:col>35</xdr:col>
      <xdr:colOff>365125</xdr:colOff>
      <xdr:row>44</xdr:row>
      <xdr:rowOff>127000</xdr:rowOff>
    </xdr:from>
    <xdr:to>
      <xdr:col>36</xdr:col>
      <xdr:colOff>748393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D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60375" y="10207625"/>
          <a:ext cx="1224643" cy="1587895"/>
        </a:xfrm>
        <a:prstGeom prst="rect">
          <a:avLst/>
        </a:prstGeom>
      </xdr:spPr>
    </xdr:pic>
    <xdr:clientData/>
  </xdr:twoCellAnchor>
  <xdr:twoCellAnchor>
    <xdr:from>
      <xdr:col>16</xdr:col>
      <xdr:colOff>79375</xdr:colOff>
      <xdr:row>12</xdr:row>
      <xdr:rowOff>0</xdr:rowOff>
    </xdr:from>
    <xdr:to>
      <xdr:col>19</xdr:col>
      <xdr:colOff>127000</xdr:colOff>
      <xdr:row>13</xdr:row>
      <xdr:rowOff>142875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1D00-000022010000}"/>
            </a:ext>
          </a:extLst>
        </xdr:cNvPr>
        <xdr:cNvSpPr/>
      </xdr:nvSpPr>
      <xdr:spPr>
        <a:xfrm>
          <a:off x="4143375" y="3571875"/>
          <a:ext cx="809625" cy="349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200025</xdr:colOff>
      <xdr:row>30</xdr:row>
      <xdr:rowOff>25400</xdr:rowOff>
    </xdr:from>
    <xdr:to>
      <xdr:col>30</xdr:col>
      <xdr:colOff>501650</xdr:colOff>
      <xdr:row>31</xdr:row>
      <xdr:rowOff>184150</xdr:rowOff>
    </xdr:to>
    <xdr:sp macro="" textlink="">
      <xdr:nvSpPr>
        <xdr:cNvPr id="291" name="Rectángulo 290">
          <a:extLst>
            <a:ext uri="{FF2B5EF4-FFF2-40B4-BE49-F238E27FC236}">
              <a16:creationId xmlns:a16="http://schemas.microsoft.com/office/drawing/2014/main" id="{00000000-0008-0000-1D00-000023010000}"/>
            </a:ext>
          </a:extLst>
        </xdr:cNvPr>
        <xdr:cNvSpPr/>
      </xdr:nvSpPr>
      <xdr:spPr>
        <a:xfrm>
          <a:off x="7312025" y="7264400"/>
          <a:ext cx="809625" cy="349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E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E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E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E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E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E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E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E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E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E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E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E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E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E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E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E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E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E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E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E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E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E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E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E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E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E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E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E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E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E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E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E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E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E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E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E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E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E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E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E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E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E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E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E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E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E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E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E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E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E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E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E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E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E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E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E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E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E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E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E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E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E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E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E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E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E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E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E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E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E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E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E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E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E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E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E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E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E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E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E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E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E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E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E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E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E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E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E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E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E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E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E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E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E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E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E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E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E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E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E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E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E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E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E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E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E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E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E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E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E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E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E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E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E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E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E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E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E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E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E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E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E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E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E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E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E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E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E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E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E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E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E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E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E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E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E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E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E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E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E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E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E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E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E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E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E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E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E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E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E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E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E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E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E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E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E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E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E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E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E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E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E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E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E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E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E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E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E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E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E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E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E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E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E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E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E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E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E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E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E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E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E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E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E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E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E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E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E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E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E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E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E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E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E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E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E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E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E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E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E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E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E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E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E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E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E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E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E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E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E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E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E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E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E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E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E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E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E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E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E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E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E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E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E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E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E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E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E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E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E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E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E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E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E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E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E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E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E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E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E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E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E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E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E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E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E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E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E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E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E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E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E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E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E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E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E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E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E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E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E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E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E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E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238125</xdr:colOff>
      <xdr:row>13</xdr:row>
      <xdr:rowOff>47625</xdr:rowOff>
    </xdr:from>
    <xdr:to>
      <xdr:col>30</xdr:col>
      <xdr:colOff>639294</xdr:colOff>
      <xdr:row>39</xdr:row>
      <xdr:rowOff>196342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1E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3825875"/>
          <a:ext cx="8021169" cy="5458587"/>
        </a:xfrm>
        <a:prstGeom prst="rect">
          <a:avLst/>
        </a:prstGeom>
      </xdr:spPr>
    </xdr:pic>
    <xdr:clientData/>
  </xdr:twoCellAnchor>
  <xdr:twoCellAnchor editAs="oneCell">
    <xdr:from>
      <xdr:col>35</xdr:col>
      <xdr:colOff>444500</xdr:colOff>
      <xdr:row>44</xdr:row>
      <xdr:rowOff>174625</xdr:rowOff>
    </xdr:from>
    <xdr:to>
      <xdr:col>36</xdr:col>
      <xdr:colOff>827768</xdr:colOff>
      <xdr:row>53</xdr:row>
      <xdr:rowOff>79770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E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39750" y="10255250"/>
          <a:ext cx="1224643" cy="1587895"/>
        </a:xfrm>
        <a:prstGeom prst="rect">
          <a:avLst/>
        </a:prstGeom>
      </xdr:spPr>
    </xdr:pic>
    <xdr:clientData/>
  </xdr:twoCellAnchor>
  <xdr:twoCellAnchor>
    <xdr:from>
      <xdr:col>15</xdr:col>
      <xdr:colOff>234950</xdr:colOff>
      <xdr:row>36</xdr:row>
      <xdr:rowOff>171450</xdr:rowOff>
    </xdr:from>
    <xdr:to>
      <xdr:col>18</xdr:col>
      <xdr:colOff>28575</xdr:colOff>
      <xdr:row>38</xdr:row>
      <xdr:rowOff>130175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1E00-000024010000}"/>
            </a:ext>
          </a:extLst>
        </xdr:cNvPr>
        <xdr:cNvSpPr/>
      </xdr:nvSpPr>
      <xdr:spPr>
        <a:xfrm>
          <a:off x="4044950" y="8632825"/>
          <a:ext cx="555625" cy="3714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19050</xdr:colOff>
      <xdr:row>16</xdr:row>
      <xdr:rowOff>66675</xdr:rowOff>
    </xdr:from>
    <xdr:to>
      <xdr:col>4</xdr:col>
      <xdr:colOff>66675</xdr:colOff>
      <xdr:row>18</xdr:row>
      <xdr:rowOff>25400</xdr:rowOff>
    </xdr:to>
    <xdr:sp macro="" textlink="">
      <xdr:nvSpPr>
        <xdr:cNvPr id="296" name="Rectángulo 295">
          <a:extLst>
            <a:ext uri="{FF2B5EF4-FFF2-40B4-BE49-F238E27FC236}">
              <a16:creationId xmlns:a16="http://schemas.microsoft.com/office/drawing/2014/main" id="{00000000-0008-0000-1E00-000028010000}"/>
            </a:ext>
          </a:extLst>
        </xdr:cNvPr>
        <xdr:cNvSpPr/>
      </xdr:nvSpPr>
      <xdr:spPr>
        <a:xfrm>
          <a:off x="527050" y="4464050"/>
          <a:ext cx="555625" cy="3714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F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F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F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F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1F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F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1F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F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1F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F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1F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F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F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F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F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1F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1F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1F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F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F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1F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1F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1F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1F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1F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1F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1F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1F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1F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1F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1F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1F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1F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1F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1F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1F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1F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1F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1F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1F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1F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1F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1F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1F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1F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1F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1F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1F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1F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1F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1F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1F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1F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1F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1F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1F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1F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1F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1F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1F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1F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1F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1F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1F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1F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1F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1F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1F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1F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1F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1F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1F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1F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1F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1F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1F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1F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1F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1F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1F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1F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1F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1F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1F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1F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1F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1F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1F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1F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1F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1F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1F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1F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1F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1F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1F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1F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1F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1F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1F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1F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1F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1F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1F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1F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1F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1F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1F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1F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1F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1F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1F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1F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1F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1F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1F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1F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1F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1F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1F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1F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1F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1F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1F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1F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1F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1F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1F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1F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1F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1F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1F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1F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1F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1F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1F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1F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1F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1F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1F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1F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1F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1F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1F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1F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1F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1F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1F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1F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1F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1F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1F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1F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1F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1F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1F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1F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1F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1F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1F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1F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1F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1F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1F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1F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1F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1F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1F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1F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1F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1F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1F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1F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1F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1F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1F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1F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1F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1F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1F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1F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1F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1F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1F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1F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1F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1F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1F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1F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1F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1F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1F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1F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1F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1F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1F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1F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1F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1F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1F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1F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1F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1F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1F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1F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1F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1F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1F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1F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1F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1F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1F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1F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1F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1F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1F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1F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1F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1F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1F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1F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1F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1F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1F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1F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1F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1F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1F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1F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1F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1F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1F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1F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1F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1F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1F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1F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1F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1F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1F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1F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1F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1F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1F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1F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1F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1F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1F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1F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1F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1F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1F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1F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1F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1F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1F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1F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1F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1F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1F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1F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1F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1F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1F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1F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1F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1F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1F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1F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1F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1F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1F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1F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1F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1F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222250</xdr:colOff>
      <xdr:row>44</xdr:row>
      <xdr:rowOff>142875</xdr:rowOff>
    </xdr:from>
    <xdr:to>
      <xdr:col>36</xdr:col>
      <xdr:colOff>605518</xdr:colOff>
      <xdr:row>53</xdr:row>
      <xdr:rowOff>48020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1F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17500" y="10223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</xdr:colOff>
      <xdr:row>12</xdr:row>
      <xdr:rowOff>142875</xdr:rowOff>
    </xdr:from>
    <xdr:to>
      <xdr:col>31</xdr:col>
      <xdr:colOff>126260</xdr:colOff>
      <xdr:row>39</xdr:row>
      <xdr:rowOff>95250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1F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9875" y="3714750"/>
          <a:ext cx="8174885" cy="54610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0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0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0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0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0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0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0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0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0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0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0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0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0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0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0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0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0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0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0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0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0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0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0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0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0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0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0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0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0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0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0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0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0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0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0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0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0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0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0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0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0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0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0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0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0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0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0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0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0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0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0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0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0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0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0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0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0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0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0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0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0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0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0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0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0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0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0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0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0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0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0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0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0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0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0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0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0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0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0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0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0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0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0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0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0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0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0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0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0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0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0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0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0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0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0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0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0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0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0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0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0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0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0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0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0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0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0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0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0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0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0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0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0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0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0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0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0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0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0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0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0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0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0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0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0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0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0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0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0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0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0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0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0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0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0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0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0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0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0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0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0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0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0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0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0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0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0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0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0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0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0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0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0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0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0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0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0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0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0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0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0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0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0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0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0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0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0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0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0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0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0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0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0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0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0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0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0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0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0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0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0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0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0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0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0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0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0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0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0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0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0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0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0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0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0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0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0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0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0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0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0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0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0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0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0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0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0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0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0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0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0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0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0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0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0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0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0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0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0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0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0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0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0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0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0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0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0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0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0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0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0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0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0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0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0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0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0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0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0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0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0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0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0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0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0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0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0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0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0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0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0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0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0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0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0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0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0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0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0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0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0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0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0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0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0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0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0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0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0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0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0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0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0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0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158750</xdr:colOff>
      <xdr:row>10</xdr:row>
      <xdr:rowOff>79375</xdr:rowOff>
    </xdr:from>
    <xdr:to>
      <xdr:col>31</xdr:col>
      <xdr:colOff>320324</xdr:colOff>
      <xdr:row>38</xdr:row>
      <xdr:rowOff>31750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0" y="3238500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285750</xdr:colOff>
      <xdr:row>44</xdr:row>
      <xdr:rowOff>142875</xdr:rowOff>
    </xdr:from>
    <xdr:to>
      <xdr:col>36</xdr:col>
      <xdr:colOff>669018</xdr:colOff>
      <xdr:row>53</xdr:row>
      <xdr:rowOff>48020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81000" y="10223500"/>
          <a:ext cx="1224643" cy="158789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2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2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2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2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2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2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2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2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2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2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2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2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2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2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2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2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2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2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2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2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2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2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2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2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2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2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2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2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2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2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2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2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2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2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2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2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2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2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2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2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2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2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2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2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2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2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2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2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2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2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2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2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2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2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2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2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2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2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2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2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2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2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2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2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2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2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2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2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2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2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2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2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2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2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2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2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2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2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2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2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2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2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2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2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2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2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2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2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2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2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2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2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2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2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2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2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2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2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2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2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2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2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2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2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2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2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2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2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2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2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2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2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2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2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2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2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2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2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2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2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2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2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2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2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2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2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2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2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2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2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2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2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2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2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2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2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2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2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2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2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2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2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2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2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2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2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2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2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2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2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2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2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2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2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2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2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2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2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2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2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2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2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2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2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2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2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2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2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2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2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2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2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2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2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2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2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2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2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2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2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2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2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2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2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2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2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2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2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2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2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2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2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2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2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2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2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2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2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2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2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2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2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2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2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2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2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2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2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2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2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2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2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2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2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2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2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2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2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2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2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2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2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2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2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2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2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2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2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2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2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2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2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2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2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2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2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2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2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2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2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2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2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2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2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2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2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2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2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2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2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2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2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2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2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2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2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2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2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2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2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2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2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2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2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2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2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2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2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2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2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2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2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2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2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2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2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301625</xdr:colOff>
      <xdr:row>44</xdr:row>
      <xdr:rowOff>127000</xdr:rowOff>
    </xdr:from>
    <xdr:to>
      <xdr:col>36</xdr:col>
      <xdr:colOff>684893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2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96875" y="1020762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9</xdr:row>
      <xdr:rowOff>152400</xdr:rowOff>
    </xdr:from>
    <xdr:to>
      <xdr:col>31</xdr:col>
      <xdr:colOff>419100</xdr:colOff>
      <xdr:row>44</xdr:row>
      <xdr:rowOff>88900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200-00002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63500" y="3111500"/>
          <a:ext cx="8293100" cy="69723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3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3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3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3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3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3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3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3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3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3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3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3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3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3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3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3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3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3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3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3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3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3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3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3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3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3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3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3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3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3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3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3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3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3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3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3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3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3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3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3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3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3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3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3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3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3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3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3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3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3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3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3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3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3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3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3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3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3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3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3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3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3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3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3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3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3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3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3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3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3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3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3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3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3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3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3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3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3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3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3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3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3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3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3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3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3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3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3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3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3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3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3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3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3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3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3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3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3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3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3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3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3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3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3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3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3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3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3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3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3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3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3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3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3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3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3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3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3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3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3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3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3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3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3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3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3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3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3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3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3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3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3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3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3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3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3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3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3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3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3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3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3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3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3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3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3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3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3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3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3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3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3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3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3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3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3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3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3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3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3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3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3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3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3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3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3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3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3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3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3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3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3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3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3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3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3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3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3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3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3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3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3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3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3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3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3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3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3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3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3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3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3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3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3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3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3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3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3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3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3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3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3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3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3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3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3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3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3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3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3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3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3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3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3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3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3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3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3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3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3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3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3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3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3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3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3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3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3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3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3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3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3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3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3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3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3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3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3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3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3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3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3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3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3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3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3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3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3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3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3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3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3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3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3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3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3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3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3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3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3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3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3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3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3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3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3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3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3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3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3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3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3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3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3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333375</xdr:colOff>
      <xdr:row>44</xdr:row>
      <xdr:rowOff>142875</xdr:rowOff>
    </xdr:from>
    <xdr:to>
      <xdr:col>36</xdr:col>
      <xdr:colOff>716643</xdr:colOff>
      <xdr:row>53</xdr:row>
      <xdr:rowOff>48020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3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28625" y="10223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10</xdr:row>
      <xdr:rowOff>12700</xdr:rowOff>
    </xdr:from>
    <xdr:to>
      <xdr:col>31</xdr:col>
      <xdr:colOff>419498</xdr:colOff>
      <xdr:row>44</xdr:row>
      <xdr:rowOff>101600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300-00002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152400" y="3175000"/>
          <a:ext cx="8204598" cy="69215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4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4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4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4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4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4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4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4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4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4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4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4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4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4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4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4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4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4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4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4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4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4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4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4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4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4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4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4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4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4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4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4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4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4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4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4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4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4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4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4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4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4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4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4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4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4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4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4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4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4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4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4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4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4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4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4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4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4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4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4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4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4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4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4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4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4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4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4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4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4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4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4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4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4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4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4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4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4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4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4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4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4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4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4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4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4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4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4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4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4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4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4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4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4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4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4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4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4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4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4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4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4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4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4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4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4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4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4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4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4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4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4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4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4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4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4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4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4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4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4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4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4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4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4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4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4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4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4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4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4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4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4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4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4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4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4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4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4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4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4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4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4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4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4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4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4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4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4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4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4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4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4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4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4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4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4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4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4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4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4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4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4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4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4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4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4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4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4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4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4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4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4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4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4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4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4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4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4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4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4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4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4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4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4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4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4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4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4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4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4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4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4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4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4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4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4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4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4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4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4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4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4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4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4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4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4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4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4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4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4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4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4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4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4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4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4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4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4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4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4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4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4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4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4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4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4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4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4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4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4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4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4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4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4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4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4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4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4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4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4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4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4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4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4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4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4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4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4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4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4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4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4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4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4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4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4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4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4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4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4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4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4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4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4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4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4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4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4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4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4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4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4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4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4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4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4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4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254000</xdr:colOff>
      <xdr:row>44</xdr:row>
      <xdr:rowOff>190500</xdr:rowOff>
    </xdr:from>
    <xdr:to>
      <xdr:col>36</xdr:col>
      <xdr:colOff>637268</xdr:colOff>
      <xdr:row>53</xdr:row>
      <xdr:rowOff>95645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4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49250" y="1027112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9</xdr:row>
      <xdr:rowOff>88900</xdr:rowOff>
    </xdr:from>
    <xdr:to>
      <xdr:col>31</xdr:col>
      <xdr:colOff>394098</xdr:colOff>
      <xdr:row>44</xdr:row>
      <xdr:rowOff>101600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400-00002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127000" y="3048000"/>
          <a:ext cx="8204598" cy="70485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5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5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5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5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5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5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5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5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5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5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5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5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5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5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5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5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5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5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5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5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5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5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5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5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5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5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5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5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5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5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5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5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5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5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5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5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5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5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5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5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5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5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5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5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5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5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5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5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5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5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5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5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5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5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5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5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5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5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5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5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5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5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5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5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5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5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5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5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5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5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5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5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5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5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5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5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5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5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5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5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5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5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5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5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5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5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5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5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5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5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5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5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5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5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5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5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5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5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5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5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5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5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5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5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5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5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5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5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5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5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5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5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5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5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5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5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5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5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5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5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5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5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5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5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5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5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5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5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5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5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5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5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5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5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5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5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5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5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5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5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5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5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5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5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5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5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5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5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5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5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5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5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5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5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5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5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5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5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5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5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5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5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5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5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5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5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5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5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5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5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5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5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5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5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5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5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5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5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5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5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5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5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5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5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5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5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5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5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5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5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5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5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5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5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5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5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5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5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5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5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5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5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5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5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5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5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5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5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5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5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5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5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5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5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5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5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5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5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5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5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5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5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5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5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5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5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5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5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5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5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5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5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5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5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5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5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5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5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5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5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5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5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5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5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5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5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5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5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5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5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5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5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5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5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5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5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5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5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5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5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5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5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5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5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5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5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5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5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5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5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5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396875</xdr:colOff>
      <xdr:row>44</xdr:row>
      <xdr:rowOff>95250</xdr:rowOff>
    </xdr:from>
    <xdr:to>
      <xdr:col>36</xdr:col>
      <xdr:colOff>780143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5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92125" y="101758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</xdr:colOff>
      <xdr:row>9</xdr:row>
      <xdr:rowOff>114300</xdr:rowOff>
    </xdr:from>
    <xdr:to>
      <xdr:col>31</xdr:col>
      <xdr:colOff>444500</xdr:colOff>
      <xdr:row>44</xdr:row>
      <xdr:rowOff>76200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500-00002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50800" y="3073400"/>
          <a:ext cx="8331200" cy="69977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6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6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6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6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6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6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6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6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6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6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6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6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6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6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6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6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6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6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6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6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6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6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6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6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6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6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6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6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6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6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6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6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6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6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6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6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6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6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6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6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6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6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6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6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6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6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6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6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6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6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6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6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6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6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6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6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6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6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6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6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6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6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6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6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6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6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6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6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6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6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6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6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6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6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6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6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6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6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6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6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6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6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6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6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6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6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6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6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6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6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6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6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6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6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6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6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6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6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6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6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6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6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6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6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6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6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6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6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6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6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6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6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6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6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6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6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6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6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6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6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6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6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6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6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6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6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6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6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6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6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6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6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6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6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6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6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6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6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6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6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6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6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6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6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6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6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6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6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6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6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6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6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6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6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6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6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6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6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6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6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6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6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6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6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6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6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6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6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6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6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6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6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6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6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6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6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6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6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6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6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6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6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6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6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6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6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6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6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6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6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6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6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6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6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6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6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6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6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6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6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6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6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6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6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6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6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6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6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6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6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6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6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6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6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6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6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6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6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6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6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6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6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6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6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6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6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6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6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6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6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6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6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6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6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6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6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6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6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6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6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6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6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6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6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6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6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6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6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6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6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6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6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6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6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6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6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6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6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6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6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6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6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6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6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6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6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6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6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6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6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6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6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6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301625</xdr:colOff>
      <xdr:row>44</xdr:row>
      <xdr:rowOff>158750</xdr:rowOff>
    </xdr:from>
    <xdr:to>
      <xdr:col>36</xdr:col>
      <xdr:colOff>684893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6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96875" y="102393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</xdr:colOff>
      <xdr:row>9</xdr:row>
      <xdr:rowOff>177800</xdr:rowOff>
    </xdr:from>
    <xdr:to>
      <xdr:col>31</xdr:col>
      <xdr:colOff>406400</xdr:colOff>
      <xdr:row>44</xdr:row>
      <xdr:rowOff>127000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600-000021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25400" y="3136900"/>
          <a:ext cx="8318500" cy="69850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/>
      </xdr:nvSpPr>
      <xdr:spPr>
        <a:xfrm rot="5400000">
          <a:off x="-24766" y="142151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76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609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700-00000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700-00000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700-00000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700-00000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700-00000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700-00000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700-00001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700-00001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700-00001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700-00001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700-00001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700-00001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700-00001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700-00001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700-00001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700-00001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700-00001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700-00001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700-00001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700-00001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700-00001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700-00001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700-00002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700-00002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700-00002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700-00002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700-00002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700-00002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700-00002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700-00002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700-00002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700-00002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700-00002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700-00002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700-00002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700-00002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700-00002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700-00002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700-00003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700-00003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700-00003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700-00003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700-00003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700-00003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700-00003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700-00003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700-00003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700-00003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700-00003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700-00003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700-00003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700-00003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700-00003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700-00003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700-00004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700-00004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700-00004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700-00004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700-00004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700-00004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700-00004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700-00004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700-00004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700-00004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700-00004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700-00004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700-00004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700-00004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700-00004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700-00004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700-00005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700-00005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700-00005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700-00005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700-00005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700-00005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700-00005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700-00005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700-00005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700-00005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700-00005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700-00005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700-00005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700-00005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700-00005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700-00005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700-00006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700-00006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700-00006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2700-00006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700-00006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700-00006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700-00006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700-00006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700-00006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700-00006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700-00006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700-00006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700-00006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700-00006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700-00006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700-00006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700-00007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700-00007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700-00007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700-00007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700-00007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700-00007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700-00007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700-00007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700-00007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700-00007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700-00007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700-00007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700-00007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700-00007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700-00007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700-00007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700-00008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700-00008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700-00008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700-00008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700-00008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700-00008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700-00008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700-00008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700-00008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700-00008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700-00008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700-00008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700-00008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700-00008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700-00008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700-00008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700-00009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700-00009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700-00009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700-00009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700-00009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700-00009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700-00009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700-00009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700-00009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700-00009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700-00009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700-00009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700-00009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700-00009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700-00009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700-00009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700-0000A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700-0000A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700-0000A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700-0000A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700-0000A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700-0000A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700-0000A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700-0000A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700-0000A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700-0000A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700-0000A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700-0000A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700-0000A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700-0000A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700-0000A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700-0000A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700-0000B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700-0000B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700-0000B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700-0000B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700-0000B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700-0000B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700-0000B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700-0000B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700-0000B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700-0000B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700-0000B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700-0000B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700-0000B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700-0000B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700-0000B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700-0000B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700-0000C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700-0000C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700-0000C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700-0000C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700-0000C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700-0000C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700-0000C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700-0000C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700-0000C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700-0000C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700-0000C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700-0000C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700-0000C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700-0000C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700-0000C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700-0000C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700-0000D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700-0000D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700-0000D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700-0000D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700-0000D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700-0000D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700-0000D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700-0000D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700-0000D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700-0000D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700-0000D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700-0000D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700-0000D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700-0000D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700-0000D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700-0000D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700-0000E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700-0000E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700-0000E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700-0000E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700-0000E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700-0000E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700-0000E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700-0000E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700-0000E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700-0000E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700-0000E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700-0000E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700-0000E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700-0000E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700-0000E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700-0000E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700-0000F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700-0000F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700-0000F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700-0000F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700-0000F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700-0000F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700-0000F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700-0000F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700-0000F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700-0000F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700-0000F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700-0000F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700-0000F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700-0000F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700-0000F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700-0000F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700-000000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700-000001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700-000002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700-000003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700-000004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700-000005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700-000006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700-000007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700-000008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700-000009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700-00000A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700-00000B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700-00000C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700-00000D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700-00000E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700-00000F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700-000010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700-000011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700-000012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700-000013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700-000014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700-000015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700-000016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700-000017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700-000018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700-000019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700-00001A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700-00001B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700-00001C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700-00001D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700-00001E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301625</xdr:colOff>
      <xdr:row>44</xdr:row>
      <xdr:rowOff>158750</xdr:rowOff>
    </xdr:from>
    <xdr:to>
      <xdr:col>36</xdr:col>
      <xdr:colOff>684893</xdr:colOff>
      <xdr:row>53</xdr:row>
      <xdr:rowOff>63895</xdr:rowOff>
    </xdr:to>
    <xdr:pic>
      <xdr:nvPicPr>
        <xdr:cNvPr id="287" name="Imagen 286">
          <a:extLst>
            <a:ext uri="{FF2B5EF4-FFF2-40B4-BE49-F238E27FC236}">
              <a16:creationId xmlns:a16="http://schemas.microsoft.com/office/drawing/2014/main" id="{00000000-0008-0000-27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22250" y="10074275"/>
          <a:ext cx="1221468" cy="1581545"/>
        </a:xfrm>
        <a:prstGeom prst="rect">
          <a:avLst/>
        </a:prstGeom>
      </xdr:spPr>
    </xdr:pic>
    <xdr:clientData/>
  </xdr:twoCellAnchor>
  <xdr:twoCellAnchor editAs="oneCell">
    <xdr:from>
      <xdr:col>0</xdr:col>
      <xdr:colOff>88900</xdr:colOff>
      <xdr:row>9</xdr:row>
      <xdr:rowOff>165100</xdr:rowOff>
    </xdr:from>
    <xdr:to>
      <xdr:col>31</xdr:col>
      <xdr:colOff>469900</xdr:colOff>
      <xdr:row>44</xdr:row>
      <xdr:rowOff>139700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700-000020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391" t="11977" r="18739" b="5543"/>
        <a:stretch/>
      </xdr:blipFill>
      <xdr:spPr>
        <a:xfrm>
          <a:off x="88900" y="3124200"/>
          <a:ext cx="8318500" cy="70104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8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8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8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8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8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8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8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8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8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8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8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8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8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8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8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8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8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8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8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8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8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8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8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8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8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8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8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8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8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8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8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8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8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8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8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8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8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8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8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8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8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8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8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8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8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8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8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8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8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8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8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8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8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8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8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8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8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8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8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8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8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8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8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8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8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8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8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8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8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8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8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8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8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8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8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8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8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8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8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8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8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8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8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8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8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8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8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8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8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8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8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8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8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8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8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8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8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8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8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8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8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8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8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8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8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8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8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8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8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8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8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8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8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8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8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8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8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8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8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8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8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8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8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8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8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8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8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8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8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8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8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8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8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8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8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8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8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8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8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8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8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8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8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8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8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8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8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8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8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8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8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8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8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8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8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8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8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8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8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8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8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8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8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8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8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8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8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8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8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8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8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8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8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8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8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8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8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8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8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8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8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8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8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8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8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8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8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8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8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8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8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8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8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8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8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8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8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8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8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8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8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8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8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8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8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8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8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8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8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8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8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8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8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8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8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8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8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8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8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8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8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8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8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8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8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8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8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8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8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8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8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8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8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8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8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8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8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8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8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8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8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8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8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8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8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8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8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8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8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8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8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8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8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8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8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8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8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8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8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8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8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8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8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8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8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8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8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8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8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8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8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8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8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8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8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8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8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428625</xdr:colOff>
      <xdr:row>44</xdr:row>
      <xdr:rowOff>158750</xdr:rowOff>
    </xdr:from>
    <xdr:to>
      <xdr:col>36</xdr:col>
      <xdr:colOff>811893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8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23875" y="102393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47625</xdr:rowOff>
    </xdr:from>
    <xdr:to>
      <xdr:col>31</xdr:col>
      <xdr:colOff>321881</xdr:colOff>
      <xdr:row>41</xdr:row>
      <xdr:rowOff>184996</xdr:rowOff>
    </xdr:to>
    <xdr:pic>
      <xdr:nvPicPr>
        <xdr:cNvPr id="291" name="Imagen 290">
          <a:extLst>
            <a:ext uri="{FF2B5EF4-FFF2-40B4-BE49-F238E27FC236}">
              <a16:creationId xmlns:a16="http://schemas.microsoft.com/office/drawing/2014/main" id="{00000000-0008-0000-28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19500"/>
          <a:ext cx="8640381" cy="605874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9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9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9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9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9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9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9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9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9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9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9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9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9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9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9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9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9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9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9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9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9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9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9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9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9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9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9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9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9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9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9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9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9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9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9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9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9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9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9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9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9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9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9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9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9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9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9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9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9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9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9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9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9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9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9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9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9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9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9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9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9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9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9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9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9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9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9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9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9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9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9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9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9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9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9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9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9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9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9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9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9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9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9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9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9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9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9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9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9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9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9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9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9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9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9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9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9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9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9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9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9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9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9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9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9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9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9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9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9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9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9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9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9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9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9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9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9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9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9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9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9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9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9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9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9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9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9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9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9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9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9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9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9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9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9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9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9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9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9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9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9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9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9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9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9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9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9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9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9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9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9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9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9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9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9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9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9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9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9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9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9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9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9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9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9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9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9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9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9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9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9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9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9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9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9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9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9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9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9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9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9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9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9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9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9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9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9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9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9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9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9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9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9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9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9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9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9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9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9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9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9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9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9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9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9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9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9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9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9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9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9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9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9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9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9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9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9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9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9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9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9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9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9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9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9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9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9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9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9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9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9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9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9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9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9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9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9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9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9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9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9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9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9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9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9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9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9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9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9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9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9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9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9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9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9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9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9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9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9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9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9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9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9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9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9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9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9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9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9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9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9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9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9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9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9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9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9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9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111125</xdr:colOff>
      <xdr:row>11</xdr:row>
      <xdr:rowOff>47625</xdr:rowOff>
    </xdr:from>
    <xdr:to>
      <xdr:col>31</xdr:col>
      <xdr:colOff>272699</xdr:colOff>
      <xdr:row>39</xdr:row>
      <xdr:rowOff>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9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125" y="3413125"/>
          <a:ext cx="8480074" cy="5667375"/>
        </a:xfrm>
        <a:prstGeom prst="rect">
          <a:avLst/>
        </a:prstGeom>
      </xdr:spPr>
    </xdr:pic>
    <xdr:clientData/>
  </xdr:twoCellAnchor>
  <xdr:twoCellAnchor editAs="oneCell">
    <xdr:from>
      <xdr:col>35</xdr:col>
      <xdr:colOff>76200</xdr:colOff>
      <xdr:row>44</xdr:row>
      <xdr:rowOff>171450</xdr:rowOff>
    </xdr:from>
    <xdr:to>
      <xdr:col>36</xdr:col>
      <xdr:colOff>462643</xdr:colOff>
      <xdr:row>53</xdr:row>
      <xdr:rowOff>6745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9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706350" y="10401300"/>
          <a:ext cx="1224643" cy="1587895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A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A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A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A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A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A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A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A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A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A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A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A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A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A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A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A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A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A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A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A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A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A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A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A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A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A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A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A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A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A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A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A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A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A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A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A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A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A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A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A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A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A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A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A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A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A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A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A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A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A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A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A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A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A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A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A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A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A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A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A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A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A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A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A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A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A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A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A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A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A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A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A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A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A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A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A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A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A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A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A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A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A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A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A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A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A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A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A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A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A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A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A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A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A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A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A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A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A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A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A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A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A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A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A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A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A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A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A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A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A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A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A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A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A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A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A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A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A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A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A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A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A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A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A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A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A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A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A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A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A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A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A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A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A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A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A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A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A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A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A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A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A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A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A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A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A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A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A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A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A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A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A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A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A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A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A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A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A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A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A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A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A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A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A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A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A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A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A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A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A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A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A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A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A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A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A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A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A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A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A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A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A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A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A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A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A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A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A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A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A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A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A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A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A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A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A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A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A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A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A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A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A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A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A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A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A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A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A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A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A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A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A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A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A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A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A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A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A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A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A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A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A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A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A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A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A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A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A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A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A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A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A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A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A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A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A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A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A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A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A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A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A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A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A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A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A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A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A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A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A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A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A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A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A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A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A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A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A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A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A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A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A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A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A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A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A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A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A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A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A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A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A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A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A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A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A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A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10</xdr:row>
      <xdr:rowOff>47625</xdr:rowOff>
    </xdr:from>
    <xdr:to>
      <xdr:col>31</xdr:col>
      <xdr:colOff>72674</xdr:colOff>
      <xdr:row>38</xdr:row>
      <xdr:rowOff>76200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A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206750"/>
          <a:ext cx="8295924" cy="5743575"/>
        </a:xfrm>
        <a:prstGeom prst="rect">
          <a:avLst/>
        </a:prstGeom>
      </xdr:spPr>
    </xdr:pic>
    <xdr:clientData/>
  </xdr:twoCellAnchor>
  <xdr:twoCellAnchor editAs="oneCell">
    <xdr:from>
      <xdr:col>35</xdr:col>
      <xdr:colOff>174625</xdr:colOff>
      <xdr:row>44</xdr:row>
      <xdr:rowOff>158750</xdr:rowOff>
    </xdr:from>
    <xdr:to>
      <xdr:col>36</xdr:col>
      <xdr:colOff>557893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A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69875" y="10239375"/>
          <a:ext cx="1224643" cy="158789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B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B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B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B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B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B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B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B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B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B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B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B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B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B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B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B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B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B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B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B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B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B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B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B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B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B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B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B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B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B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B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B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B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B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B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B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B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B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B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B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B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B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B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B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B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B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B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B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B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B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B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B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B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B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B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B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B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B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B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B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B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B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B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B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B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B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B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B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B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B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B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B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B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B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B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B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B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B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B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B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B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B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B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B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B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B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B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B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B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B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B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B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B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B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B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B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B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B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B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B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B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B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B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B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B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B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B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B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B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B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B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B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B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B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B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B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B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B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B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B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B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B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B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B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B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B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B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B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B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B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B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B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B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B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B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B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B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B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B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B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B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B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B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B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B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B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B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B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B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B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B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B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B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B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B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B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B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B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B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B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B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B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B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B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B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B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B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B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B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B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B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B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B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B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B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B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B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B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B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B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B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B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B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B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B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B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B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B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B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B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B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B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B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B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B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B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B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B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B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B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B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B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B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B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B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B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B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B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B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B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B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B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B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B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B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B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B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B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B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B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B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B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B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B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B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B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B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B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B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B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B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B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B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B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B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B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B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B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B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B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B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B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B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B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B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B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B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B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B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B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B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B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B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B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B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B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B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B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B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B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B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B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B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B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B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B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B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B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B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B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B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B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B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B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B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B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B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158750</xdr:colOff>
      <xdr:row>10</xdr:row>
      <xdr:rowOff>63500</xdr:rowOff>
    </xdr:from>
    <xdr:to>
      <xdr:col>30</xdr:col>
      <xdr:colOff>210204</xdr:colOff>
      <xdr:row>42</xdr:row>
      <xdr:rowOff>104060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B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3222625"/>
          <a:ext cx="7163454" cy="6581060"/>
        </a:xfrm>
        <a:prstGeom prst="rect">
          <a:avLst/>
        </a:prstGeom>
      </xdr:spPr>
    </xdr:pic>
    <xdr:clientData/>
  </xdr:twoCellAnchor>
  <xdr:twoCellAnchor editAs="oneCell">
    <xdr:from>
      <xdr:col>35</xdr:col>
      <xdr:colOff>238125</xdr:colOff>
      <xdr:row>44</xdr:row>
      <xdr:rowOff>174625</xdr:rowOff>
    </xdr:from>
    <xdr:to>
      <xdr:col>36</xdr:col>
      <xdr:colOff>621393</xdr:colOff>
      <xdr:row>53</xdr:row>
      <xdr:rowOff>79770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B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033375" y="10255250"/>
          <a:ext cx="1224643" cy="1587895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C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C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C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C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C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C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C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C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C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C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C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C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C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C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C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C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C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C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C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C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C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C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C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C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C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C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C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C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C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C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C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C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C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C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C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C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C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C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C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C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C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C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C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C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C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C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C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C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C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C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C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C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C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C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C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C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C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C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C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C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C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C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C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C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C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C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C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C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C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C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C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C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C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C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C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C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C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C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C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C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C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C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C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C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C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C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C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C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C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C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C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C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C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C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C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C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C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C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C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C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C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C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C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C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C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C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C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C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C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C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C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C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C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C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C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C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C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C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C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C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C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C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C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C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C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C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C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C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C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C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C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C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C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C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C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C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C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C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C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C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C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C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C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C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C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C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C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C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C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C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C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C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C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C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C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C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C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C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C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C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C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C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C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C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C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C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C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C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C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C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C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C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C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C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C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C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C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C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C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C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C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C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C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C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C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C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C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C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C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C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C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C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C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C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C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C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C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C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C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C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C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C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C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C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C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C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C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C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C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C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C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C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C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C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C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C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C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C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C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C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C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C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C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C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C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C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C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C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C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C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C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C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C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C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C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C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C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C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C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C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C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C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C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C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C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C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C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C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C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C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C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C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C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C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C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C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C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C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C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C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C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C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C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C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C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C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C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C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C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C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C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C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C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C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C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C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C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C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C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C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31750</xdr:colOff>
      <xdr:row>10</xdr:row>
      <xdr:rowOff>111125</xdr:rowOff>
    </xdr:from>
    <xdr:to>
      <xdr:col>31</xdr:col>
      <xdr:colOff>263174</xdr:colOff>
      <xdr:row>38</xdr:row>
      <xdr:rowOff>139700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C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3270250"/>
          <a:ext cx="8295924" cy="5743575"/>
        </a:xfrm>
        <a:prstGeom prst="rect">
          <a:avLst/>
        </a:prstGeom>
      </xdr:spPr>
    </xdr:pic>
    <xdr:clientData/>
  </xdr:twoCellAnchor>
  <xdr:twoCellAnchor editAs="oneCell">
    <xdr:from>
      <xdr:col>35</xdr:col>
      <xdr:colOff>95250</xdr:colOff>
      <xdr:row>44</xdr:row>
      <xdr:rowOff>127000</xdr:rowOff>
    </xdr:from>
    <xdr:to>
      <xdr:col>36</xdr:col>
      <xdr:colOff>478518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C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890500" y="10207625"/>
          <a:ext cx="1224643" cy="158789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D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D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D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D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D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D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D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D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D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D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D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D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D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D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D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D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D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D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D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D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D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D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D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D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D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D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D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D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D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D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D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D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D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D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D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D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D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D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D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D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D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D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D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D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D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D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D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D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D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D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D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D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D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D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D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D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D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D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D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D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D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D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D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D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D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D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D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D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D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D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D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D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D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D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D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D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D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D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D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D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D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D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D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D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D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D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D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D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D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D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D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D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D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D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D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D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D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D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D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D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D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D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D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D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D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D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D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D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D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D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D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D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D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D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D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D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D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D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D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D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D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D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D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D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D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D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D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D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D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D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D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D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D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D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D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D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D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D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D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D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D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D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D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D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D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D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D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D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D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D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D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D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D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D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D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D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D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D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D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D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D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D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D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D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D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D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D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D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D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D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D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D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D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D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D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D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D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D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D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D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D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D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D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D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D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D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D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D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D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D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D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D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D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D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D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D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D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D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D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D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D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D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D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D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D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D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D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D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D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D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D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D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D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D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D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D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D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D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D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D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D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D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D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D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D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D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D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D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D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D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D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D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D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D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D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D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D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D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D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D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D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D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D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D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D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D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D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D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D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D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D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D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D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D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D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D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D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D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D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D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D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D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D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D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D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D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D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D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D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D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D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D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D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D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D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D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D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D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D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D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222250</xdr:colOff>
      <xdr:row>10</xdr:row>
      <xdr:rowOff>127000</xdr:rowOff>
    </xdr:from>
    <xdr:to>
      <xdr:col>31</xdr:col>
      <xdr:colOff>199674</xdr:colOff>
      <xdr:row>38</xdr:row>
      <xdr:rowOff>155575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D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0" y="3286125"/>
          <a:ext cx="8295924" cy="5743575"/>
        </a:xfrm>
        <a:prstGeom prst="rect">
          <a:avLst/>
        </a:prstGeom>
      </xdr:spPr>
    </xdr:pic>
    <xdr:clientData/>
  </xdr:twoCellAnchor>
  <xdr:twoCellAnchor editAs="oneCell">
    <xdr:from>
      <xdr:col>35</xdr:col>
      <xdr:colOff>317500</xdr:colOff>
      <xdr:row>44</xdr:row>
      <xdr:rowOff>174625</xdr:rowOff>
    </xdr:from>
    <xdr:to>
      <xdr:col>36</xdr:col>
      <xdr:colOff>700768</xdr:colOff>
      <xdr:row>53</xdr:row>
      <xdr:rowOff>79770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D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12750" y="10255250"/>
          <a:ext cx="1224643" cy="158789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E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E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E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E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E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E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E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E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E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E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E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E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E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E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E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E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E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E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E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E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E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E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E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E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E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E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E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E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E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E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E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E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E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E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E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E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E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E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E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E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E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E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E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E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E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E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E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E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E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E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E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E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E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E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E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E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E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E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E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E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E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E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E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E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E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E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E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E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E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E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E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E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E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E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E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E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E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E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E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E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E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E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E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E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E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E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E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E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E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E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E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E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E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E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E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E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E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E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E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E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E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E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E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E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E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E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E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E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E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E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E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E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E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E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E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E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E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E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E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E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E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E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E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E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E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E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E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E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E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E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E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E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E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E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E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E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E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E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E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E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E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E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E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E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E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E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E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E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E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E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E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E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E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E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E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E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E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E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E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E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E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E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E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E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E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E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E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E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E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E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E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E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E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E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E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E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E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E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E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E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E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E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E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E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E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E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E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E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E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E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E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E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E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E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E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E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E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E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E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E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E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E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E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E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E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E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E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E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E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E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E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E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E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E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E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E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E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E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E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E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E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E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E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E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E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E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E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E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E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E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E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E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E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E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E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E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E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E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E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E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E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E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E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E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E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E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E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E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E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E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E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E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E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E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E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E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E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E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E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E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E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E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E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E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E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E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E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E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E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E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E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E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E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E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E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E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E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E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E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E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31750</xdr:colOff>
      <xdr:row>10</xdr:row>
      <xdr:rowOff>174625</xdr:rowOff>
    </xdr:from>
    <xdr:to>
      <xdr:col>30</xdr:col>
      <xdr:colOff>83204</xdr:colOff>
      <xdr:row>43</xdr:row>
      <xdr:rowOff>24685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E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750" y="3333750"/>
          <a:ext cx="7163454" cy="6581060"/>
        </a:xfrm>
        <a:prstGeom prst="rect">
          <a:avLst/>
        </a:prstGeom>
      </xdr:spPr>
    </xdr:pic>
    <xdr:clientData/>
  </xdr:twoCellAnchor>
  <xdr:twoCellAnchor editAs="oneCell">
    <xdr:from>
      <xdr:col>35</xdr:col>
      <xdr:colOff>412750</xdr:colOff>
      <xdr:row>44</xdr:row>
      <xdr:rowOff>127000</xdr:rowOff>
    </xdr:from>
    <xdr:to>
      <xdr:col>36</xdr:col>
      <xdr:colOff>796018</xdr:colOff>
      <xdr:row>53</xdr:row>
      <xdr:rowOff>32145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E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08000" y="10207625"/>
          <a:ext cx="1224643" cy="158789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2F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F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2F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2F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2F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2F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2F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2F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2F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2F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2F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2F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2F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2F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2F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2F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2F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2F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2F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2F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2F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2F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2F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2F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2F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2F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2F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2F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2F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2F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2F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2F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2F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2F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2F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2F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2F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2F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2F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2F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2F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2F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2F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2F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2F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2F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2F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2F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2F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2F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2F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2F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2F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2F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2F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2F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2F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2F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2F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2F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2F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2F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2F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2F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2F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2F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2F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2F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2F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2F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2F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2F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2F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2F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2F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2F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2F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2F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2F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2F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2F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2F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2F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2F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2F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2F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2F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2F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2F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2F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2F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2F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2F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2F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2F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2F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2F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2F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2F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2F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2F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2F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2F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2F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2F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2F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2F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2F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2F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2F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2F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2F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2F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2F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2F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2F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2F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2F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2F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2F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2F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2F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2F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2F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2F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2F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2F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2F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2F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2F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2F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2F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2F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2F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2F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2F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2F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2F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2F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2F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2F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2F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2F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2F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2F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2F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2F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2F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2F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2F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2F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2F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2F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2F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2F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2F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2F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2F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2F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2F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2F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2F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2F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2F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2F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2F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2F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2F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2F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2F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2F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2F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2F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2F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2F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2F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2F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2F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2F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2F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2F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2F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2F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2F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2F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2F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2F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2F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2F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2F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2F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2F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2F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2F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2F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2F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2F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2F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2F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2F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2F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2F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2F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2F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2F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2F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2F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2F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2F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2F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2F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2F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2F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2F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2F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2F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2F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2F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2F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2F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2F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2F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2F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2F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2F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2F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2F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2F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2F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2F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2F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2F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2F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2F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2F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2F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2F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2F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2F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2F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2F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2F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2F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2F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2F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2F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2F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2F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2F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2F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2F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2F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2F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2F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2F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2F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2F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2F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2F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2F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2F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2F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2F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2F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2F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2F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2F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2F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2F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2F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2F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2F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2F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2F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2F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2F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2F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2F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2F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2F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476250</xdr:colOff>
      <xdr:row>44</xdr:row>
      <xdr:rowOff>158750</xdr:rowOff>
    </xdr:from>
    <xdr:to>
      <xdr:col>37</xdr:col>
      <xdr:colOff>18143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2F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271500" y="102393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</xdr:colOff>
      <xdr:row>13</xdr:row>
      <xdr:rowOff>31750</xdr:rowOff>
    </xdr:from>
    <xdr:to>
      <xdr:col>31</xdr:col>
      <xdr:colOff>226544</xdr:colOff>
      <xdr:row>39</xdr:row>
      <xdr:rowOff>188087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2F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3875" y="3810000"/>
          <a:ext cx="8021169" cy="5458587"/>
        </a:xfrm>
        <a:prstGeom prst="rect">
          <a:avLst/>
        </a:prstGeom>
      </xdr:spPr>
    </xdr:pic>
    <xdr:clientData/>
  </xdr:twoCellAnchor>
  <xdr:twoCellAnchor>
    <xdr:from>
      <xdr:col>22</xdr:col>
      <xdr:colOff>190501</xdr:colOff>
      <xdr:row>37</xdr:row>
      <xdr:rowOff>190500</xdr:rowOff>
    </xdr:from>
    <xdr:to>
      <xdr:col>25</xdr:col>
      <xdr:colOff>31751</xdr:colOff>
      <xdr:row>39</xdr:row>
      <xdr:rowOff>127000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2F00-000022010000}"/>
            </a:ext>
          </a:extLst>
        </xdr:cNvPr>
        <xdr:cNvSpPr/>
      </xdr:nvSpPr>
      <xdr:spPr>
        <a:xfrm>
          <a:off x="5778501" y="8858250"/>
          <a:ext cx="603250" cy="3492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174625</xdr:colOff>
      <xdr:row>25</xdr:row>
      <xdr:rowOff>200025</xdr:rowOff>
    </xdr:from>
    <xdr:to>
      <xdr:col>3</xdr:col>
      <xdr:colOff>15875</xdr:colOff>
      <xdr:row>27</xdr:row>
      <xdr:rowOff>136525</xdr:rowOff>
    </xdr:to>
    <xdr:sp macro="" textlink="">
      <xdr:nvSpPr>
        <xdr:cNvPr id="291" name="Rectángulo 290">
          <a:extLst>
            <a:ext uri="{FF2B5EF4-FFF2-40B4-BE49-F238E27FC236}">
              <a16:creationId xmlns:a16="http://schemas.microsoft.com/office/drawing/2014/main" id="{00000000-0008-0000-2F00-000023010000}"/>
            </a:ext>
          </a:extLst>
        </xdr:cNvPr>
        <xdr:cNvSpPr/>
      </xdr:nvSpPr>
      <xdr:spPr>
        <a:xfrm>
          <a:off x="174625" y="6454775"/>
          <a:ext cx="603250" cy="3492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0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30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30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30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0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30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30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30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30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30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30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30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30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30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30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30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30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30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30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30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30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30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30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30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30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30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30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30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30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30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30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30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30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30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30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30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30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30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30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30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30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30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30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30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30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30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30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30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30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30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30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30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30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30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30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30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30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30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30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30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30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30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30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30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30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30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30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30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30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30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30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30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30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30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30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30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30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30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30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30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30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30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30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30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30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30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30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30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30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30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30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30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30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30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30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30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30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30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30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30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30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30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30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30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30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30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30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30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30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30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30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30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30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30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30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30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30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30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30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30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30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30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30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30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30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30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30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30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30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30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30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30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30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30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30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30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30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30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30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30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30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30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30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30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30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30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30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30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30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30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30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30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30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30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30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30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30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30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30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30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30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30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30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30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30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30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30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30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30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30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30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30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30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30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30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30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30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30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30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30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30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30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30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30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30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30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30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30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30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30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30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30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30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30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30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30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30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30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30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30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30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30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30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30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30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30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30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30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30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30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30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30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30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30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30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30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30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30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30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30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30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30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30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30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30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30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30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30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30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30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30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30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30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30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30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30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30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30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30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30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30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30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30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30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30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30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30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30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30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30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30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30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30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30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30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30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30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30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30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30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30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30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30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30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30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30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30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30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30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30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30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30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30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30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30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30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30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30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30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30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174625</xdr:colOff>
      <xdr:row>44</xdr:row>
      <xdr:rowOff>158750</xdr:rowOff>
    </xdr:from>
    <xdr:to>
      <xdr:col>36</xdr:col>
      <xdr:colOff>557893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3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69875" y="1023937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3</xdr:col>
      <xdr:colOff>111125</xdr:colOff>
      <xdr:row>15</xdr:row>
      <xdr:rowOff>63500</xdr:rowOff>
    </xdr:from>
    <xdr:to>
      <xdr:col>30</xdr:col>
      <xdr:colOff>210144</xdr:colOff>
      <xdr:row>37</xdr:row>
      <xdr:rowOff>95250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3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3125" y="4254500"/>
          <a:ext cx="6957019" cy="4508500"/>
        </a:xfrm>
        <a:prstGeom prst="rect">
          <a:avLst/>
        </a:prstGeom>
      </xdr:spPr>
    </xdr:pic>
    <xdr:clientData/>
  </xdr:twoCellAnchor>
  <xdr:twoCellAnchor>
    <xdr:from>
      <xdr:col>10</xdr:col>
      <xdr:colOff>95251</xdr:colOff>
      <xdr:row>14</xdr:row>
      <xdr:rowOff>158750</xdr:rowOff>
    </xdr:from>
    <xdr:to>
      <xdr:col>13</xdr:col>
      <xdr:colOff>1</xdr:colOff>
      <xdr:row>17</xdr:row>
      <xdr:rowOff>47625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3000-000022010000}"/>
            </a:ext>
          </a:extLst>
        </xdr:cNvPr>
        <xdr:cNvSpPr/>
      </xdr:nvSpPr>
      <xdr:spPr>
        <a:xfrm>
          <a:off x="2635251" y="4143375"/>
          <a:ext cx="666750" cy="5080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 rot="5400000">
          <a:off x="-24766" y="1381513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100-00000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3100-00000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3100-00000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3100-00000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100-00000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3100-00000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3100-00000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3100-00000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3100-00000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3100-00001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3100-00001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3100-00001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3100-00001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3100-00001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3100-00001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3100-00001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3100-00001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3100-00001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3100-00001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3100-00001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3100-00001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3100-00001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3100-00001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3100-00001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3100-00001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3100-00002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3100-00002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3100-00002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3100-00002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3100-00002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3100-00002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3100-00002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3100-00002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3100-00002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3100-00002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3100-00002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3100-00002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3100-00002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3100-00002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3100-00002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3100-00002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3100-00003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3100-00003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3100-00003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3100-00003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3100-00003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3100-00003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3100-00003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3100-00003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3100-00003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3100-00003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3100-00003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3100-00003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3100-00003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3100-00003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3100-00003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3100-00003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3100-00004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3100-00004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3100-00004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3100-00004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3100-00004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3100-00004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3100-00004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3100-00004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3100-00004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3100-00004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3100-00004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3100-00004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3100-00004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3100-00004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3100-00004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3100-00004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3100-00005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3100-00005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3100-00005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3100-000053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3100-000054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3100-000055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3100-000056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3100-000057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3100-000058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3100-000059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3100-00005A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3100-00005B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3100-00005C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3100-00005D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3100-00005E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3100-00005F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3100-000060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3100-000061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3100-000062000000}"/>
            </a:ext>
          </a:extLst>
        </xdr:cNvPr>
        <xdr:cNvCxnSpPr/>
      </xdr:nvCxnSpPr>
      <xdr:spPr>
        <a:xfrm>
          <a:off x="11115676" y="1070610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3100-00006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3100-00006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3100-00006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3100-00006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3100-00006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3100-00006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3100-00006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3100-00006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3100-00006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3100-00006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3100-00006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3100-00006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3100-00007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3100-00007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3100-00007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3100-00007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3100-00007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3100-00007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3100-00007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3100-00007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3100-00007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3100-00007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3100-00007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3100-00007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3100-00007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3100-00007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3100-00007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3100-00007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3100-00008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3100-00008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3100-00008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3100-00008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3100-00008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3100-00008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3100-00008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3100-00008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3100-00008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3100-00008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3100-00008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3100-00008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3100-00008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3100-00008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3100-00008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3100-00008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3100-00009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3100-00009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3100-00009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3100-00009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3100-00009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3100-00009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3100-00009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3100-00009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3100-00009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3100-00009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3100-00009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3100-00009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3100-00009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3100-00009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3100-00009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3100-00009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3100-0000A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3100-0000A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3100-0000A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3100-0000A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3100-0000A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3100-0000A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3100-0000A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3100-0000A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3100-0000A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3100-0000A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3100-0000A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3100-0000A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3100-0000A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3100-0000A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3100-0000A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3100-0000A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3100-0000B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3100-0000B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3100-0000B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3100-0000B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3100-0000B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3100-0000B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3100-0000B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3100-0000B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3100-0000B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3100-0000B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3100-0000B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3100-0000B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3100-0000B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3100-0000B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3100-0000B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3100-0000B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3100-0000C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3100-0000C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3100-0000C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3100-0000C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3100-0000C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3100-0000C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3100-0000C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3100-0000C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3100-0000C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3100-0000C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3100-0000C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3100-0000C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3100-0000C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3100-0000C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3100-0000C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3100-0000C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3100-0000D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3100-0000D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3100-0000D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3100-0000D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3100-0000D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3100-0000D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3100-0000D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3100-0000D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3100-0000D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3100-0000D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3100-0000D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3100-0000D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3100-0000D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3100-0000D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3100-0000D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3100-0000D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3100-0000E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3100-0000E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3100-0000E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3100-0000E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3100-0000E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3100-0000E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3100-0000E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3100-0000E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3100-0000E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3100-0000E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3100-0000E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3100-0000E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3100-0000E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3100-0000E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3100-0000E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3100-0000E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3100-0000F0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3100-0000F1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3100-0000F2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3100-0000F3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3100-0000F4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3100-0000F5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3100-0000F6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3100-0000F7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3100-0000F8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3100-0000F9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3100-0000FA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3100-0000FB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3100-0000FC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3100-0000FD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3100-0000FE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3100-0000FF00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3100-00000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3100-00000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3100-00000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3100-00000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3100-00000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3100-00000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3100-00000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3100-00000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3100-00000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3100-00000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3100-00000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3100-00000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3100-00000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3100-00000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3100-00000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3100-00000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3100-00001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3100-00001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3100-00001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3100-00001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3100-00001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3100-00001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3100-00001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3100-00001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3100-00001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3100-00001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3100-00001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3100-00001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3100-00001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3100-00001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3100-00001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00000000-0008-0000-3100-00001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142875</xdr:colOff>
      <xdr:row>12</xdr:row>
      <xdr:rowOff>174625</xdr:rowOff>
    </xdr:from>
    <xdr:to>
      <xdr:col>31</xdr:col>
      <xdr:colOff>353544</xdr:colOff>
      <xdr:row>39</xdr:row>
      <xdr:rowOff>124587</xdr:rowOff>
    </xdr:to>
    <xdr:pic>
      <xdr:nvPicPr>
        <xdr:cNvPr id="289" name="Imagen 288">
          <a:extLst>
            <a:ext uri="{FF2B5EF4-FFF2-40B4-BE49-F238E27FC236}">
              <a16:creationId xmlns:a16="http://schemas.microsoft.com/office/drawing/2014/main" id="{00000000-0008-0000-31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875" y="3746500"/>
          <a:ext cx="8021169" cy="5458587"/>
        </a:xfrm>
        <a:prstGeom prst="rect">
          <a:avLst/>
        </a:prstGeom>
      </xdr:spPr>
    </xdr:pic>
    <xdr:clientData/>
  </xdr:twoCellAnchor>
  <xdr:twoCellAnchor editAs="oneCell">
    <xdr:from>
      <xdr:col>35</xdr:col>
      <xdr:colOff>349250</xdr:colOff>
      <xdr:row>44</xdr:row>
      <xdr:rowOff>158750</xdr:rowOff>
    </xdr:from>
    <xdr:to>
      <xdr:col>36</xdr:col>
      <xdr:colOff>732518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31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44500" y="10239375"/>
          <a:ext cx="1224643" cy="1587895"/>
        </a:xfrm>
        <a:prstGeom prst="rect">
          <a:avLst/>
        </a:prstGeom>
      </xdr:spPr>
    </xdr:pic>
    <xdr:clientData/>
  </xdr:twoCellAnchor>
  <xdr:twoCellAnchor>
    <xdr:from>
      <xdr:col>18</xdr:col>
      <xdr:colOff>95250</xdr:colOff>
      <xdr:row>14</xdr:row>
      <xdr:rowOff>31750</xdr:rowOff>
    </xdr:from>
    <xdr:to>
      <xdr:col>20</xdr:col>
      <xdr:colOff>79375</xdr:colOff>
      <xdr:row>15</xdr:row>
      <xdr:rowOff>0</xdr:rowOff>
    </xdr:to>
    <xdr:sp macro="" textlink="">
      <xdr:nvSpPr>
        <xdr:cNvPr id="99" name="Rectángulo 98">
          <a:extLst>
            <a:ext uri="{FF2B5EF4-FFF2-40B4-BE49-F238E27FC236}">
              <a16:creationId xmlns:a16="http://schemas.microsoft.com/office/drawing/2014/main" id="{00000000-0008-0000-3100-000063000000}"/>
            </a:ext>
          </a:extLst>
        </xdr:cNvPr>
        <xdr:cNvSpPr/>
      </xdr:nvSpPr>
      <xdr:spPr>
        <a:xfrm>
          <a:off x="4667250" y="40163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25</xdr:col>
      <xdr:colOff>168275</xdr:colOff>
      <xdr:row>21</xdr:row>
      <xdr:rowOff>104775</xdr:rowOff>
    </xdr:from>
    <xdr:to>
      <xdr:col>26</xdr:col>
      <xdr:colOff>88900</xdr:colOff>
      <xdr:row>23</xdr:row>
      <xdr:rowOff>184150</xdr:rowOff>
    </xdr:to>
    <xdr:sp macro="" textlink="">
      <xdr:nvSpPr>
        <xdr:cNvPr id="290" name="Rectángulo 289">
          <a:extLst>
            <a:ext uri="{FF2B5EF4-FFF2-40B4-BE49-F238E27FC236}">
              <a16:creationId xmlns:a16="http://schemas.microsoft.com/office/drawing/2014/main" id="{00000000-0008-0000-3100-000022010000}"/>
            </a:ext>
          </a:extLst>
        </xdr:cNvPr>
        <xdr:cNvSpPr/>
      </xdr:nvSpPr>
      <xdr:spPr>
        <a:xfrm rot="5400000">
          <a:off x="6359525" y="56927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581025</xdr:colOff>
      <xdr:row>34</xdr:row>
      <xdr:rowOff>73025</xdr:rowOff>
    </xdr:from>
    <xdr:to>
      <xdr:col>31</xdr:col>
      <xdr:colOff>57150</xdr:colOff>
      <xdr:row>36</xdr:row>
      <xdr:rowOff>152400</xdr:rowOff>
    </xdr:to>
    <xdr:sp macro="" textlink="">
      <xdr:nvSpPr>
        <xdr:cNvPr id="291" name="Rectángulo 290">
          <a:extLst>
            <a:ext uri="{FF2B5EF4-FFF2-40B4-BE49-F238E27FC236}">
              <a16:creationId xmlns:a16="http://schemas.microsoft.com/office/drawing/2014/main" id="{00000000-0008-0000-3100-000023010000}"/>
            </a:ext>
          </a:extLst>
        </xdr:cNvPr>
        <xdr:cNvSpPr/>
      </xdr:nvSpPr>
      <xdr:spPr>
        <a:xfrm rot="16200000">
          <a:off x="8042275" y="8280400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23</xdr:col>
      <xdr:colOff>120650</xdr:colOff>
      <xdr:row>27</xdr:row>
      <xdr:rowOff>168275</xdr:rowOff>
    </xdr:from>
    <xdr:to>
      <xdr:col>25</xdr:col>
      <xdr:colOff>104775</xdr:colOff>
      <xdr:row>28</xdr:row>
      <xdr:rowOff>152400</xdr:rowOff>
    </xdr:to>
    <xdr:sp macro="" textlink="">
      <xdr:nvSpPr>
        <xdr:cNvPr id="292" name="Rectángulo 291">
          <a:extLst>
            <a:ext uri="{FF2B5EF4-FFF2-40B4-BE49-F238E27FC236}">
              <a16:creationId xmlns:a16="http://schemas.microsoft.com/office/drawing/2014/main" id="{00000000-0008-0000-3100-000024010000}"/>
            </a:ext>
          </a:extLst>
        </xdr:cNvPr>
        <xdr:cNvSpPr/>
      </xdr:nvSpPr>
      <xdr:spPr>
        <a:xfrm>
          <a:off x="5962650" y="68357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3175</xdr:colOff>
      <xdr:row>25</xdr:row>
      <xdr:rowOff>3175</xdr:rowOff>
    </xdr:from>
    <xdr:to>
      <xdr:col>29</xdr:col>
      <xdr:colOff>241300</xdr:colOff>
      <xdr:row>25</xdr:row>
      <xdr:rowOff>177800</xdr:rowOff>
    </xdr:to>
    <xdr:sp macro="" textlink="">
      <xdr:nvSpPr>
        <xdr:cNvPr id="293" name="Rectángulo 292">
          <a:extLst>
            <a:ext uri="{FF2B5EF4-FFF2-40B4-BE49-F238E27FC236}">
              <a16:creationId xmlns:a16="http://schemas.microsoft.com/office/drawing/2014/main" id="{00000000-0008-0000-3100-000025010000}"/>
            </a:ext>
          </a:extLst>
        </xdr:cNvPr>
        <xdr:cNvSpPr/>
      </xdr:nvSpPr>
      <xdr:spPr>
        <a:xfrm>
          <a:off x="7115175" y="625792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107950</xdr:colOff>
      <xdr:row>21</xdr:row>
      <xdr:rowOff>60325</xdr:rowOff>
    </xdr:from>
    <xdr:to>
      <xdr:col>5</xdr:col>
      <xdr:colOff>28575</xdr:colOff>
      <xdr:row>23</xdr:row>
      <xdr:rowOff>139700</xdr:rowOff>
    </xdr:to>
    <xdr:sp macro="" textlink="">
      <xdr:nvSpPr>
        <xdr:cNvPr id="294" name="Rectángulo 293">
          <a:extLst>
            <a:ext uri="{FF2B5EF4-FFF2-40B4-BE49-F238E27FC236}">
              <a16:creationId xmlns:a16="http://schemas.microsoft.com/office/drawing/2014/main" id="{00000000-0008-0000-3100-000026010000}"/>
            </a:ext>
          </a:extLst>
        </xdr:cNvPr>
        <xdr:cNvSpPr/>
      </xdr:nvSpPr>
      <xdr:spPr>
        <a:xfrm rot="16200000">
          <a:off x="965200" y="564832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107950</xdr:colOff>
      <xdr:row>29</xdr:row>
      <xdr:rowOff>123825</xdr:rowOff>
    </xdr:from>
    <xdr:to>
      <xdr:col>5</xdr:col>
      <xdr:colOff>28575</xdr:colOff>
      <xdr:row>32</xdr:row>
      <xdr:rowOff>28575</xdr:rowOff>
    </xdr:to>
    <xdr:sp macro="" textlink="">
      <xdr:nvSpPr>
        <xdr:cNvPr id="295" name="Rectángulo 294">
          <a:extLst>
            <a:ext uri="{FF2B5EF4-FFF2-40B4-BE49-F238E27FC236}">
              <a16:creationId xmlns:a16="http://schemas.microsoft.com/office/drawing/2014/main" id="{00000000-0008-0000-3100-000027010000}"/>
            </a:ext>
          </a:extLst>
        </xdr:cNvPr>
        <xdr:cNvSpPr/>
      </xdr:nvSpPr>
      <xdr:spPr>
        <a:xfrm rot="16200000">
          <a:off x="965200" y="73310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107950</xdr:colOff>
      <xdr:row>36</xdr:row>
      <xdr:rowOff>60325</xdr:rowOff>
    </xdr:from>
    <xdr:to>
      <xdr:col>15</xdr:col>
      <xdr:colOff>92075</xdr:colOff>
      <xdr:row>37</xdr:row>
      <xdr:rowOff>28575</xdr:rowOff>
    </xdr:to>
    <xdr:sp macro="" textlink="">
      <xdr:nvSpPr>
        <xdr:cNvPr id="296" name="Rectángulo 295">
          <a:extLst>
            <a:ext uri="{FF2B5EF4-FFF2-40B4-BE49-F238E27FC236}">
              <a16:creationId xmlns:a16="http://schemas.microsoft.com/office/drawing/2014/main" id="{00000000-0008-0000-3100-000028010000}"/>
            </a:ext>
          </a:extLst>
        </xdr:cNvPr>
        <xdr:cNvSpPr/>
      </xdr:nvSpPr>
      <xdr:spPr>
        <a:xfrm>
          <a:off x="3409950" y="8521700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196850</xdr:colOff>
      <xdr:row>30</xdr:row>
      <xdr:rowOff>6350</xdr:rowOff>
    </xdr:from>
    <xdr:to>
      <xdr:col>12</xdr:col>
      <xdr:colOff>117475</xdr:colOff>
      <xdr:row>32</xdr:row>
      <xdr:rowOff>101600</xdr:rowOff>
    </xdr:to>
    <xdr:sp macro="" textlink="">
      <xdr:nvSpPr>
        <xdr:cNvPr id="297" name="Rectángulo 296">
          <a:extLst>
            <a:ext uri="{FF2B5EF4-FFF2-40B4-BE49-F238E27FC236}">
              <a16:creationId xmlns:a16="http://schemas.microsoft.com/office/drawing/2014/main" id="{00000000-0008-0000-3100-000029010000}"/>
            </a:ext>
          </a:extLst>
        </xdr:cNvPr>
        <xdr:cNvSpPr/>
      </xdr:nvSpPr>
      <xdr:spPr>
        <a:xfrm rot="5400000">
          <a:off x="2832100" y="7404100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69850</xdr:colOff>
      <xdr:row>24</xdr:row>
      <xdr:rowOff>165100</xdr:rowOff>
    </xdr:from>
    <xdr:to>
      <xdr:col>17</xdr:col>
      <xdr:colOff>53975</xdr:colOff>
      <xdr:row>25</xdr:row>
      <xdr:rowOff>133350</xdr:rowOff>
    </xdr:to>
    <xdr:sp macro="" textlink="">
      <xdr:nvSpPr>
        <xdr:cNvPr id="298" name="Rectángulo 297">
          <a:extLst>
            <a:ext uri="{FF2B5EF4-FFF2-40B4-BE49-F238E27FC236}">
              <a16:creationId xmlns:a16="http://schemas.microsoft.com/office/drawing/2014/main" id="{00000000-0008-0000-3100-00002A010000}"/>
            </a:ext>
          </a:extLst>
        </xdr:cNvPr>
        <xdr:cNvSpPr/>
      </xdr:nvSpPr>
      <xdr:spPr>
        <a:xfrm>
          <a:off x="3879850" y="62134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31750</xdr:colOff>
      <xdr:row>17</xdr:row>
      <xdr:rowOff>174625</xdr:rowOff>
    </xdr:from>
    <xdr:to>
      <xdr:col>11</xdr:col>
      <xdr:colOff>15875</xdr:colOff>
      <xdr:row>18</xdr:row>
      <xdr:rowOff>142875</xdr:rowOff>
    </xdr:to>
    <xdr:sp macro="" textlink="">
      <xdr:nvSpPr>
        <xdr:cNvPr id="299" name="Rectángulo 298">
          <a:extLst>
            <a:ext uri="{FF2B5EF4-FFF2-40B4-BE49-F238E27FC236}">
              <a16:creationId xmlns:a16="http://schemas.microsoft.com/office/drawing/2014/main" id="{00000000-0008-0000-3100-00002B010000}"/>
            </a:ext>
          </a:extLst>
        </xdr:cNvPr>
        <xdr:cNvSpPr/>
      </xdr:nvSpPr>
      <xdr:spPr>
        <a:xfrm>
          <a:off x="2317750" y="4778375"/>
          <a:ext cx="492125" cy="17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169622</xdr:rowOff>
    </xdr:from>
    <xdr:to>
      <xdr:col>0</xdr:col>
      <xdr:colOff>51435</xdr:colOff>
      <xdr:row>69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SpPr/>
      </xdr:nvSpPr>
      <xdr:spPr>
        <a:xfrm rot="5400000">
          <a:off x="-24766" y="14215188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276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44</xdr:row>
      <xdr:rowOff>238125</xdr:rowOff>
    </xdr:from>
    <xdr:to>
      <xdr:col>17</xdr:col>
      <xdr:colOff>238125</xdr:colOff>
      <xdr:row>54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SpPr>
          <a:spLocks noChangeShapeType="1"/>
        </xdr:cNvSpPr>
      </xdr:nvSpPr>
      <xdr:spPr bwMode="auto">
        <a:xfrm>
          <a:off x="4448175" y="10153650"/>
          <a:ext cx="0" cy="1609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200-00000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3200-00000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3200-00000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3200-00000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200-00000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3200-00000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3200-00000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3200-00000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3200-00000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3200-00001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3200-00001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3200-00001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3200-00001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3200-00001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3200-00001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3200-00001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3200-00001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3200-00001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3200-00001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3200-00001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3200-00001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3200-00001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3200-00001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3200-00001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3200-00001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3200-00002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3200-00002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3200-00002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3200-00002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3200-00002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3200-00002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3200-00002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3200-00002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3200-00002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3200-00002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3200-00002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3200-00002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3200-00002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3200-00002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3200-00002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3200-00002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3200-00003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3200-00003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3200-00003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3200-00003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3200-00003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3200-00003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3200-00003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3200-00003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3200-00003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3200-00003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3200-00003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3200-00003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3200-00003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3200-00003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3200-00003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3200-00003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3200-00004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3200-00004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3200-00004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3200-00004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3200-00004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3200-00004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3200-00004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3200-00004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3200-00004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3200-00004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3200-00004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3200-00004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3200-00004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3200-00004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3200-00004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3200-00004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3200-00005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3200-00005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3200-00005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3200-00005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3200-00005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3200-00005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3200-00005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3200-00005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3200-00005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3200-00005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3200-00005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3200-00005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3200-00005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3200-00005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3200-00005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3200-00005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3200-00006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3200-00006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3200-00006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3200-00006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3200-00006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3200-00006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3200-00006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3200-00006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00000000-0008-0000-3200-00006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00000000-0008-0000-3200-00006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00000000-0008-0000-3200-00006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00000000-0008-0000-3200-00006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3200-00006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3200-00006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3200-00006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00000000-0008-0000-3200-00006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3200-00007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00000000-0008-0000-3200-00007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00000000-0008-0000-3200-00007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00000000-0008-0000-3200-00007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3200-00007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3200-00007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00000000-0008-0000-3200-00007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00000000-0008-0000-3200-00007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00000000-0008-0000-3200-00007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00000000-0008-0000-3200-00007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00000000-0008-0000-3200-00007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00000000-0008-0000-3200-00007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4" name="Conector recto 123">
          <a:extLst>
            <a:ext uri="{FF2B5EF4-FFF2-40B4-BE49-F238E27FC236}">
              <a16:creationId xmlns:a16="http://schemas.microsoft.com/office/drawing/2014/main" id="{00000000-0008-0000-3200-00007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00000000-0008-0000-3200-00007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6" name="Conector recto 125">
          <a:extLst>
            <a:ext uri="{FF2B5EF4-FFF2-40B4-BE49-F238E27FC236}">
              <a16:creationId xmlns:a16="http://schemas.microsoft.com/office/drawing/2014/main" id="{00000000-0008-0000-3200-00007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00000000-0008-0000-3200-00007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00000000-0008-0000-3200-00008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00000000-0008-0000-3200-00008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0" name="Conector recto 129">
          <a:extLst>
            <a:ext uri="{FF2B5EF4-FFF2-40B4-BE49-F238E27FC236}">
              <a16:creationId xmlns:a16="http://schemas.microsoft.com/office/drawing/2014/main" id="{00000000-0008-0000-3200-00008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00000000-0008-0000-3200-00008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0000000-0008-0000-3200-00008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00000000-0008-0000-3200-00008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00000000-0008-0000-3200-00008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00000000-0008-0000-3200-00008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00000000-0008-0000-3200-00008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0000000-0008-0000-3200-00008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00000000-0008-0000-3200-00008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00000000-0008-0000-3200-00008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00000000-0008-0000-3200-00008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00000000-0008-0000-3200-00008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3200-00008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3200-00008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00000000-0008-0000-3200-00009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00000000-0008-0000-3200-00009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3200-00009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3200-00009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00000000-0008-0000-3200-00009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0000000-0008-0000-3200-00009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00000000-0008-0000-3200-00009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00000000-0008-0000-3200-00009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00000000-0008-0000-3200-00009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00000000-0008-0000-3200-00009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00000000-0008-0000-3200-00009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00000000-0008-0000-3200-00009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00000000-0008-0000-3200-00009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3200-00009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8" name="Conector recto 157">
          <a:extLst>
            <a:ext uri="{FF2B5EF4-FFF2-40B4-BE49-F238E27FC236}">
              <a16:creationId xmlns:a16="http://schemas.microsoft.com/office/drawing/2014/main" id="{00000000-0008-0000-3200-00009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00000000-0008-0000-3200-00009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00000000-0008-0000-3200-0000A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3200-0000A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3200-0000A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3200-0000A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3200-0000A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3200-0000A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00000000-0008-0000-3200-0000A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0000000-0008-0000-3200-0000A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00000000-0008-0000-3200-0000A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00000000-0008-0000-3200-0000A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00000000-0008-0000-3200-0000A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00000000-0008-0000-3200-0000A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2" name="Conector recto 171">
          <a:extLst>
            <a:ext uri="{FF2B5EF4-FFF2-40B4-BE49-F238E27FC236}">
              <a16:creationId xmlns:a16="http://schemas.microsoft.com/office/drawing/2014/main" id="{00000000-0008-0000-3200-0000A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00000000-0008-0000-3200-0000A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00000000-0008-0000-3200-0000A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00000000-0008-0000-3200-0000A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00000000-0008-0000-3200-0000B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00000000-0008-0000-3200-0000B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8" name="Conector recto 177">
          <a:extLst>
            <a:ext uri="{FF2B5EF4-FFF2-40B4-BE49-F238E27FC236}">
              <a16:creationId xmlns:a16="http://schemas.microsoft.com/office/drawing/2014/main" id="{00000000-0008-0000-3200-0000B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0000000-0008-0000-3200-0000B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00000000-0008-0000-3200-0000B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3200-0000B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2" name="Conector recto 181">
          <a:extLst>
            <a:ext uri="{FF2B5EF4-FFF2-40B4-BE49-F238E27FC236}">
              <a16:creationId xmlns:a16="http://schemas.microsoft.com/office/drawing/2014/main" id="{00000000-0008-0000-3200-0000B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3200-0000B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00000000-0008-0000-3200-0000B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3200-0000B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3200-0000B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3200-0000B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3200-0000B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3200-0000B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00000000-0008-0000-3200-0000B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00000000-0008-0000-3200-0000B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00000000-0008-0000-3200-0000C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00000000-0008-0000-3200-0000C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00000000-0008-0000-3200-0000C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00000000-0008-0000-3200-0000C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6" name="Conector recto 195">
          <a:extLst>
            <a:ext uri="{FF2B5EF4-FFF2-40B4-BE49-F238E27FC236}">
              <a16:creationId xmlns:a16="http://schemas.microsoft.com/office/drawing/2014/main" id="{00000000-0008-0000-3200-0000C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00000000-0008-0000-3200-0000C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00000000-0008-0000-3200-0000C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0000000-0008-0000-3200-0000C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0" name="Conector recto 199">
          <a:extLst>
            <a:ext uri="{FF2B5EF4-FFF2-40B4-BE49-F238E27FC236}">
              <a16:creationId xmlns:a16="http://schemas.microsoft.com/office/drawing/2014/main" id="{00000000-0008-0000-3200-0000C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00000000-0008-0000-3200-0000C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2" name="Conector recto 201">
          <a:extLst>
            <a:ext uri="{FF2B5EF4-FFF2-40B4-BE49-F238E27FC236}">
              <a16:creationId xmlns:a16="http://schemas.microsoft.com/office/drawing/2014/main" id="{00000000-0008-0000-3200-0000C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00000000-0008-0000-3200-0000C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4" name="Conector recto 203">
          <a:extLst>
            <a:ext uri="{FF2B5EF4-FFF2-40B4-BE49-F238E27FC236}">
              <a16:creationId xmlns:a16="http://schemas.microsoft.com/office/drawing/2014/main" id="{00000000-0008-0000-3200-0000C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00000000-0008-0000-3200-0000C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00000000-0008-0000-3200-0000C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00000000-0008-0000-3200-0000C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00000000-0008-0000-3200-0000D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00000000-0008-0000-3200-0000D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3200-0000D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0000000-0008-0000-3200-0000D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00000000-0008-0000-3200-0000D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00000000-0008-0000-3200-0000D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3200-0000D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00000000-0008-0000-3200-0000D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6" name="Conector recto 215">
          <a:extLst>
            <a:ext uri="{FF2B5EF4-FFF2-40B4-BE49-F238E27FC236}">
              <a16:creationId xmlns:a16="http://schemas.microsoft.com/office/drawing/2014/main" id="{00000000-0008-0000-3200-0000D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00000000-0008-0000-3200-0000D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8" name="Conector recto 217">
          <a:extLst>
            <a:ext uri="{FF2B5EF4-FFF2-40B4-BE49-F238E27FC236}">
              <a16:creationId xmlns:a16="http://schemas.microsoft.com/office/drawing/2014/main" id="{00000000-0008-0000-3200-0000D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00000000-0008-0000-3200-0000D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0" name="Conector recto 219">
          <a:extLst>
            <a:ext uri="{FF2B5EF4-FFF2-40B4-BE49-F238E27FC236}">
              <a16:creationId xmlns:a16="http://schemas.microsoft.com/office/drawing/2014/main" id="{00000000-0008-0000-3200-0000D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3200-0000D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3200-0000D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3200-0000D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3200-0000E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3200-0000E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3200-0000E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0000000-0008-0000-3200-0000E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00000000-0008-0000-3200-0000E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3200-0000E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00000000-0008-0000-3200-0000E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00000000-0008-0000-3200-0000E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00000000-0008-0000-3200-0000E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00000000-0008-0000-3200-0000E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00000000-0008-0000-3200-0000E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3200-0000E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3200-0000E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00000000-0008-0000-3200-0000E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8" name="Conector recto 237">
          <a:extLst>
            <a:ext uri="{FF2B5EF4-FFF2-40B4-BE49-F238E27FC236}">
              <a16:creationId xmlns:a16="http://schemas.microsoft.com/office/drawing/2014/main" id="{00000000-0008-0000-3200-0000E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00000000-0008-0000-3200-0000E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00000000-0008-0000-3200-0000F0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00000000-0008-0000-3200-0000F1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00000000-0008-0000-3200-0000F2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00000000-0008-0000-3200-0000F3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00000000-0008-0000-3200-0000F4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00000000-0008-0000-3200-0000F5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00000000-0008-0000-3200-0000F6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00000000-0008-0000-3200-0000F7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00000000-0008-0000-3200-0000F8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00000000-0008-0000-3200-0000F9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00000000-0008-0000-3200-0000FA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00000000-0008-0000-3200-0000FB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00000000-0008-0000-3200-0000FC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00000000-0008-0000-3200-0000FD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00000000-0008-0000-3200-0000FE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0000000-0008-0000-3200-0000FF00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00000000-0008-0000-3200-000000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00000000-0008-0000-3200-000001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8" name="Conector recto 257">
          <a:extLst>
            <a:ext uri="{FF2B5EF4-FFF2-40B4-BE49-F238E27FC236}">
              <a16:creationId xmlns:a16="http://schemas.microsoft.com/office/drawing/2014/main" id="{00000000-0008-0000-3200-000002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00000000-0008-0000-3200-000003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0" name="Conector recto 259">
          <a:extLst>
            <a:ext uri="{FF2B5EF4-FFF2-40B4-BE49-F238E27FC236}">
              <a16:creationId xmlns:a16="http://schemas.microsoft.com/office/drawing/2014/main" id="{00000000-0008-0000-3200-000004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00000000-0008-0000-3200-000005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2" name="Conector recto 261">
          <a:extLst>
            <a:ext uri="{FF2B5EF4-FFF2-40B4-BE49-F238E27FC236}">
              <a16:creationId xmlns:a16="http://schemas.microsoft.com/office/drawing/2014/main" id="{00000000-0008-0000-3200-000006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00000000-0008-0000-3200-000007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00000000-0008-0000-3200-000008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00000000-0008-0000-3200-000009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00000000-0008-0000-3200-00000A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00000000-0008-0000-3200-00000B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00000000-0008-0000-3200-00000C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00000000-0008-0000-3200-00000D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00000000-0008-0000-3200-00000E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00000000-0008-0000-3200-00000F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00000000-0008-0000-3200-000010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00000000-0008-0000-3200-000011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00000000-0008-0000-3200-000012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00000000-0008-0000-3200-000013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6" name="Conector recto 275">
          <a:extLst>
            <a:ext uri="{FF2B5EF4-FFF2-40B4-BE49-F238E27FC236}">
              <a16:creationId xmlns:a16="http://schemas.microsoft.com/office/drawing/2014/main" id="{00000000-0008-0000-3200-000014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00000000-0008-0000-3200-000015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8" name="Conector recto 277">
          <a:extLst>
            <a:ext uri="{FF2B5EF4-FFF2-40B4-BE49-F238E27FC236}">
              <a16:creationId xmlns:a16="http://schemas.microsoft.com/office/drawing/2014/main" id="{00000000-0008-0000-3200-000016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00000000-0008-0000-3200-000017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0000000-0008-0000-3200-000018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00000000-0008-0000-3200-000019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00000000-0008-0000-3200-00001A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00000000-0008-0000-3200-00001B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00000000-0008-0000-3200-00001C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00000000-0008-0000-3200-00001D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50</xdr:row>
      <xdr:rowOff>0</xdr:rowOff>
    </xdr:from>
    <xdr:to>
      <xdr:col>38</xdr:col>
      <xdr:colOff>413657</xdr:colOff>
      <xdr:row>50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00000000-0008-0000-3200-00001E010000}"/>
            </a:ext>
          </a:extLst>
        </xdr:cNvPr>
        <xdr:cNvCxnSpPr/>
      </xdr:nvCxnSpPr>
      <xdr:spPr>
        <a:xfrm>
          <a:off x="11115676" y="111061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35</xdr:col>
      <xdr:colOff>349250</xdr:colOff>
      <xdr:row>44</xdr:row>
      <xdr:rowOff>158750</xdr:rowOff>
    </xdr:from>
    <xdr:to>
      <xdr:col>36</xdr:col>
      <xdr:colOff>732518</xdr:colOff>
      <xdr:row>53</xdr:row>
      <xdr:rowOff>63895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32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69875" y="10074275"/>
          <a:ext cx="1221468" cy="1581545"/>
        </a:xfrm>
        <a:prstGeom prst="rect">
          <a:avLst/>
        </a:prstGeom>
      </xdr:spPr>
    </xdr:pic>
    <xdr:clientData/>
  </xdr:twoCellAnchor>
  <xdr:twoCellAnchor editAs="oneCell">
    <xdr:from>
      <xdr:col>1</xdr:col>
      <xdr:colOff>36071</xdr:colOff>
      <xdr:row>13</xdr:row>
      <xdr:rowOff>111124</xdr:rowOff>
    </xdr:from>
    <xdr:to>
      <xdr:col>31</xdr:col>
      <xdr:colOff>460377</xdr:colOff>
      <xdr:row>38</xdr:row>
      <xdr:rowOff>125570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00000000-0008-0000-3200-00002C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5126" t="33523" r="861"/>
        <a:stretch/>
      </xdr:blipFill>
      <xdr:spPr>
        <a:xfrm>
          <a:off x="290071" y="3889374"/>
          <a:ext cx="8488806" cy="5110321"/>
        </a:xfrm>
        <a:prstGeom prst="rect">
          <a:avLst/>
        </a:prstGeom>
      </xdr:spPr>
    </xdr:pic>
    <xdr:clientData/>
  </xdr:twoCellAnchor>
  <xdr:twoCellAnchor>
    <xdr:from>
      <xdr:col>7</xdr:col>
      <xdr:colOff>142874</xdr:colOff>
      <xdr:row>14</xdr:row>
      <xdr:rowOff>174624</xdr:rowOff>
    </xdr:from>
    <xdr:to>
      <xdr:col>17</xdr:col>
      <xdr:colOff>47625</xdr:colOff>
      <xdr:row>18</xdr:row>
      <xdr:rowOff>158749</xdr:rowOff>
    </xdr:to>
    <xdr:sp macro="" textlink="">
      <xdr:nvSpPr>
        <xdr:cNvPr id="301" name="Rectángulo 300">
          <a:extLst>
            <a:ext uri="{FF2B5EF4-FFF2-40B4-BE49-F238E27FC236}">
              <a16:creationId xmlns:a16="http://schemas.microsoft.com/office/drawing/2014/main" id="{00000000-0008-0000-3200-00002D010000}"/>
            </a:ext>
          </a:extLst>
        </xdr:cNvPr>
        <xdr:cNvSpPr/>
      </xdr:nvSpPr>
      <xdr:spPr>
        <a:xfrm>
          <a:off x="1920874" y="4159249"/>
          <a:ext cx="2444751" cy="80962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71</xdr:row>
      <xdr:rowOff>169622</xdr:rowOff>
    </xdr:from>
    <xdr:to>
      <xdr:col>0</xdr:col>
      <xdr:colOff>51435</xdr:colOff>
      <xdr:row>72</xdr:row>
      <xdr:rowOff>99139</xdr:rowOff>
    </xdr:to>
    <xdr:sp macro="" textlink="">
      <xdr:nvSpPr>
        <xdr:cNvPr id="2" name="15 Proces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SpPr/>
      </xdr:nvSpPr>
      <xdr:spPr>
        <a:xfrm rot="5400000">
          <a:off x="-24766" y="14834313"/>
          <a:ext cx="100967" cy="51435"/>
        </a:xfrm>
        <a:prstGeom prst="flowChart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238125</xdr:colOff>
      <xdr:row>46</xdr:row>
      <xdr:rowOff>238125</xdr:rowOff>
    </xdr:from>
    <xdr:to>
      <xdr:col>17</xdr:col>
      <xdr:colOff>238125</xdr:colOff>
      <xdr:row>55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238125</xdr:colOff>
      <xdr:row>46</xdr:row>
      <xdr:rowOff>238125</xdr:rowOff>
    </xdr:from>
    <xdr:to>
      <xdr:col>17</xdr:col>
      <xdr:colOff>238125</xdr:colOff>
      <xdr:row>57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SpPr>
          <a:spLocks noChangeShapeType="1"/>
        </xdr:cNvSpPr>
      </xdr:nvSpPr>
      <xdr:spPr bwMode="auto">
        <a:xfrm>
          <a:off x="4448175" y="10591800"/>
          <a:ext cx="0" cy="179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3300-00000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3300-00000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3300-00000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300-00000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3300-00000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3300-00000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3300-00000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3300-00001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3300-00001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3300-00001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3300-00001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3300-00001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3300-00001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3300-00001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3300-00001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3300-00001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3300-00001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3300-00001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00000000-0008-0000-3300-00001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3300-00001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3300-00001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3300-00002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3300-00002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3300-00002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3300-00002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3300-00002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00000000-0008-0000-3300-00002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3300-00002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3300-00002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3300-00002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00000000-0008-0000-3300-00002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3300-00002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3300-00002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3300-00002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3300-00002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3300-00002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3300-00003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3300-00003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3300-00003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3300-00003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00000000-0008-0000-3300-00003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3300-00003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3300-00003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3300-00003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3300-00003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0000000-0008-0000-3300-00003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3300-00003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3300-00003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3300-00003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3300-00003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3300-00003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3300-00003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3300-00004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3300-00004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00000000-0008-0000-3300-00004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3300-00004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00000000-0008-0000-3300-00004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3300-00004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3300-00004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3300-00004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3300-00004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3300-00004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00000000-0008-0000-3300-00004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3300-00004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00000000-0008-0000-3300-00004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3300-00004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3300-00004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00000000-0008-0000-3300-00004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3300-00005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00000000-0008-0000-3300-00005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00000000-0008-0000-3300-00005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3300-000053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4" name="Conector recto 83">
          <a:extLst>
            <a:ext uri="{FF2B5EF4-FFF2-40B4-BE49-F238E27FC236}">
              <a16:creationId xmlns:a16="http://schemas.microsoft.com/office/drawing/2014/main" id="{00000000-0008-0000-3300-000054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00000000-0008-0000-3300-000055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6" name="Conector recto 85">
          <a:extLst>
            <a:ext uri="{FF2B5EF4-FFF2-40B4-BE49-F238E27FC236}">
              <a16:creationId xmlns:a16="http://schemas.microsoft.com/office/drawing/2014/main" id="{00000000-0008-0000-3300-000056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00000000-0008-0000-3300-000057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3300-000058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3300-000059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3300-00005A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00000000-0008-0000-3300-00005B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00000000-0008-0000-3300-00005C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3300-00005D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0000000-0008-0000-3300-00005E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3300-00005F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3300-000060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3300-000061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3300-000062000000}"/>
            </a:ext>
          </a:extLst>
        </xdr:cNvPr>
        <xdr:cNvCxnSpPr/>
      </xdr:nvCxnSpPr>
      <xdr:spPr>
        <a:xfrm>
          <a:off x="11115676" y="11725275"/>
          <a:ext cx="4233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00000000-0008-0000-3300-00002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0" name="Conector recto 289">
          <a:extLst>
            <a:ext uri="{FF2B5EF4-FFF2-40B4-BE49-F238E27FC236}">
              <a16:creationId xmlns:a16="http://schemas.microsoft.com/office/drawing/2014/main" id="{00000000-0008-0000-3300-00002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00000000-0008-0000-3300-00002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2" name="Conector recto 291">
          <a:extLst>
            <a:ext uri="{FF2B5EF4-FFF2-40B4-BE49-F238E27FC236}">
              <a16:creationId xmlns:a16="http://schemas.microsoft.com/office/drawing/2014/main" id="{00000000-0008-0000-3300-00002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3" name="Conector recto 292">
          <a:extLst>
            <a:ext uri="{FF2B5EF4-FFF2-40B4-BE49-F238E27FC236}">
              <a16:creationId xmlns:a16="http://schemas.microsoft.com/office/drawing/2014/main" id="{00000000-0008-0000-3300-00002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4" name="Conector recto 293">
          <a:extLst>
            <a:ext uri="{FF2B5EF4-FFF2-40B4-BE49-F238E27FC236}">
              <a16:creationId xmlns:a16="http://schemas.microsoft.com/office/drawing/2014/main" id="{00000000-0008-0000-3300-00002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5" name="Conector recto 294">
          <a:extLst>
            <a:ext uri="{FF2B5EF4-FFF2-40B4-BE49-F238E27FC236}">
              <a16:creationId xmlns:a16="http://schemas.microsoft.com/office/drawing/2014/main" id="{00000000-0008-0000-3300-00002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6" name="Conector recto 295">
          <a:extLst>
            <a:ext uri="{FF2B5EF4-FFF2-40B4-BE49-F238E27FC236}">
              <a16:creationId xmlns:a16="http://schemas.microsoft.com/office/drawing/2014/main" id="{00000000-0008-0000-3300-00002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7" name="Conector recto 296">
          <a:extLst>
            <a:ext uri="{FF2B5EF4-FFF2-40B4-BE49-F238E27FC236}">
              <a16:creationId xmlns:a16="http://schemas.microsoft.com/office/drawing/2014/main" id="{00000000-0008-0000-3300-00002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8" name="Conector recto 297">
          <a:extLst>
            <a:ext uri="{FF2B5EF4-FFF2-40B4-BE49-F238E27FC236}">
              <a16:creationId xmlns:a16="http://schemas.microsoft.com/office/drawing/2014/main" id="{00000000-0008-0000-3300-00002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299" name="Conector recto 298">
          <a:extLst>
            <a:ext uri="{FF2B5EF4-FFF2-40B4-BE49-F238E27FC236}">
              <a16:creationId xmlns:a16="http://schemas.microsoft.com/office/drawing/2014/main" id="{00000000-0008-0000-3300-00002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0" name="Conector recto 299">
          <a:extLst>
            <a:ext uri="{FF2B5EF4-FFF2-40B4-BE49-F238E27FC236}">
              <a16:creationId xmlns:a16="http://schemas.microsoft.com/office/drawing/2014/main" id="{00000000-0008-0000-3300-00002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1" name="Conector recto 300">
          <a:extLst>
            <a:ext uri="{FF2B5EF4-FFF2-40B4-BE49-F238E27FC236}">
              <a16:creationId xmlns:a16="http://schemas.microsoft.com/office/drawing/2014/main" id="{00000000-0008-0000-3300-00002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2" name="Conector recto 301">
          <a:extLst>
            <a:ext uri="{FF2B5EF4-FFF2-40B4-BE49-F238E27FC236}">
              <a16:creationId xmlns:a16="http://schemas.microsoft.com/office/drawing/2014/main" id="{00000000-0008-0000-3300-00002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3" name="Conector recto 302">
          <a:extLst>
            <a:ext uri="{FF2B5EF4-FFF2-40B4-BE49-F238E27FC236}">
              <a16:creationId xmlns:a16="http://schemas.microsoft.com/office/drawing/2014/main" id="{00000000-0008-0000-3300-00002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4" name="Conector recto 303">
          <a:extLst>
            <a:ext uri="{FF2B5EF4-FFF2-40B4-BE49-F238E27FC236}">
              <a16:creationId xmlns:a16="http://schemas.microsoft.com/office/drawing/2014/main" id="{00000000-0008-0000-3300-00003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5" name="Conector recto 304">
          <a:extLst>
            <a:ext uri="{FF2B5EF4-FFF2-40B4-BE49-F238E27FC236}">
              <a16:creationId xmlns:a16="http://schemas.microsoft.com/office/drawing/2014/main" id="{00000000-0008-0000-3300-00003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6" name="Conector recto 305">
          <a:extLst>
            <a:ext uri="{FF2B5EF4-FFF2-40B4-BE49-F238E27FC236}">
              <a16:creationId xmlns:a16="http://schemas.microsoft.com/office/drawing/2014/main" id="{00000000-0008-0000-3300-00003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7" name="Conector recto 306">
          <a:extLst>
            <a:ext uri="{FF2B5EF4-FFF2-40B4-BE49-F238E27FC236}">
              <a16:creationId xmlns:a16="http://schemas.microsoft.com/office/drawing/2014/main" id="{00000000-0008-0000-3300-00003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8" name="Conector recto 307">
          <a:extLst>
            <a:ext uri="{FF2B5EF4-FFF2-40B4-BE49-F238E27FC236}">
              <a16:creationId xmlns:a16="http://schemas.microsoft.com/office/drawing/2014/main" id="{00000000-0008-0000-3300-00003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09" name="Conector recto 308">
          <a:extLst>
            <a:ext uri="{FF2B5EF4-FFF2-40B4-BE49-F238E27FC236}">
              <a16:creationId xmlns:a16="http://schemas.microsoft.com/office/drawing/2014/main" id="{00000000-0008-0000-3300-00003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0" name="Conector recto 309">
          <a:extLst>
            <a:ext uri="{FF2B5EF4-FFF2-40B4-BE49-F238E27FC236}">
              <a16:creationId xmlns:a16="http://schemas.microsoft.com/office/drawing/2014/main" id="{00000000-0008-0000-3300-00003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1" name="Conector recto 310">
          <a:extLst>
            <a:ext uri="{FF2B5EF4-FFF2-40B4-BE49-F238E27FC236}">
              <a16:creationId xmlns:a16="http://schemas.microsoft.com/office/drawing/2014/main" id="{00000000-0008-0000-3300-00003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2" name="Conector recto 311">
          <a:extLst>
            <a:ext uri="{FF2B5EF4-FFF2-40B4-BE49-F238E27FC236}">
              <a16:creationId xmlns:a16="http://schemas.microsoft.com/office/drawing/2014/main" id="{00000000-0008-0000-3300-00003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3" name="Conector recto 312">
          <a:extLst>
            <a:ext uri="{FF2B5EF4-FFF2-40B4-BE49-F238E27FC236}">
              <a16:creationId xmlns:a16="http://schemas.microsoft.com/office/drawing/2014/main" id="{00000000-0008-0000-3300-00003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4" name="Conector recto 313">
          <a:extLst>
            <a:ext uri="{FF2B5EF4-FFF2-40B4-BE49-F238E27FC236}">
              <a16:creationId xmlns:a16="http://schemas.microsoft.com/office/drawing/2014/main" id="{00000000-0008-0000-3300-00003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5" name="Conector recto 314">
          <a:extLst>
            <a:ext uri="{FF2B5EF4-FFF2-40B4-BE49-F238E27FC236}">
              <a16:creationId xmlns:a16="http://schemas.microsoft.com/office/drawing/2014/main" id="{00000000-0008-0000-3300-00003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6" name="Conector recto 315">
          <a:extLst>
            <a:ext uri="{FF2B5EF4-FFF2-40B4-BE49-F238E27FC236}">
              <a16:creationId xmlns:a16="http://schemas.microsoft.com/office/drawing/2014/main" id="{00000000-0008-0000-3300-00003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7" name="Conector recto 316">
          <a:extLst>
            <a:ext uri="{FF2B5EF4-FFF2-40B4-BE49-F238E27FC236}">
              <a16:creationId xmlns:a16="http://schemas.microsoft.com/office/drawing/2014/main" id="{00000000-0008-0000-3300-00003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8" name="Conector recto 317">
          <a:extLst>
            <a:ext uri="{FF2B5EF4-FFF2-40B4-BE49-F238E27FC236}">
              <a16:creationId xmlns:a16="http://schemas.microsoft.com/office/drawing/2014/main" id="{00000000-0008-0000-3300-00003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19" name="Conector recto 318">
          <a:extLst>
            <a:ext uri="{FF2B5EF4-FFF2-40B4-BE49-F238E27FC236}">
              <a16:creationId xmlns:a16="http://schemas.microsoft.com/office/drawing/2014/main" id="{00000000-0008-0000-3300-00003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0" name="Conector recto 319">
          <a:extLst>
            <a:ext uri="{FF2B5EF4-FFF2-40B4-BE49-F238E27FC236}">
              <a16:creationId xmlns:a16="http://schemas.microsoft.com/office/drawing/2014/main" id="{00000000-0008-0000-3300-00004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1" name="Conector recto 320">
          <a:extLst>
            <a:ext uri="{FF2B5EF4-FFF2-40B4-BE49-F238E27FC236}">
              <a16:creationId xmlns:a16="http://schemas.microsoft.com/office/drawing/2014/main" id="{00000000-0008-0000-3300-00004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2" name="Conector recto 321">
          <a:extLst>
            <a:ext uri="{FF2B5EF4-FFF2-40B4-BE49-F238E27FC236}">
              <a16:creationId xmlns:a16="http://schemas.microsoft.com/office/drawing/2014/main" id="{00000000-0008-0000-3300-00004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3" name="Conector recto 322">
          <a:extLst>
            <a:ext uri="{FF2B5EF4-FFF2-40B4-BE49-F238E27FC236}">
              <a16:creationId xmlns:a16="http://schemas.microsoft.com/office/drawing/2014/main" id="{00000000-0008-0000-3300-00004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4" name="Conector recto 323">
          <a:extLst>
            <a:ext uri="{FF2B5EF4-FFF2-40B4-BE49-F238E27FC236}">
              <a16:creationId xmlns:a16="http://schemas.microsoft.com/office/drawing/2014/main" id="{00000000-0008-0000-3300-00004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5" name="Conector recto 324">
          <a:extLst>
            <a:ext uri="{FF2B5EF4-FFF2-40B4-BE49-F238E27FC236}">
              <a16:creationId xmlns:a16="http://schemas.microsoft.com/office/drawing/2014/main" id="{00000000-0008-0000-3300-00004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6" name="Conector recto 325">
          <a:extLst>
            <a:ext uri="{FF2B5EF4-FFF2-40B4-BE49-F238E27FC236}">
              <a16:creationId xmlns:a16="http://schemas.microsoft.com/office/drawing/2014/main" id="{00000000-0008-0000-3300-00004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7" name="Conector recto 326">
          <a:extLst>
            <a:ext uri="{FF2B5EF4-FFF2-40B4-BE49-F238E27FC236}">
              <a16:creationId xmlns:a16="http://schemas.microsoft.com/office/drawing/2014/main" id="{00000000-0008-0000-3300-00004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8" name="Conector recto 327">
          <a:extLst>
            <a:ext uri="{FF2B5EF4-FFF2-40B4-BE49-F238E27FC236}">
              <a16:creationId xmlns:a16="http://schemas.microsoft.com/office/drawing/2014/main" id="{00000000-0008-0000-3300-00004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29" name="Conector recto 328">
          <a:extLst>
            <a:ext uri="{FF2B5EF4-FFF2-40B4-BE49-F238E27FC236}">
              <a16:creationId xmlns:a16="http://schemas.microsoft.com/office/drawing/2014/main" id="{00000000-0008-0000-3300-00004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0" name="Conector recto 329">
          <a:extLst>
            <a:ext uri="{FF2B5EF4-FFF2-40B4-BE49-F238E27FC236}">
              <a16:creationId xmlns:a16="http://schemas.microsoft.com/office/drawing/2014/main" id="{00000000-0008-0000-3300-00004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1" name="Conector recto 330">
          <a:extLst>
            <a:ext uri="{FF2B5EF4-FFF2-40B4-BE49-F238E27FC236}">
              <a16:creationId xmlns:a16="http://schemas.microsoft.com/office/drawing/2014/main" id="{00000000-0008-0000-3300-00004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2" name="Conector recto 331">
          <a:extLst>
            <a:ext uri="{FF2B5EF4-FFF2-40B4-BE49-F238E27FC236}">
              <a16:creationId xmlns:a16="http://schemas.microsoft.com/office/drawing/2014/main" id="{00000000-0008-0000-3300-00004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3" name="Conector recto 332">
          <a:extLst>
            <a:ext uri="{FF2B5EF4-FFF2-40B4-BE49-F238E27FC236}">
              <a16:creationId xmlns:a16="http://schemas.microsoft.com/office/drawing/2014/main" id="{00000000-0008-0000-3300-00004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4" name="Conector recto 333">
          <a:extLst>
            <a:ext uri="{FF2B5EF4-FFF2-40B4-BE49-F238E27FC236}">
              <a16:creationId xmlns:a16="http://schemas.microsoft.com/office/drawing/2014/main" id="{00000000-0008-0000-3300-00004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5" name="Conector recto 334">
          <a:extLst>
            <a:ext uri="{FF2B5EF4-FFF2-40B4-BE49-F238E27FC236}">
              <a16:creationId xmlns:a16="http://schemas.microsoft.com/office/drawing/2014/main" id="{00000000-0008-0000-3300-00004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6" name="Conector recto 335">
          <a:extLst>
            <a:ext uri="{FF2B5EF4-FFF2-40B4-BE49-F238E27FC236}">
              <a16:creationId xmlns:a16="http://schemas.microsoft.com/office/drawing/2014/main" id="{00000000-0008-0000-3300-00005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7" name="Conector recto 336">
          <a:extLst>
            <a:ext uri="{FF2B5EF4-FFF2-40B4-BE49-F238E27FC236}">
              <a16:creationId xmlns:a16="http://schemas.microsoft.com/office/drawing/2014/main" id="{00000000-0008-0000-3300-00005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8" name="Conector recto 337">
          <a:extLst>
            <a:ext uri="{FF2B5EF4-FFF2-40B4-BE49-F238E27FC236}">
              <a16:creationId xmlns:a16="http://schemas.microsoft.com/office/drawing/2014/main" id="{00000000-0008-0000-3300-00005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39" name="Conector recto 338">
          <a:extLst>
            <a:ext uri="{FF2B5EF4-FFF2-40B4-BE49-F238E27FC236}">
              <a16:creationId xmlns:a16="http://schemas.microsoft.com/office/drawing/2014/main" id="{00000000-0008-0000-3300-00005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0" name="Conector recto 339">
          <a:extLst>
            <a:ext uri="{FF2B5EF4-FFF2-40B4-BE49-F238E27FC236}">
              <a16:creationId xmlns:a16="http://schemas.microsoft.com/office/drawing/2014/main" id="{00000000-0008-0000-3300-00005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1" name="Conector recto 340">
          <a:extLst>
            <a:ext uri="{FF2B5EF4-FFF2-40B4-BE49-F238E27FC236}">
              <a16:creationId xmlns:a16="http://schemas.microsoft.com/office/drawing/2014/main" id="{00000000-0008-0000-3300-00005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2" name="Conector recto 341">
          <a:extLst>
            <a:ext uri="{FF2B5EF4-FFF2-40B4-BE49-F238E27FC236}">
              <a16:creationId xmlns:a16="http://schemas.microsoft.com/office/drawing/2014/main" id="{00000000-0008-0000-3300-00005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3" name="Conector recto 342">
          <a:extLst>
            <a:ext uri="{FF2B5EF4-FFF2-40B4-BE49-F238E27FC236}">
              <a16:creationId xmlns:a16="http://schemas.microsoft.com/office/drawing/2014/main" id="{00000000-0008-0000-3300-00005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4" name="Conector recto 343">
          <a:extLst>
            <a:ext uri="{FF2B5EF4-FFF2-40B4-BE49-F238E27FC236}">
              <a16:creationId xmlns:a16="http://schemas.microsoft.com/office/drawing/2014/main" id="{00000000-0008-0000-3300-00005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5" name="Conector recto 344">
          <a:extLst>
            <a:ext uri="{FF2B5EF4-FFF2-40B4-BE49-F238E27FC236}">
              <a16:creationId xmlns:a16="http://schemas.microsoft.com/office/drawing/2014/main" id="{00000000-0008-0000-3300-00005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6" name="Conector recto 345">
          <a:extLst>
            <a:ext uri="{FF2B5EF4-FFF2-40B4-BE49-F238E27FC236}">
              <a16:creationId xmlns:a16="http://schemas.microsoft.com/office/drawing/2014/main" id="{00000000-0008-0000-3300-00005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7" name="Conector recto 346">
          <a:extLst>
            <a:ext uri="{FF2B5EF4-FFF2-40B4-BE49-F238E27FC236}">
              <a16:creationId xmlns:a16="http://schemas.microsoft.com/office/drawing/2014/main" id="{00000000-0008-0000-3300-00005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8" name="Conector recto 347">
          <a:extLst>
            <a:ext uri="{FF2B5EF4-FFF2-40B4-BE49-F238E27FC236}">
              <a16:creationId xmlns:a16="http://schemas.microsoft.com/office/drawing/2014/main" id="{00000000-0008-0000-3300-00005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49" name="Conector recto 348">
          <a:extLst>
            <a:ext uri="{FF2B5EF4-FFF2-40B4-BE49-F238E27FC236}">
              <a16:creationId xmlns:a16="http://schemas.microsoft.com/office/drawing/2014/main" id="{00000000-0008-0000-3300-00005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0" name="Conector recto 349">
          <a:extLst>
            <a:ext uri="{FF2B5EF4-FFF2-40B4-BE49-F238E27FC236}">
              <a16:creationId xmlns:a16="http://schemas.microsoft.com/office/drawing/2014/main" id="{00000000-0008-0000-3300-00005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1" name="Conector recto 350">
          <a:extLst>
            <a:ext uri="{FF2B5EF4-FFF2-40B4-BE49-F238E27FC236}">
              <a16:creationId xmlns:a16="http://schemas.microsoft.com/office/drawing/2014/main" id="{00000000-0008-0000-3300-00005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2" name="Conector recto 351">
          <a:extLst>
            <a:ext uri="{FF2B5EF4-FFF2-40B4-BE49-F238E27FC236}">
              <a16:creationId xmlns:a16="http://schemas.microsoft.com/office/drawing/2014/main" id="{00000000-0008-0000-3300-00006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3" name="Conector recto 352">
          <a:extLst>
            <a:ext uri="{FF2B5EF4-FFF2-40B4-BE49-F238E27FC236}">
              <a16:creationId xmlns:a16="http://schemas.microsoft.com/office/drawing/2014/main" id="{00000000-0008-0000-3300-00006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4" name="Conector recto 353">
          <a:extLst>
            <a:ext uri="{FF2B5EF4-FFF2-40B4-BE49-F238E27FC236}">
              <a16:creationId xmlns:a16="http://schemas.microsoft.com/office/drawing/2014/main" id="{00000000-0008-0000-3300-00006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5" name="Conector recto 354">
          <a:extLst>
            <a:ext uri="{FF2B5EF4-FFF2-40B4-BE49-F238E27FC236}">
              <a16:creationId xmlns:a16="http://schemas.microsoft.com/office/drawing/2014/main" id="{00000000-0008-0000-3300-00006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6" name="Conector recto 355">
          <a:extLst>
            <a:ext uri="{FF2B5EF4-FFF2-40B4-BE49-F238E27FC236}">
              <a16:creationId xmlns:a16="http://schemas.microsoft.com/office/drawing/2014/main" id="{00000000-0008-0000-3300-00006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7" name="Conector recto 356">
          <a:extLst>
            <a:ext uri="{FF2B5EF4-FFF2-40B4-BE49-F238E27FC236}">
              <a16:creationId xmlns:a16="http://schemas.microsoft.com/office/drawing/2014/main" id="{00000000-0008-0000-3300-00006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8" name="Conector recto 357">
          <a:extLst>
            <a:ext uri="{FF2B5EF4-FFF2-40B4-BE49-F238E27FC236}">
              <a16:creationId xmlns:a16="http://schemas.microsoft.com/office/drawing/2014/main" id="{00000000-0008-0000-3300-00006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59" name="Conector recto 358">
          <a:extLst>
            <a:ext uri="{FF2B5EF4-FFF2-40B4-BE49-F238E27FC236}">
              <a16:creationId xmlns:a16="http://schemas.microsoft.com/office/drawing/2014/main" id="{00000000-0008-0000-3300-00006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0" name="Conector recto 359">
          <a:extLst>
            <a:ext uri="{FF2B5EF4-FFF2-40B4-BE49-F238E27FC236}">
              <a16:creationId xmlns:a16="http://schemas.microsoft.com/office/drawing/2014/main" id="{00000000-0008-0000-3300-00006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1" name="Conector recto 360">
          <a:extLst>
            <a:ext uri="{FF2B5EF4-FFF2-40B4-BE49-F238E27FC236}">
              <a16:creationId xmlns:a16="http://schemas.microsoft.com/office/drawing/2014/main" id="{00000000-0008-0000-3300-00006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2" name="Conector recto 361">
          <a:extLst>
            <a:ext uri="{FF2B5EF4-FFF2-40B4-BE49-F238E27FC236}">
              <a16:creationId xmlns:a16="http://schemas.microsoft.com/office/drawing/2014/main" id="{00000000-0008-0000-3300-00006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3" name="Conector recto 362">
          <a:extLst>
            <a:ext uri="{FF2B5EF4-FFF2-40B4-BE49-F238E27FC236}">
              <a16:creationId xmlns:a16="http://schemas.microsoft.com/office/drawing/2014/main" id="{00000000-0008-0000-3300-00006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4" name="Conector recto 363">
          <a:extLst>
            <a:ext uri="{FF2B5EF4-FFF2-40B4-BE49-F238E27FC236}">
              <a16:creationId xmlns:a16="http://schemas.microsoft.com/office/drawing/2014/main" id="{00000000-0008-0000-3300-00006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5" name="Conector recto 364">
          <a:extLst>
            <a:ext uri="{FF2B5EF4-FFF2-40B4-BE49-F238E27FC236}">
              <a16:creationId xmlns:a16="http://schemas.microsoft.com/office/drawing/2014/main" id="{00000000-0008-0000-3300-00006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6" name="Conector recto 365">
          <a:extLst>
            <a:ext uri="{FF2B5EF4-FFF2-40B4-BE49-F238E27FC236}">
              <a16:creationId xmlns:a16="http://schemas.microsoft.com/office/drawing/2014/main" id="{00000000-0008-0000-3300-00006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7" name="Conector recto 366">
          <a:extLst>
            <a:ext uri="{FF2B5EF4-FFF2-40B4-BE49-F238E27FC236}">
              <a16:creationId xmlns:a16="http://schemas.microsoft.com/office/drawing/2014/main" id="{00000000-0008-0000-3300-00006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8" name="Conector recto 367">
          <a:extLst>
            <a:ext uri="{FF2B5EF4-FFF2-40B4-BE49-F238E27FC236}">
              <a16:creationId xmlns:a16="http://schemas.microsoft.com/office/drawing/2014/main" id="{00000000-0008-0000-3300-00007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69" name="Conector recto 368">
          <a:extLst>
            <a:ext uri="{FF2B5EF4-FFF2-40B4-BE49-F238E27FC236}">
              <a16:creationId xmlns:a16="http://schemas.microsoft.com/office/drawing/2014/main" id="{00000000-0008-0000-3300-00007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0" name="Conector recto 369">
          <a:extLst>
            <a:ext uri="{FF2B5EF4-FFF2-40B4-BE49-F238E27FC236}">
              <a16:creationId xmlns:a16="http://schemas.microsoft.com/office/drawing/2014/main" id="{00000000-0008-0000-3300-00007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1" name="Conector recto 370">
          <a:extLst>
            <a:ext uri="{FF2B5EF4-FFF2-40B4-BE49-F238E27FC236}">
              <a16:creationId xmlns:a16="http://schemas.microsoft.com/office/drawing/2014/main" id="{00000000-0008-0000-3300-00007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2" name="Conector recto 371">
          <a:extLst>
            <a:ext uri="{FF2B5EF4-FFF2-40B4-BE49-F238E27FC236}">
              <a16:creationId xmlns:a16="http://schemas.microsoft.com/office/drawing/2014/main" id="{00000000-0008-0000-3300-00007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3" name="Conector recto 372">
          <a:extLst>
            <a:ext uri="{FF2B5EF4-FFF2-40B4-BE49-F238E27FC236}">
              <a16:creationId xmlns:a16="http://schemas.microsoft.com/office/drawing/2014/main" id="{00000000-0008-0000-3300-00007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4" name="Conector recto 373">
          <a:extLst>
            <a:ext uri="{FF2B5EF4-FFF2-40B4-BE49-F238E27FC236}">
              <a16:creationId xmlns:a16="http://schemas.microsoft.com/office/drawing/2014/main" id="{00000000-0008-0000-3300-00007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5" name="Conector recto 374">
          <a:extLst>
            <a:ext uri="{FF2B5EF4-FFF2-40B4-BE49-F238E27FC236}">
              <a16:creationId xmlns:a16="http://schemas.microsoft.com/office/drawing/2014/main" id="{00000000-0008-0000-3300-00007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6" name="Conector recto 375">
          <a:extLst>
            <a:ext uri="{FF2B5EF4-FFF2-40B4-BE49-F238E27FC236}">
              <a16:creationId xmlns:a16="http://schemas.microsoft.com/office/drawing/2014/main" id="{00000000-0008-0000-3300-00007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7" name="Conector recto 376">
          <a:extLst>
            <a:ext uri="{FF2B5EF4-FFF2-40B4-BE49-F238E27FC236}">
              <a16:creationId xmlns:a16="http://schemas.microsoft.com/office/drawing/2014/main" id="{00000000-0008-0000-3300-00007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8" name="Conector recto 377">
          <a:extLst>
            <a:ext uri="{FF2B5EF4-FFF2-40B4-BE49-F238E27FC236}">
              <a16:creationId xmlns:a16="http://schemas.microsoft.com/office/drawing/2014/main" id="{00000000-0008-0000-3300-00007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79" name="Conector recto 378">
          <a:extLst>
            <a:ext uri="{FF2B5EF4-FFF2-40B4-BE49-F238E27FC236}">
              <a16:creationId xmlns:a16="http://schemas.microsoft.com/office/drawing/2014/main" id="{00000000-0008-0000-3300-00007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0" name="Conector recto 379">
          <a:extLst>
            <a:ext uri="{FF2B5EF4-FFF2-40B4-BE49-F238E27FC236}">
              <a16:creationId xmlns:a16="http://schemas.microsoft.com/office/drawing/2014/main" id="{00000000-0008-0000-3300-00007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1" name="Conector recto 380">
          <a:extLst>
            <a:ext uri="{FF2B5EF4-FFF2-40B4-BE49-F238E27FC236}">
              <a16:creationId xmlns:a16="http://schemas.microsoft.com/office/drawing/2014/main" id="{00000000-0008-0000-3300-00007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2" name="Conector recto 381">
          <a:extLst>
            <a:ext uri="{FF2B5EF4-FFF2-40B4-BE49-F238E27FC236}">
              <a16:creationId xmlns:a16="http://schemas.microsoft.com/office/drawing/2014/main" id="{00000000-0008-0000-3300-00007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3" name="Conector recto 382">
          <a:extLst>
            <a:ext uri="{FF2B5EF4-FFF2-40B4-BE49-F238E27FC236}">
              <a16:creationId xmlns:a16="http://schemas.microsoft.com/office/drawing/2014/main" id="{00000000-0008-0000-3300-00007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4" name="Conector recto 383">
          <a:extLst>
            <a:ext uri="{FF2B5EF4-FFF2-40B4-BE49-F238E27FC236}">
              <a16:creationId xmlns:a16="http://schemas.microsoft.com/office/drawing/2014/main" id="{00000000-0008-0000-3300-00008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5" name="Conector recto 384">
          <a:extLst>
            <a:ext uri="{FF2B5EF4-FFF2-40B4-BE49-F238E27FC236}">
              <a16:creationId xmlns:a16="http://schemas.microsoft.com/office/drawing/2014/main" id="{00000000-0008-0000-3300-00008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6" name="Conector recto 385">
          <a:extLst>
            <a:ext uri="{FF2B5EF4-FFF2-40B4-BE49-F238E27FC236}">
              <a16:creationId xmlns:a16="http://schemas.microsoft.com/office/drawing/2014/main" id="{00000000-0008-0000-3300-00008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7" name="Conector recto 386">
          <a:extLst>
            <a:ext uri="{FF2B5EF4-FFF2-40B4-BE49-F238E27FC236}">
              <a16:creationId xmlns:a16="http://schemas.microsoft.com/office/drawing/2014/main" id="{00000000-0008-0000-3300-00008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8" name="Conector recto 387">
          <a:extLst>
            <a:ext uri="{FF2B5EF4-FFF2-40B4-BE49-F238E27FC236}">
              <a16:creationId xmlns:a16="http://schemas.microsoft.com/office/drawing/2014/main" id="{00000000-0008-0000-3300-00008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89" name="Conector recto 388">
          <a:extLst>
            <a:ext uri="{FF2B5EF4-FFF2-40B4-BE49-F238E27FC236}">
              <a16:creationId xmlns:a16="http://schemas.microsoft.com/office/drawing/2014/main" id="{00000000-0008-0000-3300-00008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0" name="Conector recto 389">
          <a:extLst>
            <a:ext uri="{FF2B5EF4-FFF2-40B4-BE49-F238E27FC236}">
              <a16:creationId xmlns:a16="http://schemas.microsoft.com/office/drawing/2014/main" id="{00000000-0008-0000-3300-00008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1" name="Conector recto 390">
          <a:extLst>
            <a:ext uri="{FF2B5EF4-FFF2-40B4-BE49-F238E27FC236}">
              <a16:creationId xmlns:a16="http://schemas.microsoft.com/office/drawing/2014/main" id="{00000000-0008-0000-3300-00008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2" name="Conector recto 391">
          <a:extLst>
            <a:ext uri="{FF2B5EF4-FFF2-40B4-BE49-F238E27FC236}">
              <a16:creationId xmlns:a16="http://schemas.microsoft.com/office/drawing/2014/main" id="{00000000-0008-0000-3300-00008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3" name="Conector recto 392">
          <a:extLst>
            <a:ext uri="{FF2B5EF4-FFF2-40B4-BE49-F238E27FC236}">
              <a16:creationId xmlns:a16="http://schemas.microsoft.com/office/drawing/2014/main" id="{00000000-0008-0000-3300-00008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4" name="Conector recto 393">
          <a:extLst>
            <a:ext uri="{FF2B5EF4-FFF2-40B4-BE49-F238E27FC236}">
              <a16:creationId xmlns:a16="http://schemas.microsoft.com/office/drawing/2014/main" id="{00000000-0008-0000-3300-00008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5" name="Conector recto 394">
          <a:extLst>
            <a:ext uri="{FF2B5EF4-FFF2-40B4-BE49-F238E27FC236}">
              <a16:creationId xmlns:a16="http://schemas.microsoft.com/office/drawing/2014/main" id="{00000000-0008-0000-3300-00008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6" name="Conector recto 395">
          <a:extLst>
            <a:ext uri="{FF2B5EF4-FFF2-40B4-BE49-F238E27FC236}">
              <a16:creationId xmlns:a16="http://schemas.microsoft.com/office/drawing/2014/main" id="{00000000-0008-0000-3300-00008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7" name="Conector recto 396">
          <a:extLst>
            <a:ext uri="{FF2B5EF4-FFF2-40B4-BE49-F238E27FC236}">
              <a16:creationId xmlns:a16="http://schemas.microsoft.com/office/drawing/2014/main" id="{00000000-0008-0000-3300-00008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8" name="Conector recto 397">
          <a:extLst>
            <a:ext uri="{FF2B5EF4-FFF2-40B4-BE49-F238E27FC236}">
              <a16:creationId xmlns:a16="http://schemas.microsoft.com/office/drawing/2014/main" id="{00000000-0008-0000-3300-00008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399" name="Conector recto 398">
          <a:extLst>
            <a:ext uri="{FF2B5EF4-FFF2-40B4-BE49-F238E27FC236}">
              <a16:creationId xmlns:a16="http://schemas.microsoft.com/office/drawing/2014/main" id="{00000000-0008-0000-3300-00008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0" name="Conector recto 399">
          <a:extLst>
            <a:ext uri="{FF2B5EF4-FFF2-40B4-BE49-F238E27FC236}">
              <a16:creationId xmlns:a16="http://schemas.microsoft.com/office/drawing/2014/main" id="{00000000-0008-0000-3300-00009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1" name="Conector recto 400">
          <a:extLst>
            <a:ext uri="{FF2B5EF4-FFF2-40B4-BE49-F238E27FC236}">
              <a16:creationId xmlns:a16="http://schemas.microsoft.com/office/drawing/2014/main" id="{00000000-0008-0000-3300-00009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2" name="Conector recto 401">
          <a:extLst>
            <a:ext uri="{FF2B5EF4-FFF2-40B4-BE49-F238E27FC236}">
              <a16:creationId xmlns:a16="http://schemas.microsoft.com/office/drawing/2014/main" id="{00000000-0008-0000-3300-00009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3" name="Conector recto 402">
          <a:extLst>
            <a:ext uri="{FF2B5EF4-FFF2-40B4-BE49-F238E27FC236}">
              <a16:creationId xmlns:a16="http://schemas.microsoft.com/office/drawing/2014/main" id="{00000000-0008-0000-3300-00009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4" name="Conector recto 403">
          <a:extLst>
            <a:ext uri="{FF2B5EF4-FFF2-40B4-BE49-F238E27FC236}">
              <a16:creationId xmlns:a16="http://schemas.microsoft.com/office/drawing/2014/main" id="{00000000-0008-0000-3300-00009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5" name="Conector recto 404">
          <a:extLst>
            <a:ext uri="{FF2B5EF4-FFF2-40B4-BE49-F238E27FC236}">
              <a16:creationId xmlns:a16="http://schemas.microsoft.com/office/drawing/2014/main" id="{00000000-0008-0000-3300-00009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6" name="Conector recto 405">
          <a:extLst>
            <a:ext uri="{FF2B5EF4-FFF2-40B4-BE49-F238E27FC236}">
              <a16:creationId xmlns:a16="http://schemas.microsoft.com/office/drawing/2014/main" id="{00000000-0008-0000-3300-00009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7" name="Conector recto 406">
          <a:extLst>
            <a:ext uri="{FF2B5EF4-FFF2-40B4-BE49-F238E27FC236}">
              <a16:creationId xmlns:a16="http://schemas.microsoft.com/office/drawing/2014/main" id="{00000000-0008-0000-3300-00009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8" name="Conector recto 407">
          <a:extLst>
            <a:ext uri="{FF2B5EF4-FFF2-40B4-BE49-F238E27FC236}">
              <a16:creationId xmlns:a16="http://schemas.microsoft.com/office/drawing/2014/main" id="{00000000-0008-0000-3300-00009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09" name="Conector recto 408">
          <a:extLst>
            <a:ext uri="{FF2B5EF4-FFF2-40B4-BE49-F238E27FC236}">
              <a16:creationId xmlns:a16="http://schemas.microsoft.com/office/drawing/2014/main" id="{00000000-0008-0000-3300-00009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0" name="Conector recto 409">
          <a:extLst>
            <a:ext uri="{FF2B5EF4-FFF2-40B4-BE49-F238E27FC236}">
              <a16:creationId xmlns:a16="http://schemas.microsoft.com/office/drawing/2014/main" id="{00000000-0008-0000-3300-00009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1" name="Conector recto 410">
          <a:extLst>
            <a:ext uri="{FF2B5EF4-FFF2-40B4-BE49-F238E27FC236}">
              <a16:creationId xmlns:a16="http://schemas.microsoft.com/office/drawing/2014/main" id="{00000000-0008-0000-3300-00009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2" name="Conector recto 411">
          <a:extLst>
            <a:ext uri="{FF2B5EF4-FFF2-40B4-BE49-F238E27FC236}">
              <a16:creationId xmlns:a16="http://schemas.microsoft.com/office/drawing/2014/main" id="{00000000-0008-0000-3300-00009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3" name="Conector recto 412">
          <a:extLst>
            <a:ext uri="{FF2B5EF4-FFF2-40B4-BE49-F238E27FC236}">
              <a16:creationId xmlns:a16="http://schemas.microsoft.com/office/drawing/2014/main" id="{00000000-0008-0000-3300-00009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4" name="Conector recto 413">
          <a:extLst>
            <a:ext uri="{FF2B5EF4-FFF2-40B4-BE49-F238E27FC236}">
              <a16:creationId xmlns:a16="http://schemas.microsoft.com/office/drawing/2014/main" id="{00000000-0008-0000-3300-00009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5" name="Conector recto 414">
          <a:extLst>
            <a:ext uri="{FF2B5EF4-FFF2-40B4-BE49-F238E27FC236}">
              <a16:creationId xmlns:a16="http://schemas.microsoft.com/office/drawing/2014/main" id="{00000000-0008-0000-3300-00009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6" name="Conector recto 415">
          <a:extLst>
            <a:ext uri="{FF2B5EF4-FFF2-40B4-BE49-F238E27FC236}">
              <a16:creationId xmlns:a16="http://schemas.microsoft.com/office/drawing/2014/main" id="{00000000-0008-0000-3300-0000A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7" name="Conector recto 416">
          <a:extLst>
            <a:ext uri="{FF2B5EF4-FFF2-40B4-BE49-F238E27FC236}">
              <a16:creationId xmlns:a16="http://schemas.microsoft.com/office/drawing/2014/main" id="{00000000-0008-0000-3300-0000A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8" name="Conector recto 417">
          <a:extLst>
            <a:ext uri="{FF2B5EF4-FFF2-40B4-BE49-F238E27FC236}">
              <a16:creationId xmlns:a16="http://schemas.microsoft.com/office/drawing/2014/main" id="{00000000-0008-0000-3300-0000A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19" name="Conector recto 418">
          <a:extLst>
            <a:ext uri="{FF2B5EF4-FFF2-40B4-BE49-F238E27FC236}">
              <a16:creationId xmlns:a16="http://schemas.microsoft.com/office/drawing/2014/main" id="{00000000-0008-0000-3300-0000A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0" name="Conector recto 419">
          <a:extLst>
            <a:ext uri="{FF2B5EF4-FFF2-40B4-BE49-F238E27FC236}">
              <a16:creationId xmlns:a16="http://schemas.microsoft.com/office/drawing/2014/main" id="{00000000-0008-0000-3300-0000A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1" name="Conector recto 420">
          <a:extLst>
            <a:ext uri="{FF2B5EF4-FFF2-40B4-BE49-F238E27FC236}">
              <a16:creationId xmlns:a16="http://schemas.microsoft.com/office/drawing/2014/main" id="{00000000-0008-0000-3300-0000A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2" name="Conector recto 421">
          <a:extLst>
            <a:ext uri="{FF2B5EF4-FFF2-40B4-BE49-F238E27FC236}">
              <a16:creationId xmlns:a16="http://schemas.microsoft.com/office/drawing/2014/main" id="{00000000-0008-0000-3300-0000A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3" name="Conector recto 422">
          <a:extLst>
            <a:ext uri="{FF2B5EF4-FFF2-40B4-BE49-F238E27FC236}">
              <a16:creationId xmlns:a16="http://schemas.microsoft.com/office/drawing/2014/main" id="{00000000-0008-0000-3300-0000A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4" name="Conector recto 423">
          <a:extLst>
            <a:ext uri="{FF2B5EF4-FFF2-40B4-BE49-F238E27FC236}">
              <a16:creationId xmlns:a16="http://schemas.microsoft.com/office/drawing/2014/main" id="{00000000-0008-0000-3300-0000A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5" name="Conector recto 424">
          <a:extLst>
            <a:ext uri="{FF2B5EF4-FFF2-40B4-BE49-F238E27FC236}">
              <a16:creationId xmlns:a16="http://schemas.microsoft.com/office/drawing/2014/main" id="{00000000-0008-0000-3300-0000A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6" name="Conector recto 425">
          <a:extLst>
            <a:ext uri="{FF2B5EF4-FFF2-40B4-BE49-F238E27FC236}">
              <a16:creationId xmlns:a16="http://schemas.microsoft.com/office/drawing/2014/main" id="{00000000-0008-0000-3300-0000A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7" name="Conector recto 426">
          <a:extLst>
            <a:ext uri="{FF2B5EF4-FFF2-40B4-BE49-F238E27FC236}">
              <a16:creationId xmlns:a16="http://schemas.microsoft.com/office/drawing/2014/main" id="{00000000-0008-0000-3300-0000A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8" name="Conector recto 427">
          <a:extLst>
            <a:ext uri="{FF2B5EF4-FFF2-40B4-BE49-F238E27FC236}">
              <a16:creationId xmlns:a16="http://schemas.microsoft.com/office/drawing/2014/main" id="{00000000-0008-0000-3300-0000A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29" name="Conector recto 428">
          <a:extLst>
            <a:ext uri="{FF2B5EF4-FFF2-40B4-BE49-F238E27FC236}">
              <a16:creationId xmlns:a16="http://schemas.microsoft.com/office/drawing/2014/main" id="{00000000-0008-0000-3300-0000A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0" name="Conector recto 429">
          <a:extLst>
            <a:ext uri="{FF2B5EF4-FFF2-40B4-BE49-F238E27FC236}">
              <a16:creationId xmlns:a16="http://schemas.microsoft.com/office/drawing/2014/main" id="{00000000-0008-0000-3300-0000A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1" name="Conector recto 430">
          <a:extLst>
            <a:ext uri="{FF2B5EF4-FFF2-40B4-BE49-F238E27FC236}">
              <a16:creationId xmlns:a16="http://schemas.microsoft.com/office/drawing/2014/main" id="{00000000-0008-0000-3300-0000A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2" name="Conector recto 431">
          <a:extLst>
            <a:ext uri="{FF2B5EF4-FFF2-40B4-BE49-F238E27FC236}">
              <a16:creationId xmlns:a16="http://schemas.microsoft.com/office/drawing/2014/main" id="{00000000-0008-0000-3300-0000B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3" name="Conector recto 432">
          <a:extLst>
            <a:ext uri="{FF2B5EF4-FFF2-40B4-BE49-F238E27FC236}">
              <a16:creationId xmlns:a16="http://schemas.microsoft.com/office/drawing/2014/main" id="{00000000-0008-0000-3300-0000B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4" name="Conector recto 433">
          <a:extLst>
            <a:ext uri="{FF2B5EF4-FFF2-40B4-BE49-F238E27FC236}">
              <a16:creationId xmlns:a16="http://schemas.microsoft.com/office/drawing/2014/main" id="{00000000-0008-0000-3300-0000B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5" name="Conector recto 434">
          <a:extLst>
            <a:ext uri="{FF2B5EF4-FFF2-40B4-BE49-F238E27FC236}">
              <a16:creationId xmlns:a16="http://schemas.microsoft.com/office/drawing/2014/main" id="{00000000-0008-0000-3300-0000B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6" name="Conector recto 435">
          <a:extLst>
            <a:ext uri="{FF2B5EF4-FFF2-40B4-BE49-F238E27FC236}">
              <a16:creationId xmlns:a16="http://schemas.microsoft.com/office/drawing/2014/main" id="{00000000-0008-0000-3300-0000B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7" name="Conector recto 436">
          <a:extLst>
            <a:ext uri="{FF2B5EF4-FFF2-40B4-BE49-F238E27FC236}">
              <a16:creationId xmlns:a16="http://schemas.microsoft.com/office/drawing/2014/main" id="{00000000-0008-0000-3300-0000B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8" name="Conector recto 437">
          <a:extLst>
            <a:ext uri="{FF2B5EF4-FFF2-40B4-BE49-F238E27FC236}">
              <a16:creationId xmlns:a16="http://schemas.microsoft.com/office/drawing/2014/main" id="{00000000-0008-0000-3300-0000B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39" name="Conector recto 438">
          <a:extLst>
            <a:ext uri="{FF2B5EF4-FFF2-40B4-BE49-F238E27FC236}">
              <a16:creationId xmlns:a16="http://schemas.microsoft.com/office/drawing/2014/main" id="{00000000-0008-0000-3300-0000B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0" name="Conector recto 439">
          <a:extLst>
            <a:ext uri="{FF2B5EF4-FFF2-40B4-BE49-F238E27FC236}">
              <a16:creationId xmlns:a16="http://schemas.microsoft.com/office/drawing/2014/main" id="{00000000-0008-0000-3300-0000B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1" name="Conector recto 440">
          <a:extLst>
            <a:ext uri="{FF2B5EF4-FFF2-40B4-BE49-F238E27FC236}">
              <a16:creationId xmlns:a16="http://schemas.microsoft.com/office/drawing/2014/main" id="{00000000-0008-0000-3300-0000B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2" name="Conector recto 441">
          <a:extLst>
            <a:ext uri="{FF2B5EF4-FFF2-40B4-BE49-F238E27FC236}">
              <a16:creationId xmlns:a16="http://schemas.microsoft.com/office/drawing/2014/main" id="{00000000-0008-0000-3300-0000B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3" name="Conector recto 442">
          <a:extLst>
            <a:ext uri="{FF2B5EF4-FFF2-40B4-BE49-F238E27FC236}">
              <a16:creationId xmlns:a16="http://schemas.microsoft.com/office/drawing/2014/main" id="{00000000-0008-0000-3300-0000B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4" name="Conector recto 443">
          <a:extLst>
            <a:ext uri="{FF2B5EF4-FFF2-40B4-BE49-F238E27FC236}">
              <a16:creationId xmlns:a16="http://schemas.microsoft.com/office/drawing/2014/main" id="{00000000-0008-0000-3300-0000B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5" name="Conector recto 444">
          <a:extLst>
            <a:ext uri="{FF2B5EF4-FFF2-40B4-BE49-F238E27FC236}">
              <a16:creationId xmlns:a16="http://schemas.microsoft.com/office/drawing/2014/main" id="{00000000-0008-0000-3300-0000B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6" name="Conector recto 445">
          <a:extLst>
            <a:ext uri="{FF2B5EF4-FFF2-40B4-BE49-F238E27FC236}">
              <a16:creationId xmlns:a16="http://schemas.microsoft.com/office/drawing/2014/main" id="{00000000-0008-0000-3300-0000B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7" name="Conector recto 446">
          <a:extLst>
            <a:ext uri="{FF2B5EF4-FFF2-40B4-BE49-F238E27FC236}">
              <a16:creationId xmlns:a16="http://schemas.microsoft.com/office/drawing/2014/main" id="{00000000-0008-0000-3300-0000B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8" name="Conector recto 447">
          <a:extLst>
            <a:ext uri="{FF2B5EF4-FFF2-40B4-BE49-F238E27FC236}">
              <a16:creationId xmlns:a16="http://schemas.microsoft.com/office/drawing/2014/main" id="{00000000-0008-0000-3300-0000C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49" name="Conector recto 448">
          <a:extLst>
            <a:ext uri="{FF2B5EF4-FFF2-40B4-BE49-F238E27FC236}">
              <a16:creationId xmlns:a16="http://schemas.microsoft.com/office/drawing/2014/main" id="{00000000-0008-0000-3300-0000C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0" name="Conector recto 449">
          <a:extLst>
            <a:ext uri="{FF2B5EF4-FFF2-40B4-BE49-F238E27FC236}">
              <a16:creationId xmlns:a16="http://schemas.microsoft.com/office/drawing/2014/main" id="{00000000-0008-0000-3300-0000C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1" name="Conector recto 450">
          <a:extLst>
            <a:ext uri="{FF2B5EF4-FFF2-40B4-BE49-F238E27FC236}">
              <a16:creationId xmlns:a16="http://schemas.microsoft.com/office/drawing/2014/main" id="{00000000-0008-0000-3300-0000C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2" name="Conector recto 451">
          <a:extLst>
            <a:ext uri="{FF2B5EF4-FFF2-40B4-BE49-F238E27FC236}">
              <a16:creationId xmlns:a16="http://schemas.microsoft.com/office/drawing/2014/main" id="{00000000-0008-0000-3300-0000C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3" name="Conector recto 452">
          <a:extLst>
            <a:ext uri="{FF2B5EF4-FFF2-40B4-BE49-F238E27FC236}">
              <a16:creationId xmlns:a16="http://schemas.microsoft.com/office/drawing/2014/main" id="{00000000-0008-0000-3300-0000C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4" name="Conector recto 453">
          <a:extLst>
            <a:ext uri="{FF2B5EF4-FFF2-40B4-BE49-F238E27FC236}">
              <a16:creationId xmlns:a16="http://schemas.microsoft.com/office/drawing/2014/main" id="{00000000-0008-0000-3300-0000C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5" name="Conector recto 454">
          <a:extLst>
            <a:ext uri="{FF2B5EF4-FFF2-40B4-BE49-F238E27FC236}">
              <a16:creationId xmlns:a16="http://schemas.microsoft.com/office/drawing/2014/main" id="{00000000-0008-0000-3300-0000C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6" name="Conector recto 455">
          <a:extLst>
            <a:ext uri="{FF2B5EF4-FFF2-40B4-BE49-F238E27FC236}">
              <a16:creationId xmlns:a16="http://schemas.microsoft.com/office/drawing/2014/main" id="{00000000-0008-0000-3300-0000C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7" name="Conector recto 456">
          <a:extLst>
            <a:ext uri="{FF2B5EF4-FFF2-40B4-BE49-F238E27FC236}">
              <a16:creationId xmlns:a16="http://schemas.microsoft.com/office/drawing/2014/main" id="{00000000-0008-0000-3300-0000C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8" name="Conector recto 457">
          <a:extLst>
            <a:ext uri="{FF2B5EF4-FFF2-40B4-BE49-F238E27FC236}">
              <a16:creationId xmlns:a16="http://schemas.microsoft.com/office/drawing/2014/main" id="{00000000-0008-0000-3300-0000C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59" name="Conector recto 458">
          <a:extLst>
            <a:ext uri="{FF2B5EF4-FFF2-40B4-BE49-F238E27FC236}">
              <a16:creationId xmlns:a16="http://schemas.microsoft.com/office/drawing/2014/main" id="{00000000-0008-0000-3300-0000C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0" name="Conector recto 459">
          <a:extLst>
            <a:ext uri="{FF2B5EF4-FFF2-40B4-BE49-F238E27FC236}">
              <a16:creationId xmlns:a16="http://schemas.microsoft.com/office/drawing/2014/main" id="{00000000-0008-0000-3300-0000C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1" name="Conector recto 460">
          <a:extLst>
            <a:ext uri="{FF2B5EF4-FFF2-40B4-BE49-F238E27FC236}">
              <a16:creationId xmlns:a16="http://schemas.microsoft.com/office/drawing/2014/main" id="{00000000-0008-0000-3300-0000CD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2" name="Conector recto 461">
          <a:extLst>
            <a:ext uri="{FF2B5EF4-FFF2-40B4-BE49-F238E27FC236}">
              <a16:creationId xmlns:a16="http://schemas.microsoft.com/office/drawing/2014/main" id="{00000000-0008-0000-3300-0000CE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3" name="Conector recto 462">
          <a:extLst>
            <a:ext uri="{FF2B5EF4-FFF2-40B4-BE49-F238E27FC236}">
              <a16:creationId xmlns:a16="http://schemas.microsoft.com/office/drawing/2014/main" id="{00000000-0008-0000-3300-0000CF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4" name="Conector recto 463">
          <a:extLst>
            <a:ext uri="{FF2B5EF4-FFF2-40B4-BE49-F238E27FC236}">
              <a16:creationId xmlns:a16="http://schemas.microsoft.com/office/drawing/2014/main" id="{00000000-0008-0000-3300-0000D0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5" name="Conector recto 464">
          <a:extLst>
            <a:ext uri="{FF2B5EF4-FFF2-40B4-BE49-F238E27FC236}">
              <a16:creationId xmlns:a16="http://schemas.microsoft.com/office/drawing/2014/main" id="{00000000-0008-0000-3300-0000D1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6" name="Conector recto 465">
          <a:extLst>
            <a:ext uri="{FF2B5EF4-FFF2-40B4-BE49-F238E27FC236}">
              <a16:creationId xmlns:a16="http://schemas.microsoft.com/office/drawing/2014/main" id="{00000000-0008-0000-3300-0000D2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7" name="Conector recto 466">
          <a:extLst>
            <a:ext uri="{FF2B5EF4-FFF2-40B4-BE49-F238E27FC236}">
              <a16:creationId xmlns:a16="http://schemas.microsoft.com/office/drawing/2014/main" id="{00000000-0008-0000-3300-0000D3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8" name="Conector recto 467">
          <a:extLst>
            <a:ext uri="{FF2B5EF4-FFF2-40B4-BE49-F238E27FC236}">
              <a16:creationId xmlns:a16="http://schemas.microsoft.com/office/drawing/2014/main" id="{00000000-0008-0000-3300-0000D4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69" name="Conector recto 468">
          <a:extLst>
            <a:ext uri="{FF2B5EF4-FFF2-40B4-BE49-F238E27FC236}">
              <a16:creationId xmlns:a16="http://schemas.microsoft.com/office/drawing/2014/main" id="{00000000-0008-0000-3300-0000D5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0" name="Conector recto 469">
          <a:extLst>
            <a:ext uri="{FF2B5EF4-FFF2-40B4-BE49-F238E27FC236}">
              <a16:creationId xmlns:a16="http://schemas.microsoft.com/office/drawing/2014/main" id="{00000000-0008-0000-3300-0000D6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1" name="Conector recto 470">
          <a:extLst>
            <a:ext uri="{FF2B5EF4-FFF2-40B4-BE49-F238E27FC236}">
              <a16:creationId xmlns:a16="http://schemas.microsoft.com/office/drawing/2014/main" id="{00000000-0008-0000-3300-0000D7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2" name="Conector recto 471">
          <a:extLst>
            <a:ext uri="{FF2B5EF4-FFF2-40B4-BE49-F238E27FC236}">
              <a16:creationId xmlns:a16="http://schemas.microsoft.com/office/drawing/2014/main" id="{00000000-0008-0000-3300-0000D8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3" name="Conector recto 472">
          <a:extLst>
            <a:ext uri="{FF2B5EF4-FFF2-40B4-BE49-F238E27FC236}">
              <a16:creationId xmlns:a16="http://schemas.microsoft.com/office/drawing/2014/main" id="{00000000-0008-0000-3300-0000D9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4" name="Conector recto 473">
          <a:extLst>
            <a:ext uri="{FF2B5EF4-FFF2-40B4-BE49-F238E27FC236}">
              <a16:creationId xmlns:a16="http://schemas.microsoft.com/office/drawing/2014/main" id="{00000000-0008-0000-3300-0000DA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5" name="Conector recto 474">
          <a:extLst>
            <a:ext uri="{FF2B5EF4-FFF2-40B4-BE49-F238E27FC236}">
              <a16:creationId xmlns:a16="http://schemas.microsoft.com/office/drawing/2014/main" id="{00000000-0008-0000-3300-0000DB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1219201</xdr:colOff>
      <xdr:row>53</xdr:row>
      <xdr:rowOff>0</xdr:rowOff>
    </xdr:from>
    <xdr:to>
      <xdr:col>38</xdr:col>
      <xdr:colOff>413657</xdr:colOff>
      <xdr:row>53</xdr:row>
      <xdr:rowOff>0</xdr:rowOff>
    </xdr:to>
    <xdr:cxnSp macro="">
      <xdr:nvCxnSpPr>
        <xdr:cNvPr id="476" name="Conector recto 475">
          <a:extLst>
            <a:ext uri="{FF2B5EF4-FFF2-40B4-BE49-F238E27FC236}">
              <a16:creationId xmlns:a16="http://schemas.microsoft.com/office/drawing/2014/main" id="{00000000-0008-0000-3300-0000DC010000}"/>
            </a:ext>
          </a:extLst>
        </xdr:cNvPr>
        <xdr:cNvCxnSpPr/>
      </xdr:nvCxnSpPr>
      <xdr:spPr>
        <a:xfrm>
          <a:off x="11115676" y="11144250"/>
          <a:ext cx="44903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34</xdr:col>
      <xdr:colOff>2407227</xdr:colOff>
      <xdr:row>46</xdr:row>
      <xdr:rowOff>207818</xdr:rowOff>
    </xdr:from>
    <xdr:to>
      <xdr:col>36</xdr:col>
      <xdr:colOff>341415</xdr:colOff>
      <xdr:row>55</xdr:row>
      <xdr:rowOff>98531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00000000-0008-0000-33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157363" y="1080654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49741</xdr:colOff>
      <xdr:row>11</xdr:row>
      <xdr:rowOff>86591</xdr:rowOff>
    </xdr:from>
    <xdr:to>
      <xdr:col>31</xdr:col>
      <xdr:colOff>140409</xdr:colOff>
      <xdr:row>41</xdr:row>
      <xdr:rowOff>57075</xdr:rowOff>
    </xdr:to>
    <xdr:pic>
      <xdr:nvPicPr>
        <xdr:cNvPr id="478" name="Imagen 477">
          <a:extLst>
            <a:ext uri="{FF2B5EF4-FFF2-40B4-BE49-F238E27FC236}">
              <a16:creationId xmlns:a16="http://schemas.microsoft.com/office/drawing/2014/main" id="{20942CB4-1F0D-4980-94DA-DA7BD82A9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2196" y="3446318"/>
          <a:ext cx="7831895" cy="620503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402981</xdr:colOff>
      <xdr:row>75</xdr:row>
      <xdr:rowOff>161192</xdr:rowOff>
    </xdr:from>
    <xdr:to>
      <xdr:col>2</xdr:col>
      <xdr:colOff>484624</xdr:colOff>
      <xdr:row>84</xdr:row>
      <xdr:rowOff>181126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8231" y="13144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373673</xdr:colOff>
      <xdr:row>113</xdr:row>
      <xdr:rowOff>161192</xdr:rowOff>
    </xdr:from>
    <xdr:to>
      <xdr:col>2</xdr:col>
      <xdr:colOff>455316</xdr:colOff>
      <xdr:row>122</xdr:row>
      <xdr:rowOff>181125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923" y="1958486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388327</xdr:colOff>
      <xdr:row>152</xdr:row>
      <xdr:rowOff>29308</xdr:rowOff>
    </xdr:from>
    <xdr:to>
      <xdr:col>2</xdr:col>
      <xdr:colOff>469970</xdr:colOff>
      <xdr:row>160</xdr:row>
      <xdr:rowOff>217761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3577" y="2606186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189</xdr:row>
      <xdr:rowOff>161192</xdr:rowOff>
    </xdr:from>
    <xdr:to>
      <xdr:col>2</xdr:col>
      <xdr:colOff>477297</xdr:colOff>
      <xdr:row>199</xdr:row>
      <xdr:rowOff>19933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0904" y="32465596"/>
          <a:ext cx="1224643" cy="1587895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410308</xdr:colOff>
      <xdr:row>37</xdr:row>
      <xdr:rowOff>139212</xdr:rowOff>
    </xdr:from>
    <xdr:to>
      <xdr:col>2</xdr:col>
      <xdr:colOff>491951</xdr:colOff>
      <xdr:row>46</xdr:row>
      <xdr:rowOff>159145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558" y="6301154"/>
          <a:ext cx="1224643" cy="1587895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37</xdr:row>
      <xdr:rowOff>14654</xdr:rowOff>
    </xdr:from>
    <xdr:to>
      <xdr:col>2</xdr:col>
      <xdr:colOff>557893</xdr:colOff>
      <xdr:row>45</xdr:row>
      <xdr:rowOff>203107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500" y="6506308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461596</xdr:colOff>
      <xdr:row>82</xdr:row>
      <xdr:rowOff>7327</xdr:rowOff>
    </xdr:from>
    <xdr:to>
      <xdr:col>2</xdr:col>
      <xdr:colOff>543239</xdr:colOff>
      <xdr:row>90</xdr:row>
      <xdr:rowOff>195779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6846" y="14456019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432289</xdr:colOff>
      <xdr:row>126</xdr:row>
      <xdr:rowOff>161194</xdr:rowOff>
    </xdr:from>
    <xdr:to>
      <xdr:col>2</xdr:col>
      <xdr:colOff>513932</xdr:colOff>
      <xdr:row>136</xdr:row>
      <xdr:rowOff>19935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539" y="22134636"/>
          <a:ext cx="1224643" cy="1587895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432288</xdr:colOff>
      <xdr:row>37</xdr:row>
      <xdr:rowOff>51288</xdr:rowOff>
    </xdr:from>
    <xdr:to>
      <xdr:col>2</xdr:col>
      <xdr:colOff>513931</xdr:colOff>
      <xdr:row>45</xdr:row>
      <xdr:rowOff>239741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538" y="6418384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446942</xdr:colOff>
      <xdr:row>82</xdr:row>
      <xdr:rowOff>43961</xdr:rowOff>
    </xdr:from>
    <xdr:to>
      <xdr:col>2</xdr:col>
      <xdr:colOff>528585</xdr:colOff>
      <xdr:row>90</xdr:row>
      <xdr:rowOff>232413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92" y="1410432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439615</xdr:colOff>
      <xdr:row>129</xdr:row>
      <xdr:rowOff>51288</xdr:rowOff>
    </xdr:from>
    <xdr:to>
      <xdr:col>2</xdr:col>
      <xdr:colOff>521258</xdr:colOff>
      <xdr:row>137</xdr:row>
      <xdr:rowOff>239740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65" y="22127307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417635</xdr:colOff>
      <xdr:row>176</xdr:row>
      <xdr:rowOff>73269</xdr:rowOff>
    </xdr:from>
    <xdr:to>
      <xdr:col>2</xdr:col>
      <xdr:colOff>499278</xdr:colOff>
      <xdr:row>185</xdr:row>
      <xdr:rowOff>19933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2885" y="30142961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424961</xdr:colOff>
      <xdr:row>221</xdr:row>
      <xdr:rowOff>43962</xdr:rowOff>
    </xdr:from>
    <xdr:to>
      <xdr:col>2</xdr:col>
      <xdr:colOff>506604</xdr:colOff>
      <xdr:row>229</xdr:row>
      <xdr:rowOff>232415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1" y="3768236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424961</xdr:colOff>
      <xdr:row>266</xdr:row>
      <xdr:rowOff>51289</xdr:rowOff>
    </xdr:from>
    <xdr:to>
      <xdr:col>2</xdr:col>
      <xdr:colOff>506604</xdr:colOff>
      <xdr:row>274</xdr:row>
      <xdr:rowOff>239741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1" y="45258404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410307</xdr:colOff>
      <xdr:row>311</xdr:row>
      <xdr:rowOff>43961</xdr:rowOff>
    </xdr:from>
    <xdr:to>
      <xdr:col>2</xdr:col>
      <xdr:colOff>491950</xdr:colOff>
      <xdr:row>319</xdr:row>
      <xdr:rowOff>232414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557" y="52819788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432288</xdr:colOff>
      <xdr:row>356</xdr:row>
      <xdr:rowOff>51288</xdr:rowOff>
    </xdr:from>
    <xdr:to>
      <xdr:col>2</xdr:col>
      <xdr:colOff>513931</xdr:colOff>
      <xdr:row>364</xdr:row>
      <xdr:rowOff>239740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538" y="6039582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373673</xdr:colOff>
      <xdr:row>401</xdr:row>
      <xdr:rowOff>58616</xdr:rowOff>
    </xdr:from>
    <xdr:to>
      <xdr:col>2</xdr:col>
      <xdr:colOff>455316</xdr:colOff>
      <xdr:row>410</xdr:row>
      <xdr:rowOff>5280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3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923" y="6797186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439616</xdr:colOff>
      <xdr:row>446</xdr:row>
      <xdr:rowOff>65942</xdr:rowOff>
    </xdr:from>
    <xdr:to>
      <xdr:col>2</xdr:col>
      <xdr:colOff>521259</xdr:colOff>
      <xdr:row>455</xdr:row>
      <xdr:rowOff>93203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3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66" y="75547904"/>
          <a:ext cx="1224643" cy="1587895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468923</xdr:colOff>
      <xdr:row>37</xdr:row>
      <xdr:rowOff>51289</xdr:rowOff>
    </xdr:from>
    <xdr:to>
      <xdr:col>2</xdr:col>
      <xdr:colOff>550566</xdr:colOff>
      <xdr:row>45</xdr:row>
      <xdr:rowOff>239742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173" y="641838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388327</xdr:colOff>
      <xdr:row>82</xdr:row>
      <xdr:rowOff>36634</xdr:rowOff>
    </xdr:from>
    <xdr:to>
      <xdr:col>2</xdr:col>
      <xdr:colOff>469970</xdr:colOff>
      <xdr:row>90</xdr:row>
      <xdr:rowOff>225086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3577" y="14089672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424961</xdr:colOff>
      <xdr:row>127</xdr:row>
      <xdr:rowOff>43961</xdr:rowOff>
    </xdr:from>
    <xdr:to>
      <xdr:col>2</xdr:col>
      <xdr:colOff>506604</xdr:colOff>
      <xdr:row>136</xdr:row>
      <xdr:rowOff>71221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1" y="21856211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135</xdr:row>
      <xdr:rowOff>0</xdr:rowOff>
    </xdr:from>
    <xdr:to>
      <xdr:col>2</xdr:col>
      <xdr:colOff>477297</xdr:colOff>
      <xdr:row>143</xdr:row>
      <xdr:rowOff>151818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0904" y="29505519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439615</xdr:colOff>
      <xdr:row>173</xdr:row>
      <xdr:rowOff>87923</xdr:rowOff>
    </xdr:from>
    <xdr:to>
      <xdr:col>2</xdr:col>
      <xdr:colOff>521258</xdr:colOff>
      <xdr:row>182</xdr:row>
      <xdr:rowOff>34588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65" y="373380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373673</xdr:colOff>
      <xdr:row>218</xdr:row>
      <xdr:rowOff>7327</xdr:rowOff>
    </xdr:from>
    <xdr:to>
      <xdr:col>2</xdr:col>
      <xdr:colOff>455316</xdr:colOff>
      <xdr:row>227</xdr:row>
      <xdr:rowOff>34587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923" y="45031269"/>
          <a:ext cx="1224643" cy="1587895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432288</xdr:colOff>
      <xdr:row>37</xdr:row>
      <xdr:rowOff>51289</xdr:rowOff>
    </xdr:from>
    <xdr:to>
      <xdr:col>2</xdr:col>
      <xdr:colOff>513931</xdr:colOff>
      <xdr:row>45</xdr:row>
      <xdr:rowOff>239742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538" y="641838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424962</xdr:colOff>
      <xdr:row>82</xdr:row>
      <xdr:rowOff>36635</xdr:rowOff>
    </xdr:from>
    <xdr:to>
      <xdr:col>2</xdr:col>
      <xdr:colOff>506605</xdr:colOff>
      <xdr:row>90</xdr:row>
      <xdr:rowOff>225088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2" y="1417027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424961</xdr:colOff>
      <xdr:row>127</xdr:row>
      <xdr:rowOff>58615</xdr:rowOff>
    </xdr:from>
    <xdr:to>
      <xdr:col>2</xdr:col>
      <xdr:colOff>506604</xdr:colOff>
      <xdr:row>136</xdr:row>
      <xdr:rowOff>5279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1" y="21863538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454270</xdr:colOff>
      <xdr:row>172</xdr:row>
      <xdr:rowOff>51288</xdr:rowOff>
    </xdr:from>
    <xdr:to>
      <xdr:col>2</xdr:col>
      <xdr:colOff>535913</xdr:colOff>
      <xdr:row>180</xdr:row>
      <xdr:rowOff>239741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520" y="29527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468924</xdr:colOff>
      <xdr:row>217</xdr:row>
      <xdr:rowOff>43961</xdr:rowOff>
    </xdr:from>
    <xdr:to>
      <xdr:col>2</xdr:col>
      <xdr:colOff>550567</xdr:colOff>
      <xdr:row>225</xdr:row>
      <xdr:rowOff>232414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174" y="37184134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446942</xdr:colOff>
      <xdr:row>262</xdr:row>
      <xdr:rowOff>21980</xdr:rowOff>
    </xdr:from>
    <xdr:to>
      <xdr:col>2</xdr:col>
      <xdr:colOff>528585</xdr:colOff>
      <xdr:row>270</xdr:row>
      <xdr:rowOff>210433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92" y="44833442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424962</xdr:colOff>
      <xdr:row>307</xdr:row>
      <xdr:rowOff>73269</xdr:rowOff>
    </xdr:from>
    <xdr:to>
      <xdr:col>2</xdr:col>
      <xdr:colOff>506605</xdr:colOff>
      <xdr:row>316</xdr:row>
      <xdr:rowOff>100530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2" y="52599981"/>
          <a:ext cx="1224643" cy="1587895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388327</xdr:colOff>
      <xdr:row>37</xdr:row>
      <xdr:rowOff>58616</xdr:rowOff>
    </xdr:from>
    <xdr:to>
      <xdr:col>2</xdr:col>
      <xdr:colOff>469970</xdr:colOff>
      <xdr:row>46</xdr:row>
      <xdr:rowOff>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3577" y="6506308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439616</xdr:colOff>
      <xdr:row>82</xdr:row>
      <xdr:rowOff>51288</xdr:rowOff>
    </xdr:from>
    <xdr:to>
      <xdr:col>2</xdr:col>
      <xdr:colOff>521259</xdr:colOff>
      <xdr:row>90</xdr:row>
      <xdr:rowOff>239741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66" y="14346115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424962</xdr:colOff>
      <xdr:row>127</xdr:row>
      <xdr:rowOff>73269</xdr:rowOff>
    </xdr:from>
    <xdr:to>
      <xdr:col>2</xdr:col>
      <xdr:colOff>506605</xdr:colOff>
      <xdr:row>136</xdr:row>
      <xdr:rowOff>19933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2" y="22039384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373673</xdr:colOff>
      <xdr:row>172</xdr:row>
      <xdr:rowOff>58615</xdr:rowOff>
    </xdr:from>
    <xdr:to>
      <xdr:col>2</xdr:col>
      <xdr:colOff>455316</xdr:colOff>
      <xdr:row>181</xdr:row>
      <xdr:rowOff>85876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923" y="29696019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424962</xdr:colOff>
      <xdr:row>180</xdr:row>
      <xdr:rowOff>0</xdr:rowOff>
    </xdr:from>
    <xdr:to>
      <xdr:col>2</xdr:col>
      <xdr:colOff>506605</xdr:colOff>
      <xdr:row>189</xdr:row>
      <xdr:rowOff>137164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212" y="37535826"/>
          <a:ext cx="1224643" cy="1587895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439615</xdr:colOff>
      <xdr:row>37</xdr:row>
      <xdr:rowOff>14654</xdr:rowOff>
    </xdr:from>
    <xdr:to>
      <xdr:col>2</xdr:col>
      <xdr:colOff>521258</xdr:colOff>
      <xdr:row>45</xdr:row>
      <xdr:rowOff>203106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65" y="646234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388327</xdr:colOff>
      <xdr:row>82</xdr:row>
      <xdr:rowOff>43961</xdr:rowOff>
    </xdr:from>
    <xdr:to>
      <xdr:col>2</xdr:col>
      <xdr:colOff>469970</xdr:colOff>
      <xdr:row>90</xdr:row>
      <xdr:rowOff>232414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3577" y="1446334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344365</xdr:colOff>
      <xdr:row>127</xdr:row>
      <xdr:rowOff>58615</xdr:rowOff>
    </xdr:from>
    <xdr:to>
      <xdr:col>2</xdr:col>
      <xdr:colOff>426008</xdr:colOff>
      <xdr:row>136</xdr:row>
      <xdr:rowOff>85876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9615" y="2266950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366346</xdr:colOff>
      <xdr:row>173</xdr:row>
      <xdr:rowOff>51289</xdr:rowOff>
    </xdr:from>
    <xdr:to>
      <xdr:col>2</xdr:col>
      <xdr:colOff>447989</xdr:colOff>
      <xdr:row>181</xdr:row>
      <xdr:rowOff>239742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596" y="38620212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344365</xdr:colOff>
      <xdr:row>218</xdr:row>
      <xdr:rowOff>21981</xdr:rowOff>
    </xdr:from>
    <xdr:to>
      <xdr:col>2</xdr:col>
      <xdr:colOff>426008</xdr:colOff>
      <xdr:row>226</xdr:row>
      <xdr:rowOff>210433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9615" y="46628539"/>
          <a:ext cx="1224643" cy="1587895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337038</xdr:colOff>
      <xdr:row>37</xdr:row>
      <xdr:rowOff>43961</xdr:rowOff>
    </xdr:from>
    <xdr:to>
      <xdr:col>2</xdr:col>
      <xdr:colOff>418681</xdr:colOff>
      <xdr:row>45</xdr:row>
      <xdr:rowOff>232414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2288" y="21768288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351692</xdr:colOff>
      <xdr:row>82</xdr:row>
      <xdr:rowOff>36635</xdr:rowOff>
    </xdr:from>
    <xdr:to>
      <xdr:col>2</xdr:col>
      <xdr:colOff>433335</xdr:colOff>
      <xdr:row>90</xdr:row>
      <xdr:rowOff>225087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46942" y="2943225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366346</xdr:colOff>
      <xdr:row>127</xdr:row>
      <xdr:rowOff>29308</xdr:rowOff>
    </xdr:from>
    <xdr:to>
      <xdr:col>2</xdr:col>
      <xdr:colOff>447989</xdr:colOff>
      <xdr:row>135</xdr:row>
      <xdr:rowOff>217761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596" y="37118193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446943</xdr:colOff>
      <xdr:row>172</xdr:row>
      <xdr:rowOff>29308</xdr:rowOff>
    </xdr:from>
    <xdr:to>
      <xdr:col>2</xdr:col>
      <xdr:colOff>528586</xdr:colOff>
      <xdr:row>180</xdr:row>
      <xdr:rowOff>217761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93" y="44840770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454269</xdr:colOff>
      <xdr:row>216</xdr:row>
      <xdr:rowOff>146538</xdr:rowOff>
    </xdr:from>
    <xdr:to>
      <xdr:col>2</xdr:col>
      <xdr:colOff>535912</xdr:colOff>
      <xdr:row>225</xdr:row>
      <xdr:rowOff>166472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519" y="60176019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410307</xdr:colOff>
      <xdr:row>263</xdr:row>
      <xdr:rowOff>51288</xdr:rowOff>
    </xdr:from>
    <xdr:to>
      <xdr:col>2</xdr:col>
      <xdr:colOff>491950</xdr:colOff>
      <xdr:row>272</xdr:row>
      <xdr:rowOff>77816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3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557" y="84171692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315058</xdr:colOff>
      <xdr:row>309</xdr:row>
      <xdr:rowOff>29308</xdr:rowOff>
    </xdr:from>
    <xdr:to>
      <xdr:col>2</xdr:col>
      <xdr:colOff>396701</xdr:colOff>
      <xdr:row>317</xdr:row>
      <xdr:rowOff>217761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3C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0308" y="115406366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373673</xdr:colOff>
      <xdr:row>354</xdr:row>
      <xdr:rowOff>29308</xdr:rowOff>
    </xdr:from>
    <xdr:to>
      <xdr:col>2</xdr:col>
      <xdr:colOff>455316</xdr:colOff>
      <xdr:row>362</xdr:row>
      <xdr:rowOff>217761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3C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923" y="123077654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293077</xdr:colOff>
      <xdr:row>399</xdr:row>
      <xdr:rowOff>80596</xdr:rowOff>
    </xdr:from>
    <xdr:to>
      <xdr:col>2</xdr:col>
      <xdr:colOff>374720</xdr:colOff>
      <xdr:row>408</xdr:row>
      <xdr:rowOff>107856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C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88327" y="130844192"/>
          <a:ext cx="1224643" cy="1587895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432288</xdr:colOff>
      <xdr:row>37</xdr:row>
      <xdr:rowOff>65942</xdr:rowOff>
    </xdr:from>
    <xdr:to>
      <xdr:col>2</xdr:col>
      <xdr:colOff>513931</xdr:colOff>
      <xdr:row>46</xdr:row>
      <xdr:rowOff>12606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538" y="6447692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366347</xdr:colOff>
      <xdr:row>82</xdr:row>
      <xdr:rowOff>36635</xdr:rowOff>
    </xdr:from>
    <xdr:to>
      <xdr:col>2</xdr:col>
      <xdr:colOff>447990</xdr:colOff>
      <xdr:row>90</xdr:row>
      <xdr:rowOff>225088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597" y="13987097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300403</xdr:colOff>
      <xdr:row>127</xdr:row>
      <xdr:rowOff>58615</xdr:rowOff>
    </xdr:from>
    <xdr:to>
      <xdr:col>2</xdr:col>
      <xdr:colOff>382046</xdr:colOff>
      <xdr:row>136</xdr:row>
      <xdr:rowOff>85875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5653" y="21577788"/>
          <a:ext cx="1224643" cy="1587895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498231</xdr:colOff>
      <xdr:row>37</xdr:row>
      <xdr:rowOff>51288</xdr:rowOff>
    </xdr:from>
    <xdr:to>
      <xdr:col>2</xdr:col>
      <xdr:colOff>579874</xdr:colOff>
      <xdr:row>45</xdr:row>
      <xdr:rowOff>239740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481" y="6411057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417635</xdr:colOff>
      <xdr:row>82</xdr:row>
      <xdr:rowOff>65942</xdr:rowOff>
    </xdr:from>
    <xdr:to>
      <xdr:col>2</xdr:col>
      <xdr:colOff>499278</xdr:colOff>
      <xdr:row>91</xdr:row>
      <xdr:rowOff>12606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2885" y="13994423"/>
          <a:ext cx="1224643" cy="158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359019</xdr:colOff>
      <xdr:row>127</xdr:row>
      <xdr:rowOff>73269</xdr:rowOff>
    </xdr:from>
    <xdr:to>
      <xdr:col>2</xdr:col>
      <xdr:colOff>440662</xdr:colOff>
      <xdr:row>136</xdr:row>
      <xdr:rowOff>100529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4269" y="21570461"/>
          <a:ext cx="1224643" cy="15878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3" displayName="Tabla13" ref="B5:H66" totalsRowShown="0" headerRowDxfId="8" dataDxfId="7">
  <autoFilter ref="B5:H66" xr:uid="{00000000-0009-0000-0100-000001000000}"/>
  <tableColumns count="7">
    <tableColumn id="1" xr3:uid="{00000000-0010-0000-0000-000001000000}" name="ÍTEM" dataDxfId="6"/>
    <tableColumn id="3" xr3:uid="{00000000-0010-0000-0000-000003000000}" name="ACTIVIDADES" dataDxfId="5"/>
    <tableColumn id="4" xr3:uid="{00000000-0010-0000-0000-000004000000}" name="UNIDAD" dataDxfId="4"/>
    <tableColumn id="5" xr3:uid="{00000000-0010-0000-0000-000005000000}" name="CANTIDAD" dataDxfId="3"/>
    <tableColumn id="6" xr3:uid="{00000000-0010-0000-0000-000006000000}" name="VR UNITARIO" dataDxfId="2"/>
    <tableColumn id="7" xr3:uid="{00000000-0010-0000-0000-000007000000}" name=" VALOR TOTAL" dataDxfId="1"/>
    <tableColumn id="9" xr3:uid="{66FD7147-CDBF-434D-9317-B3C6B081CDCE}" name="AIU" dataDxfId="0">
      <calculatedColumnFormula>+Tabla13[[#This Row],[ VALOR TOTAL]]*1.3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5"/>
  <sheetViews>
    <sheetView tabSelected="1" view="pageBreakPreview" topLeftCell="B1" zoomScale="85" zoomScaleNormal="100" zoomScaleSheetLayoutView="85" workbookViewId="0">
      <pane xSplit="2" ySplit="6" topLeftCell="D17" activePane="bottomRight" state="frozen"/>
      <selection activeCell="B1" sqref="B1"/>
      <selection pane="topRight" activeCell="D1" sqref="D1"/>
      <selection pane="bottomLeft" activeCell="B7" sqref="B7"/>
      <selection pane="bottomRight" activeCell="H28" sqref="H28"/>
    </sheetView>
  </sheetViews>
  <sheetFormatPr baseColWidth="10" defaultColWidth="10" defaultRowHeight="12.75" x14ac:dyDescent="0.25"/>
  <cols>
    <col min="1" max="1" width="2.5" style="39" customWidth="1"/>
    <col min="2" max="2" width="3.625" style="39" customWidth="1"/>
    <col min="3" max="3" width="70.75" style="39" customWidth="1"/>
    <col min="4" max="4" width="10.25" style="39" bestFit="1" customWidth="1"/>
    <col min="5" max="5" width="10" style="39" customWidth="1"/>
    <col min="6" max="6" width="20.25" style="39" customWidth="1"/>
    <col min="7" max="7" width="18.25" style="39" bestFit="1" customWidth="1"/>
    <col min="8" max="8" width="21.5" style="39" bestFit="1" customWidth="1"/>
    <col min="9" max="9" width="18.25" style="39" customWidth="1"/>
    <col min="10" max="10" width="18.375" style="39" customWidth="1"/>
    <col min="11" max="11" width="19.875" style="39" bestFit="1" customWidth="1"/>
    <col min="12" max="12" width="22.25" style="39" bestFit="1" customWidth="1"/>
    <col min="13" max="13" width="15.625" style="39" bestFit="1" customWidth="1"/>
    <col min="14" max="14" width="17.625" style="39" bestFit="1" customWidth="1"/>
    <col min="15" max="16" width="15.625" style="39" bestFit="1" customWidth="1"/>
    <col min="17" max="16384" width="10" style="39"/>
  </cols>
  <sheetData>
    <row r="1" spans="2:15" ht="15" customHeight="1" x14ac:dyDescent="0.25"/>
    <row r="2" spans="2:15" ht="61.5" customHeight="1" x14ac:dyDescent="0.25">
      <c r="B2" s="375" t="s">
        <v>431</v>
      </c>
      <c r="C2" s="375"/>
      <c r="D2" s="375"/>
      <c r="E2" s="375"/>
      <c r="F2" s="375"/>
      <c r="G2" s="375"/>
      <c r="H2" s="349"/>
      <c r="I2" s="349"/>
    </row>
    <row r="3" spans="2:15" ht="19.5" customHeight="1" x14ac:dyDescent="0.25">
      <c r="B3" s="376" t="s">
        <v>392</v>
      </c>
      <c r="C3" s="376"/>
      <c r="D3" s="376"/>
      <c r="E3" s="376"/>
      <c r="F3" s="341" t="s">
        <v>413</v>
      </c>
      <c r="G3" s="342">
        <v>45375</v>
      </c>
      <c r="H3" s="350"/>
      <c r="I3" s="350"/>
    </row>
    <row r="4" spans="2:15" ht="17.25" customHeight="1" x14ac:dyDescent="0.25">
      <c r="B4" s="343" t="s">
        <v>133</v>
      </c>
      <c r="C4" s="375" t="s">
        <v>394</v>
      </c>
      <c r="D4" s="375"/>
      <c r="E4" s="375"/>
      <c r="F4" s="375"/>
      <c r="G4" s="375"/>
      <c r="H4" s="349"/>
      <c r="I4" s="349"/>
      <c r="K4" s="39">
        <v>1.4E-2</v>
      </c>
      <c r="L4" s="39">
        <v>0.75600000000000001</v>
      </c>
      <c r="M4" s="39">
        <v>0.01</v>
      </c>
      <c r="N4" s="39">
        <v>0.22</v>
      </c>
      <c r="O4" s="344">
        <f>SUM(K4:N4)</f>
        <v>1</v>
      </c>
    </row>
    <row r="5" spans="2:15" ht="25.5" x14ac:dyDescent="0.25">
      <c r="B5" s="329" t="s">
        <v>134</v>
      </c>
      <c r="C5" s="329" t="s">
        <v>135</v>
      </c>
      <c r="D5" s="329" t="s">
        <v>136</v>
      </c>
      <c r="E5" s="329" t="s">
        <v>137</v>
      </c>
      <c r="F5" s="329" t="s">
        <v>138</v>
      </c>
      <c r="G5" s="329" t="s">
        <v>139</v>
      </c>
      <c r="H5" s="329" t="s">
        <v>460</v>
      </c>
      <c r="I5" s="39">
        <v>1.3</v>
      </c>
      <c r="J5" s="345" t="s">
        <v>456</v>
      </c>
      <c r="K5" s="345" t="s">
        <v>457</v>
      </c>
      <c r="L5" s="345" t="s">
        <v>458</v>
      </c>
      <c r="M5" s="345" t="s">
        <v>459</v>
      </c>
      <c r="N5" s="345" t="s">
        <v>32</v>
      </c>
    </row>
    <row r="6" spans="2:15" x14ac:dyDescent="0.25">
      <c r="B6" s="40" t="s">
        <v>140</v>
      </c>
      <c r="C6" s="41" t="s">
        <v>17</v>
      </c>
      <c r="D6" s="42"/>
      <c r="F6" s="43"/>
      <c r="G6" s="43"/>
      <c r="H6" s="43">
        <f>+Tabla13[[#This Row],[ VALOR TOTAL]]*1.3</f>
        <v>0</v>
      </c>
      <c r="I6" s="346">
        <f>SUM(G7:G11)*I5</f>
        <v>37315714.60825</v>
      </c>
      <c r="J6" s="50">
        <f>I6*0.3</f>
        <v>11194714.382475</v>
      </c>
      <c r="M6" s="50">
        <f>I6*0.7</f>
        <v>26121000.225775</v>
      </c>
      <c r="N6" s="50">
        <f>SUM(J6:M6)</f>
        <v>37315714.60825</v>
      </c>
    </row>
    <row r="7" spans="2:15" x14ac:dyDescent="0.25">
      <c r="B7" s="42" t="s">
        <v>33</v>
      </c>
      <c r="C7" s="44" t="s">
        <v>399</v>
      </c>
      <c r="D7" s="42" t="s">
        <v>141</v>
      </c>
      <c r="E7" s="139">
        <f>+'1.1'!AN45</f>
        <v>380.37</v>
      </c>
      <c r="F7" s="43">
        <f>+'1. PRELIMINARES'!I31</f>
        <v>25017</v>
      </c>
      <c r="G7" s="43">
        <f>Tabla13[[#This Row],[VR UNITARIO]]*Tabla13[[#This Row],[CANTIDAD]]</f>
        <v>9515716.290000001</v>
      </c>
      <c r="H7" s="43">
        <f>+Tabla13[[#This Row],[ VALOR TOTAL]]*1.3</f>
        <v>12370431.177000001</v>
      </c>
    </row>
    <row r="8" spans="2:15" x14ac:dyDescent="0.25">
      <c r="B8" s="42" t="s">
        <v>43</v>
      </c>
      <c r="C8" s="44" t="s">
        <v>403</v>
      </c>
      <c r="D8" s="42" t="s">
        <v>153</v>
      </c>
      <c r="E8" s="139">
        <f>+'1.2'!AN39</f>
        <v>23</v>
      </c>
      <c r="F8" s="43">
        <f>+'1. PRELIMINARES'!I114</f>
        <v>27756</v>
      </c>
      <c r="G8" s="43">
        <f>Tabla13[[#This Row],[VR UNITARIO]]*Tabla13[[#This Row],[CANTIDAD]]</f>
        <v>638388</v>
      </c>
      <c r="H8" s="43">
        <f>+Tabla13[[#This Row],[ VALOR TOTAL]]*1.3</f>
        <v>829904.4</v>
      </c>
    </row>
    <row r="9" spans="2:15" x14ac:dyDescent="0.25">
      <c r="B9" s="42" t="s">
        <v>42</v>
      </c>
      <c r="C9" s="279" t="s">
        <v>405</v>
      </c>
      <c r="D9" s="42" t="s">
        <v>153</v>
      </c>
      <c r="E9" s="139">
        <f>+'1.3'!AN36</f>
        <v>20</v>
      </c>
      <c r="F9" s="43">
        <f>+'1. PRELIMINARES'!G121</f>
        <v>34695</v>
      </c>
      <c r="G9" s="43">
        <f>Tabla13[[#This Row],[VR UNITARIO]]*Tabla13[[#This Row],[CANTIDAD]]</f>
        <v>693900</v>
      </c>
      <c r="H9" s="43">
        <f>+Tabla13[[#This Row],[ VALOR TOTAL]]*1.3</f>
        <v>902070</v>
      </c>
    </row>
    <row r="10" spans="2:15" x14ac:dyDescent="0.25">
      <c r="B10" s="42" t="s">
        <v>400</v>
      </c>
      <c r="C10" s="279" t="s">
        <v>402</v>
      </c>
      <c r="D10" s="42" t="s">
        <v>141</v>
      </c>
      <c r="E10" s="139">
        <f>+'1.4'!AN40</f>
        <v>488.57</v>
      </c>
      <c r="F10" s="43">
        <f>+'1. PRELIMINARES'!G159</f>
        <v>36406.25</v>
      </c>
      <c r="G10" s="43">
        <f>Tabla13[[#This Row],[VR UNITARIO]]*Tabla13[[#This Row],[CANTIDAD]]</f>
        <v>17787001.5625</v>
      </c>
      <c r="H10" s="43">
        <f>+Tabla13[[#This Row],[ VALOR TOTAL]]*1.3</f>
        <v>23123102.03125</v>
      </c>
    </row>
    <row r="11" spans="2:15" x14ac:dyDescent="0.25">
      <c r="B11" s="42" t="s">
        <v>401</v>
      </c>
      <c r="C11" s="279" t="s">
        <v>404</v>
      </c>
      <c r="D11" s="42" t="s">
        <v>153</v>
      </c>
      <c r="E11" s="139">
        <f>+'1.5'!AN34</f>
        <v>2</v>
      </c>
      <c r="F11" s="43">
        <f>+'1. PRELIMINARES'!G197</f>
        <v>34695</v>
      </c>
      <c r="G11" s="43">
        <f>Tabla13[[#This Row],[VR UNITARIO]]*Tabla13[[#This Row],[CANTIDAD]]</f>
        <v>69390</v>
      </c>
      <c r="H11" s="43">
        <f>+Tabla13[[#This Row],[ VALOR TOTAL]]*1.3</f>
        <v>90207</v>
      </c>
    </row>
    <row r="12" spans="2:15" x14ac:dyDescent="0.25">
      <c r="B12" s="40" t="s">
        <v>143</v>
      </c>
      <c r="C12" s="41" t="s">
        <v>38</v>
      </c>
      <c r="D12" s="42"/>
      <c r="F12" s="43"/>
      <c r="G12" s="43"/>
      <c r="H12" s="43">
        <f>+Tabla13[[#This Row],[ VALOR TOTAL]]*1.3</f>
        <v>0</v>
      </c>
      <c r="I12" s="346">
        <f>SUM(G13)*I5</f>
        <v>163006.42800018442</v>
      </c>
      <c r="J12" s="50">
        <f>I12*$K$4</f>
        <v>2282.0899920025818</v>
      </c>
      <c r="K12" s="50">
        <f>I12*$L$4</f>
        <v>123232.85956813942</v>
      </c>
      <c r="L12" s="50">
        <f>I12*$M$4</f>
        <v>1630.0642800018443</v>
      </c>
      <c r="M12" s="50">
        <f>I12*$N$4</f>
        <v>35861.414160040571</v>
      </c>
      <c r="N12" s="50">
        <f>SUM(J12:M12)</f>
        <v>163006.42800018442</v>
      </c>
    </row>
    <row r="13" spans="2:15" x14ac:dyDescent="0.25">
      <c r="B13" s="42" t="s">
        <v>37</v>
      </c>
      <c r="C13" s="44" t="s">
        <v>360</v>
      </c>
      <c r="D13" s="42" t="s">
        <v>141</v>
      </c>
      <c r="E13" s="139">
        <v>2.1602501550572302</v>
      </c>
      <c r="F13" s="43">
        <f>+'2. URBANISMO'!I38</f>
        <v>58044</v>
      </c>
      <c r="G13" s="43">
        <f>Tabla13[[#This Row],[VR UNITARIO]]*Tabla13[[#This Row],[CANTIDAD]]</f>
        <v>125389.56000014186</v>
      </c>
      <c r="H13" s="43">
        <f>+Tabla13[[#This Row],[ VALOR TOTAL]]*1.3</f>
        <v>163006.42800018442</v>
      </c>
    </row>
    <row r="14" spans="2:15" x14ac:dyDescent="0.25">
      <c r="B14" s="40" t="s">
        <v>144</v>
      </c>
      <c r="C14" s="41" t="s">
        <v>44</v>
      </c>
      <c r="D14" s="42"/>
      <c r="F14" s="43"/>
      <c r="G14" s="43"/>
      <c r="H14" s="43">
        <f>+Tabla13[[#This Row],[ VALOR TOTAL]]*1.3</f>
        <v>0</v>
      </c>
      <c r="I14" s="346">
        <f>SUM(G15:G17)*I5</f>
        <v>59632377.766000003</v>
      </c>
      <c r="J14" s="50">
        <f>I14*$K$4</f>
        <v>834853.2887240001</v>
      </c>
      <c r="K14" s="50">
        <f>I14*$L$4</f>
        <v>45082077.591095999</v>
      </c>
      <c r="L14" s="50">
        <f>I14*$M$4</f>
        <v>596323.77766000002</v>
      </c>
      <c r="M14" s="50">
        <f>I14*$N$4</f>
        <v>13119123.108520001</v>
      </c>
      <c r="N14" s="50">
        <f>SUM(J14:M14)</f>
        <v>59632377.765999995</v>
      </c>
    </row>
    <row r="15" spans="2:15" x14ac:dyDescent="0.25">
      <c r="B15" s="42" t="s">
        <v>41</v>
      </c>
      <c r="C15" s="44" t="s">
        <v>45</v>
      </c>
      <c r="D15" s="42" t="s">
        <v>141</v>
      </c>
      <c r="E15" s="139">
        <f>+'3.1'!AN45</f>
        <v>583.46</v>
      </c>
      <c r="F15" s="43">
        <f>+'3. CUBIERTA'!I37</f>
        <v>58212</v>
      </c>
      <c r="G15" s="43">
        <f>Tabla13[[#This Row],[VR UNITARIO]]*Tabla13[[#This Row],[CANTIDAD]]</f>
        <v>33964373.520000003</v>
      </c>
      <c r="H15" s="43">
        <f>+Tabla13[[#This Row],[ VALOR TOTAL]]*1.3</f>
        <v>44153685.576000005</v>
      </c>
    </row>
    <row r="16" spans="2:15" ht="25.5" x14ac:dyDescent="0.25">
      <c r="B16" s="42" t="s">
        <v>46</v>
      </c>
      <c r="C16" s="44" t="s">
        <v>407</v>
      </c>
      <c r="D16" s="42" t="s">
        <v>141</v>
      </c>
      <c r="E16" s="139">
        <f>+'3.2'!AN46</f>
        <v>183.25</v>
      </c>
      <c r="F16" s="43">
        <f>+'3. CUBIERTA'!I82</f>
        <v>47736</v>
      </c>
      <c r="G16" s="43">
        <f>Tabla13[[#This Row],[VR UNITARIO]]*Tabla13[[#This Row],[CANTIDAD]]</f>
        <v>8747622</v>
      </c>
      <c r="H16" s="43">
        <f>+Tabla13[[#This Row],[ VALOR TOTAL]]*1.3</f>
        <v>11371908.6</v>
      </c>
    </row>
    <row r="17" spans="2:14" x14ac:dyDescent="0.25">
      <c r="B17" s="42" t="s">
        <v>47</v>
      </c>
      <c r="C17" s="44" t="s">
        <v>48</v>
      </c>
      <c r="D17" s="42" t="s">
        <v>142</v>
      </c>
      <c r="E17" s="139">
        <f>+'3.3'!AN45</f>
        <v>151.9</v>
      </c>
      <c r="F17" s="43">
        <f>+'3. CUBIERTA'!I127</f>
        <v>20797</v>
      </c>
      <c r="G17" s="43">
        <f>Tabla13[[#This Row],[VR UNITARIO]]*Tabla13[[#This Row],[CANTIDAD]]</f>
        <v>3159064.3000000003</v>
      </c>
      <c r="H17" s="43">
        <f>+Tabla13[[#This Row],[ VALOR TOTAL]]*1.3</f>
        <v>4106783.5900000003</v>
      </c>
    </row>
    <row r="18" spans="2:14" x14ac:dyDescent="0.25">
      <c r="B18" s="42"/>
      <c r="C18" s="355"/>
      <c r="D18" s="42"/>
      <c r="E18" s="139"/>
      <c r="F18" s="43"/>
      <c r="G18" s="43"/>
      <c r="H18" s="43">
        <f>+Tabla13[[#This Row],[ VALOR TOTAL]]*1.3</f>
        <v>0</v>
      </c>
    </row>
    <row r="19" spans="2:14" x14ac:dyDescent="0.25">
      <c r="B19" s="40" t="s">
        <v>145</v>
      </c>
      <c r="C19" s="41" t="s">
        <v>49</v>
      </c>
      <c r="D19" s="42"/>
      <c r="F19" s="43"/>
      <c r="G19" s="43"/>
      <c r="H19" s="43">
        <f>+Tabla13[[#This Row],[ VALOR TOTAL]]*1.3</f>
        <v>0</v>
      </c>
      <c r="I19" s="346">
        <f>SUM(G20:G24)*I5</f>
        <v>48795171.659000009</v>
      </c>
      <c r="J19" s="50">
        <f>I19*$K$4</f>
        <v>683132.40322600014</v>
      </c>
      <c r="K19" s="50">
        <f>I19*$L$4</f>
        <v>36889149.774204008</v>
      </c>
      <c r="L19" s="50">
        <f>I19*$M$4</f>
        <v>487951.71659000008</v>
      </c>
      <c r="M19" s="50">
        <f>I19*$N$4</f>
        <v>10734937.764980001</v>
      </c>
      <c r="N19" s="50">
        <f>SUM(J19:M19)</f>
        <v>48795171.659000017</v>
      </c>
    </row>
    <row r="20" spans="2:14" x14ac:dyDescent="0.25">
      <c r="B20" s="42" t="s">
        <v>146</v>
      </c>
      <c r="C20" s="44" t="s">
        <v>50</v>
      </c>
      <c r="D20" s="42" t="s">
        <v>141</v>
      </c>
      <c r="E20" s="139">
        <f>+'4.1'!AN53</f>
        <v>482.45</v>
      </c>
      <c r="F20" s="43">
        <f>+'4. MAMPOSTERIA'!I266</f>
        <v>28238</v>
      </c>
      <c r="G20" s="43">
        <f>Tabla13[[#This Row],[VR UNITARIO]]*Tabla13[[#This Row],[CANTIDAD]]</f>
        <v>13623423.1</v>
      </c>
      <c r="H20" s="43">
        <f>+Tabla13[[#This Row],[ VALOR TOTAL]]*1.3</f>
        <v>17710450.030000001</v>
      </c>
    </row>
    <row r="21" spans="2:14" x14ac:dyDescent="0.25">
      <c r="B21" s="42" t="s">
        <v>148</v>
      </c>
      <c r="C21" s="44" t="s">
        <v>51</v>
      </c>
      <c r="D21" s="42" t="s">
        <v>141</v>
      </c>
      <c r="E21" s="139">
        <f>+'4.2'!AN45</f>
        <v>81.53</v>
      </c>
      <c r="F21" s="43">
        <f>+'4. MAMPOSTERIA'!I311</f>
        <v>33594</v>
      </c>
      <c r="G21" s="43">
        <f>Tabla13[[#This Row],[VR UNITARIO]]*Tabla13[[#This Row],[CANTIDAD]]</f>
        <v>2738918.82</v>
      </c>
      <c r="H21" s="43">
        <f>+Tabla13[[#This Row],[ VALOR TOTAL]]*1.3</f>
        <v>3560594.466</v>
      </c>
    </row>
    <row r="22" spans="2:14" x14ac:dyDescent="0.25">
      <c r="B22" s="42" t="s">
        <v>150</v>
      </c>
      <c r="C22" s="44" t="s">
        <v>56</v>
      </c>
      <c r="D22" s="42" t="s">
        <v>141</v>
      </c>
      <c r="E22" s="139">
        <f>+'4.3'!AN45</f>
        <v>1335.88</v>
      </c>
      <c r="F22" s="43">
        <f>+'4. MAMPOSTERIA'!I356</f>
        <v>5855</v>
      </c>
      <c r="G22" s="43">
        <f>Tabla13[[#This Row],[VR UNITARIO]]*Tabla13[[#This Row],[CANTIDAD]]</f>
        <v>7821577.4000000004</v>
      </c>
      <c r="H22" s="43">
        <f>+Tabla13[[#This Row],[ VALOR TOTAL]]*1.3</f>
        <v>10168050.620000001</v>
      </c>
    </row>
    <row r="23" spans="2:14" x14ac:dyDescent="0.25">
      <c r="B23" s="42" t="s">
        <v>151</v>
      </c>
      <c r="C23" s="44" t="s">
        <v>60</v>
      </c>
      <c r="D23" s="42" t="s">
        <v>141</v>
      </c>
      <c r="E23" s="139">
        <f>+'4.4'!AN45</f>
        <v>239.36</v>
      </c>
      <c r="F23" s="43">
        <f>+'4. MAMPOSTERIA'!I401</f>
        <v>40195</v>
      </c>
      <c r="G23" s="43">
        <f>Tabla13[[#This Row],[VR UNITARIO]]*Tabla13[[#This Row],[CANTIDAD]]</f>
        <v>9621075.2000000011</v>
      </c>
      <c r="H23" s="43">
        <f>+Tabla13[[#This Row],[ VALOR TOTAL]]*1.3</f>
        <v>12507397.760000002</v>
      </c>
    </row>
    <row r="24" spans="2:14" x14ac:dyDescent="0.25">
      <c r="B24" s="42" t="s">
        <v>152</v>
      </c>
      <c r="C24" s="44" t="s">
        <v>62</v>
      </c>
      <c r="D24" s="42" t="s">
        <v>141</v>
      </c>
      <c r="E24" s="139">
        <f>+'4.5'!AN45</f>
        <v>81.53</v>
      </c>
      <c r="F24" s="43">
        <f>+'4. MAMPOSTERIA'!I446</f>
        <v>45747</v>
      </c>
      <c r="G24" s="43">
        <f>Tabla13[[#This Row],[VR UNITARIO]]*Tabla13[[#This Row],[CANTIDAD]]</f>
        <v>3729752.91</v>
      </c>
      <c r="H24" s="43">
        <f>+Tabla13[[#This Row],[ VALOR TOTAL]]*1.3</f>
        <v>4848678.7830000008</v>
      </c>
    </row>
    <row r="25" spans="2:14" x14ac:dyDescent="0.25">
      <c r="B25" s="40" t="s">
        <v>154</v>
      </c>
      <c r="C25" s="41" t="s">
        <v>64</v>
      </c>
      <c r="D25" s="42"/>
      <c r="F25" s="43"/>
      <c r="G25" s="43"/>
      <c r="H25" s="43">
        <f>+Tabla13[[#This Row],[ VALOR TOTAL]]*1.3</f>
        <v>0</v>
      </c>
      <c r="I25" s="346">
        <f>SUM(G26:G30)*I5</f>
        <v>151203413.296</v>
      </c>
      <c r="J25" s="50">
        <f>I25*$K$4</f>
        <v>2116847.786144</v>
      </c>
      <c r="K25" s="50">
        <f>I25*$L$4</f>
        <v>114309780.451776</v>
      </c>
      <c r="L25" s="50">
        <f>I25*$M$4</f>
        <v>1512034.1329600001</v>
      </c>
      <c r="M25" s="50">
        <f>I25*$N$4</f>
        <v>33264750.92512</v>
      </c>
      <c r="N25" s="50">
        <f>SUM(J25:M25)</f>
        <v>151203413.296</v>
      </c>
    </row>
    <row r="26" spans="2:14" x14ac:dyDescent="0.25">
      <c r="B26" s="42" t="s">
        <v>63</v>
      </c>
      <c r="C26" s="44" t="s">
        <v>65</v>
      </c>
      <c r="D26" s="42" t="s">
        <v>141</v>
      </c>
      <c r="E26" s="139">
        <f>+'5.1'!AN45</f>
        <v>380.37</v>
      </c>
      <c r="F26" s="43">
        <f>+'5. PISOS'!I37</f>
        <v>31511</v>
      </c>
      <c r="G26" s="43">
        <f>Tabla13[[#This Row],[VR UNITARIO]]*Tabla13[[#This Row],[CANTIDAD]]</f>
        <v>11985839.07</v>
      </c>
      <c r="H26" s="43">
        <f>+Tabla13[[#This Row],[ VALOR TOTAL]]*1.3</f>
        <v>15581590.791000001</v>
      </c>
    </row>
    <row r="27" spans="2:14" ht="25.5" x14ac:dyDescent="0.25">
      <c r="B27" s="42" t="s">
        <v>66</v>
      </c>
      <c r="C27" s="44" t="s">
        <v>361</v>
      </c>
      <c r="D27" s="42" t="s">
        <v>141</v>
      </c>
      <c r="E27" s="139">
        <f>+'5.2'!AN45</f>
        <v>5.3</v>
      </c>
      <c r="F27" s="43">
        <f>+'5. PISOS'!I82</f>
        <v>73662</v>
      </c>
      <c r="G27" s="43">
        <f>Tabla13[[#This Row],[VR UNITARIO]]*Tabla13[[#This Row],[CANTIDAD]]</f>
        <v>390408.6</v>
      </c>
      <c r="H27" s="43">
        <f>+Tabla13[[#This Row],[ VALOR TOTAL]]*1.3</f>
        <v>507531.18</v>
      </c>
    </row>
    <row r="28" spans="2:14" x14ac:dyDescent="0.25">
      <c r="B28" s="42" t="s">
        <v>68</v>
      </c>
      <c r="C28" s="44" t="s">
        <v>67</v>
      </c>
      <c r="D28" s="42" t="s">
        <v>142</v>
      </c>
      <c r="E28" s="139">
        <f>+'5.3'!AN45</f>
        <v>151.9</v>
      </c>
      <c r="F28" s="43">
        <f>+'5. PISOS'!I127</f>
        <v>39552</v>
      </c>
      <c r="G28" s="43">
        <f>Tabla13[[#This Row],[VR UNITARIO]]*Tabla13[[#This Row],[CANTIDAD]]</f>
        <v>6007948.7999999998</v>
      </c>
      <c r="H28" s="43">
        <f>+Tabla13[[#This Row],[ VALOR TOTAL]]*1.3</f>
        <v>7810333.4400000004</v>
      </c>
    </row>
    <row r="29" spans="2:14" x14ac:dyDescent="0.25">
      <c r="B29" s="42" t="s">
        <v>155</v>
      </c>
      <c r="C29" s="44" t="s">
        <v>362</v>
      </c>
      <c r="D29" s="42" t="s">
        <v>141</v>
      </c>
      <c r="E29" s="139">
        <f>+'5.4'!AN45</f>
        <v>380.37</v>
      </c>
      <c r="F29" s="43">
        <f>+'5. PISOS'!I173</f>
        <v>126752</v>
      </c>
      <c r="G29" s="43">
        <f>Tabla13[[#This Row],[VR UNITARIO]]*Tabla13[[#This Row],[CANTIDAD]]</f>
        <v>48212658.240000002</v>
      </c>
      <c r="H29" s="43">
        <f>+Tabla13[[#This Row],[ VALOR TOTAL]]*1.3</f>
        <v>62676455.712000005</v>
      </c>
    </row>
    <row r="30" spans="2:14" ht="25.5" x14ac:dyDescent="0.25">
      <c r="B30" s="42" t="s">
        <v>70</v>
      </c>
      <c r="C30" s="44" t="s">
        <v>71</v>
      </c>
      <c r="D30" s="42" t="s">
        <v>141</v>
      </c>
      <c r="E30" s="139">
        <f>+'5.5'!AN45</f>
        <v>488.57</v>
      </c>
      <c r="F30" s="43">
        <f>+'5. PISOS'!I218</f>
        <v>101753</v>
      </c>
      <c r="G30" s="43">
        <f>Tabla13[[#This Row],[VR UNITARIO]]*Tabla13[[#This Row],[CANTIDAD]]</f>
        <v>49713463.210000001</v>
      </c>
      <c r="H30" s="43">
        <f>+Tabla13[[#This Row],[ VALOR TOTAL]]*1.3</f>
        <v>64627502.173</v>
      </c>
    </row>
    <row r="31" spans="2:14" x14ac:dyDescent="0.25">
      <c r="B31" s="40" t="s">
        <v>156</v>
      </c>
      <c r="C31" s="41" t="s">
        <v>73</v>
      </c>
      <c r="D31" s="42"/>
      <c r="F31" s="43"/>
      <c r="G31" s="43"/>
      <c r="H31" s="43">
        <f>+Tabla13[[#This Row],[ VALOR TOTAL]]*1.3</f>
        <v>0</v>
      </c>
      <c r="I31" s="346">
        <f>SUM(G32:G38)*I5</f>
        <v>29679913.419</v>
      </c>
      <c r="J31" s="50">
        <f>I31*$K$4</f>
        <v>415518.78786600003</v>
      </c>
      <c r="K31" s="50">
        <f>I31*$L$4</f>
        <v>22438014.544764001</v>
      </c>
      <c r="L31" s="50">
        <f>I31*$M$4</f>
        <v>296799.13419000001</v>
      </c>
      <c r="M31" s="50">
        <f>I31*$N$4</f>
        <v>6529580.95218</v>
      </c>
      <c r="N31" s="50">
        <f>SUM(J31:M31)</f>
        <v>29679913.419</v>
      </c>
    </row>
    <row r="32" spans="2:14" x14ac:dyDescent="0.25">
      <c r="B32" s="42" t="s">
        <v>72</v>
      </c>
      <c r="C32" s="44" t="s">
        <v>74</v>
      </c>
      <c r="D32" s="42" t="s">
        <v>141</v>
      </c>
      <c r="E32" s="139">
        <f>+'6.1'!AN45</f>
        <v>87.05</v>
      </c>
      <c r="F32" s="43">
        <f>+'6. BAÑOS'!I37</f>
        <v>65211</v>
      </c>
      <c r="G32" s="43">
        <f>Tabla13[[#This Row],[VR UNITARIO]]*Tabla13[[#This Row],[CANTIDAD]]</f>
        <v>5676617.5499999998</v>
      </c>
      <c r="H32" s="43">
        <f>+Tabla13[[#This Row],[ VALOR TOTAL]]*1.3</f>
        <v>7379602.8150000004</v>
      </c>
    </row>
    <row r="33" spans="2:14" ht="25.5" x14ac:dyDescent="0.25">
      <c r="B33" s="42" t="s">
        <v>75</v>
      </c>
      <c r="C33" s="44" t="s">
        <v>366</v>
      </c>
      <c r="D33" s="42" t="s">
        <v>141</v>
      </c>
      <c r="E33" s="139">
        <f>+'6.2'!AN45</f>
        <v>108.81</v>
      </c>
      <c r="F33" s="43">
        <f>+'6. BAÑOS'!I82</f>
        <v>91468</v>
      </c>
      <c r="G33" s="43">
        <f>Tabla13[[#This Row],[VR UNITARIO]]*Tabla13[[#This Row],[CANTIDAD]]</f>
        <v>9952633.0800000001</v>
      </c>
      <c r="H33" s="43">
        <f>+Tabla13[[#This Row],[ VALOR TOTAL]]*1.3</f>
        <v>12938423.004000001</v>
      </c>
    </row>
    <row r="34" spans="2:14" ht="25.5" x14ac:dyDescent="0.25">
      <c r="B34" s="42" t="s">
        <v>76</v>
      </c>
      <c r="C34" s="44" t="s">
        <v>365</v>
      </c>
      <c r="D34" s="42" t="s">
        <v>153</v>
      </c>
      <c r="E34" s="45">
        <f>+'6.3'!AN45</f>
        <v>8</v>
      </c>
      <c r="F34" s="43">
        <f>+'6. BAÑOS'!I127</f>
        <v>389548</v>
      </c>
      <c r="G34" s="43">
        <f>Tabla13[[#This Row],[VR UNITARIO]]*Tabla13[[#This Row],[CANTIDAD]]</f>
        <v>3116384</v>
      </c>
      <c r="H34" s="43">
        <f>+Tabla13[[#This Row],[ VALOR TOTAL]]*1.3</f>
        <v>4051299.2</v>
      </c>
    </row>
    <row r="35" spans="2:14" ht="38.25" x14ac:dyDescent="0.25">
      <c r="B35" s="42" t="s">
        <v>78</v>
      </c>
      <c r="C35" s="44" t="s">
        <v>364</v>
      </c>
      <c r="D35" s="42" t="s">
        <v>153</v>
      </c>
      <c r="E35" s="45">
        <f>+'6.4'!AN45</f>
        <v>8</v>
      </c>
      <c r="F35" s="43">
        <f>+'6. BAÑOS'!I172</f>
        <v>282124</v>
      </c>
      <c r="G35" s="43">
        <f>Tabla13[[#This Row],[VR UNITARIO]]*Tabla13[[#This Row],[CANTIDAD]]</f>
        <v>2256992</v>
      </c>
      <c r="H35" s="43">
        <f>+Tabla13[[#This Row],[ VALOR TOTAL]]*1.3</f>
        <v>2934089.6</v>
      </c>
    </row>
    <row r="36" spans="2:14" ht="25.5" x14ac:dyDescent="0.25">
      <c r="B36" s="42" t="s">
        <v>157</v>
      </c>
      <c r="C36" s="44" t="s">
        <v>80</v>
      </c>
      <c r="D36" s="42" t="s">
        <v>153</v>
      </c>
      <c r="E36" s="45">
        <f>+'6.5'!AN45</f>
        <v>8</v>
      </c>
      <c r="F36" s="43">
        <f>+'6. BAÑOS'!I217</f>
        <v>91751</v>
      </c>
      <c r="G36" s="43">
        <f>Tabla13[[#This Row],[VR UNITARIO]]*Tabla13[[#This Row],[CANTIDAD]]</f>
        <v>734008</v>
      </c>
      <c r="H36" s="43">
        <f>+Tabla13[[#This Row],[ VALOR TOTAL]]*1.3</f>
        <v>954210.4</v>
      </c>
    </row>
    <row r="37" spans="2:14" ht="25.5" x14ac:dyDescent="0.25">
      <c r="B37" s="42" t="s">
        <v>79</v>
      </c>
      <c r="C37" s="44" t="s">
        <v>82</v>
      </c>
      <c r="D37" s="42" t="s">
        <v>153</v>
      </c>
      <c r="E37" s="45">
        <f>+'6.6'!AN45</f>
        <v>8</v>
      </c>
      <c r="F37" s="43">
        <f>+'6. BAÑOS'!I262</f>
        <v>56651</v>
      </c>
      <c r="G37" s="43">
        <f>Tabla13[[#This Row],[VR UNITARIO]]*Tabla13[[#This Row],[CANTIDAD]]</f>
        <v>453208</v>
      </c>
      <c r="H37" s="43">
        <f>+Tabla13[[#This Row],[ VALOR TOTAL]]*1.3</f>
        <v>589170.4</v>
      </c>
    </row>
    <row r="38" spans="2:14" ht="25.5" x14ac:dyDescent="0.25">
      <c r="B38" s="42" t="s">
        <v>81</v>
      </c>
      <c r="C38" s="44" t="s">
        <v>363</v>
      </c>
      <c r="D38" s="42" t="s">
        <v>153</v>
      </c>
      <c r="E38" s="45">
        <f>+'6.7'!AN45</f>
        <v>2</v>
      </c>
      <c r="F38" s="43">
        <f>+'6. BAÑOS'!I307</f>
        <v>320430</v>
      </c>
      <c r="G38" s="43">
        <f>Tabla13[[#This Row],[VR UNITARIO]]*Tabla13[[#This Row],[CANTIDAD]]</f>
        <v>640860</v>
      </c>
      <c r="H38" s="43">
        <f>+Tabla13[[#This Row],[ VALOR TOTAL]]*1.3</f>
        <v>833118</v>
      </c>
    </row>
    <row r="39" spans="2:14" x14ac:dyDescent="0.25">
      <c r="B39" s="40" t="s">
        <v>158</v>
      </c>
      <c r="C39" s="41" t="s">
        <v>132</v>
      </c>
      <c r="D39" s="42"/>
      <c r="F39" s="43"/>
      <c r="G39" s="43"/>
      <c r="H39" s="43">
        <f>+Tabla13[[#This Row],[ VALOR TOTAL]]*1.3</f>
        <v>0</v>
      </c>
      <c r="I39" s="346">
        <f>SUM(G40:G44)*I5</f>
        <v>25526453.484999999</v>
      </c>
      <c r="J39" s="50">
        <f>I39*$K$4</f>
        <v>357370.34879000002</v>
      </c>
      <c r="K39" s="50">
        <f>I39*$L$4</f>
        <v>19297998.834660001</v>
      </c>
      <c r="L39" s="50">
        <f>I39*$M$4</f>
        <v>255264.53485</v>
      </c>
      <c r="M39" s="50">
        <f>I39*$N$4</f>
        <v>5615819.7666999996</v>
      </c>
      <c r="N39" s="50">
        <f>SUM(J39:M39)</f>
        <v>25526453.485000003</v>
      </c>
    </row>
    <row r="40" spans="2:14" x14ac:dyDescent="0.25">
      <c r="B40" s="42" t="s">
        <v>84</v>
      </c>
      <c r="C40" s="46" t="s">
        <v>85</v>
      </c>
      <c r="D40" s="42" t="s">
        <v>142</v>
      </c>
      <c r="E40" s="45">
        <f>+'7.1'!AN45</f>
        <v>4.45</v>
      </c>
      <c r="F40" s="43">
        <f>+'7. CARPINTERIA'!I37</f>
        <v>761945</v>
      </c>
      <c r="G40" s="43">
        <f>Tabla13[[#This Row],[VR UNITARIO]]*Tabla13[[#This Row],[CANTIDAD]]</f>
        <v>3390655.25</v>
      </c>
      <c r="H40" s="43">
        <f>+Tabla13[[#This Row],[ VALOR TOTAL]]*1.3</f>
        <v>4407851.8250000002</v>
      </c>
    </row>
    <row r="41" spans="2:14" ht="25.5" x14ac:dyDescent="0.25">
      <c r="B41" s="42" t="s">
        <v>86</v>
      </c>
      <c r="C41" s="44" t="s">
        <v>415</v>
      </c>
      <c r="D41" s="42" t="s">
        <v>153</v>
      </c>
      <c r="E41" s="45">
        <f>+'7.2'!AN45</f>
        <v>2</v>
      </c>
      <c r="F41" s="43">
        <f>+'7. CARPINTERIA'!I82</f>
        <v>456016</v>
      </c>
      <c r="G41" s="43">
        <f>Tabla13[[#This Row],[VR UNITARIO]]*Tabla13[[#This Row],[CANTIDAD]]</f>
        <v>912032</v>
      </c>
      <c r="H41" s="43">
        <f>+Tabla13[[#This Row],[ VALOR TOTAL]]*1.3</f>
        <v>1185641.6000000001</v>
      </c>
    </row>
    <row r="42" spans="2:14" x14ac:dyDescent="0.25">
      <c r="B42" s="42" t="s">
        <v>87</v>
      </c>
      <c r="C42" s="44" t="s">
        <v>88</v>
      </c>
      <c r="D42" s="42" t="s">
        <v>153</v>
      </c>
      <c r="E42" s="45">
        <f>+'7.3'!AN45</f>
        <v>23</v>
      </c>
      <c r="F42" s="43">
        <f>+'7. CARPINTERIA'!I127</f>
        <v>611307</v>
      </c>
      <c r="G42" s="43">
        <f>Tabla13[[#This Row],[VR UNITARIO]]*Tabla13[[#This Row],[CANTIDAD]]</f>
        <v>14060061</v>
      </c>
      <c r="H42" s="43">
        <f>+Tabla13[[#This Row],[ VALOR TOTAL]]*1.3</f>
        <v>18278079.300000001</v>
      </c>
    </row>
    <row r="43" spans="2:14" x14ac:dyDescent="0.25">
      <c r="B43" s="42" t="s">
        <v>89</v>
      </c>
      <c r="C43" s="44" t="s">
        <v>90</v>
      </c>
      <c r="D43" s="42" t="s">
        <v>141</v>
      </c>
      <c r="E43" s="139">
        <f>+'7.4'!AN45</f>
        <v>2.16</v>
      </c>
      <c r="F43" s="43">
        <f>+'7. CARPINTERIA'!I172</f>
        <v>589345</v>
      </c>
      <c r="G43" s="43">
        <f>Tabla13[[#This Row],[VR UNITARIO]]*Tabla13[[#This Row],[CANTIDAD]]</f>
        <v>1272985.2000000002</v>
      </c>
      <c r="H43" s="43">
        <f>+Tabla13[[#This Row],[ VALOR TOTAL]]*1.3</f>
        <v>1654880.7600000002</v>
      </c>
    </row>
    <row r="44" spans="2:14" x14ac:dyDescent="0.25">
      <c r="B44" s="42"/>
      <c r="C44" s="330"/>
      <c r="D44" s="42"/>
      <c r="E44" s="45"/>
      <c r="F44" s="43"/>
      <c r="G44" s="43"/>
      <c r="H44" s="43">
        <f>+Tabla13[[#This Row],[ VALOR TOTAL]]*1.3</f>
        <v>0</v>
      </c>
    </row>
    <row r="45" spans="2:14" x14ac:dyDescent="0.25">
      <c r="B45" s="40" t="s">
        <v>159</v>
      </c>
      <c r="C45" s="41" t="s">
        <v>446</v>
      </c>
      <c r="D45" s="42"/>
      <c r="F45" s="43"/>
      <c r="G45" s="43"/>
      <c r="H45" s="43">
        <f>+Tabla13[[#This Row],[ VALOR TOTAL]]*1.3</f>
        <v>0</v>
      </c>
      <c r="I45" s="346">
        <f>SUM(G46:G51)*I5</f>
        <v>54259501.399999999</v>
      </c>
      <c r="J45" s="50">
        <f>I45*$K$4</f>
        <v>759633.0196</v>
      </c>
      <c r="K45" s="50">
        <f>I45*$L$4</f>
        <v>41020183.058399998</v>
      </c>
      <c r="L45" s="50">
        <f>I45*$M$4</f>
        <v>542595.01399999997</v>
      </c>
      <c r="M45" s="50">
        <f>I45*$N$4</f>
        <v>11937090.308</v>
      </c>
      <c r="N45" s="50">
        <f>SUM(J45:M45)</f>
        <v>54259501.399999991</v>
      </c>
    </row>
    <row r="46" spans="2:14" x14ac:dyDescent="0.25">
      <c r="B46" s="338" t="s">
        <v>92</v>
      </c>
      <c r="C46" s="330" t="s">
        <v>448</v>
      </c>
      <c r="D46" s="338" t="s">
        <v>153</v>
      </c>
      <c r="E46" s="339">
        <f>+'8.1'!AN45</f>
        <v>13</v>
      </c>
      <c r="F46" s="340">
        <f>+'8. ELECTRICO'!I37</f>
        <v>70023</v>
      </c>
      <c r="G46" s="340">
        <f>Tabla13[[#This Row],[VR UNITARIO]]*Tabla13[[#This Row],[CANTIDAD]]</f>
        <v>910299</v>
      </c>
      <c r="H46" s="340">
        <f>+Tabla13[[#This Row],[ VALOR TOTAL]]*1.3</f>
        <v>1183388.7</v>
      </c>
    </row>
    <row r="47" spans="2:14" x14ac:dyDescent="0.25">
      <c r="B47" s="338" t="s">
        <v>94</v>
      </c>
      <c r="C47" s="330" t="s">
        <v>451</v>
      </c>
      <c r="D47" s="338" t="s">
        <v>153</v>
      </c>
      <c r="E47" s="339">
        <f>+'8.2'!AN45</f>
        <v>70</v>
      </c>
      <c r="F47" s="340">
        <f>+'8. ELECTRICO'!I82</f>
        <v>70023</v>
      </c>
      <c r="G47" s="340">
        <f>+Tabla13[[#This Row],[VR UNITARIO]]*Tabla13[[#This Row],[CANTIDAD]]</f>
        <v>4901610</v>
      </c>
      <c r="H47" s="340">
        <f>+Tabla13[[#This Row],[ VALOR TOTAL]]*1.3</f>
        <v>6372093</v>
      </c>
    </row>
    <row r="48" spans="2:14" ht="38.25" x14ac:dyDescent="0.25">
      <c r="B48" s="338" t="s">
        <v>95</v>
      </c>
      <c r="C48" s="330" t="s">
        <v>96</v>
      </c>
      <c r="D48" s="338" t="s">
        <v>142</v>
      </c>
      <c r="E48" s="339">
        <f>+'8.3'!AN45</f>
        <v>239</v>
      </c>
      <c r="F48" s="340">
        <f>+'8. ELECTRICO'!I127</f>
        <v>92641</v>
      </c>
      <c r="G48" s="340">
        <f>Tabla13[[#This Row],[VR UNITARIO]]*Tabla13[[#This Row],[CANTIDAD]]</f>
        <v>22141199</v>
      </c>
      <c r="H48" s="340">
        <f>+Tabla13[[#This Row],[ VALOR TOTAL]]*1.3</f>
        <v>28783558.699999999</v>
      </c>
    </row>
    <row r="49" spans="2:14" ht="38.25" x14ac:dyDescent="0.25">
      <c r="B49" s="338" t="s">
        <v>98</v>
      </c>
      <c r="C49" s="330" t="s">
        <v>102</v>
      </c>
      <c r="D49" s="338" t="s">
        <v>153</v>
      </c>
      <c r="E49" s="339">
        <f>+'8.4'!AN45</f>
        <v>70</v>
      </c>
      <c r="F49" s="340">
        <f>+'8. ELECTRICO'!I173</f>
        <v>84190</v>
      </c>
      <c r="G49" s="340">
        <f>Tabla13[[#This Row],[VR UNITARIO]]*Tabla13[[#This Row],[CANTIDAD]]</f>
        <v>5893300</v>
      </c>
      <c r="H49" s="340">
        <f>+Tabla13[[#This Row],[ VALOR TOTAL]]*1.3</f>
        <v>7661290</v>
      </c>
    </row>
    <row r="50" spans="2:14" x14ac:dyDescent="0.25">
      <c r="B50" s="338" t="s">
        <v>99</v>
      </c>
      <c r="C50" s="330" t="s">
        <v>100</v>
      </c>
      <c r="D50" s="338" t="s">
        <v>142</v>
      </c>
      <c r="E50" s="339">
        <f>+'8.5'!AN45</f>
        <v>239</v>
      </c>
      <c r="F50" s="340">
        <f>+'8. ELECTRICO'!I218</f>
        <v>29641</v>
      </c>
      <c r="G50" s="340">
        <f>Tabla13[[#This Row],[VR UNITARIO]]*Tabla13[[#This Row],[CANTIDAD]]</f>
        <v>7084199</v>
      </c>
      <c r="H50" s="340">
        <f>+Tabla13[[#This Row],[ VALOR TOTAL]]*1.3</f>
        <v>9209458.7000000011</v>
      </c>
    </row>
    <row r="51" spans="2:14" x14ac:dyDescent="0.25">
      <c r="B51" s="338" t="s">
        <v>447</v>
      </c>
      <c r="C51" s="330" t="s">
        <v>452</v>
      </c>
      <c r="D51" s="338" t="s">
        <v>153</v>
      </c>
      <c r="E51" s="339">
        <f>+'8.6'!AN45</f>
        <v>9</v>
      </c>
      <c r="F51" s="340">
        <f>+'8. ELECTRICO'!I263</f>
        <v>89719</v>
      </c>
      <c r="G51" s="340">
        <f>+Tabla13[[#This Row],[CANTIDAD]]*Tabla13[[#This Row],[VR UNITARIO]]</f>
        <v>807471</v>
      </c>
      <c r="H51" s="340">
        <f>+Tabla13[[#This Row],[ VALOR TOTAL]]*1.3</f>
        <v>1049712.3</v>
      </c>
    </row>
    <row r="52" spans="2:14" x14ac:dyDescent="0.25">
      <c r="B52" s="40" t="s">
        <v>160</v>
      </c>
      <c r="C52" s="41" t="s">
        <v>111</v>
      </c>
      <c r="D52" s="42"/>
      <c r="F52" s="43"/>
      <c r="G52" s="43"/>
      <c r="H52" s="43">
        <f>+Tabla13[[#This Row],[ VALOR TOTAL]]*1.3</f>
        <v>0</v>
      </c>
      <c r="I52" s="346">
        <f>SUM(G53:G61)*I5</f>
        <v>6034674.1000000006</v>
      </c>
      <c r="J52" s="50">
        <f>I52*K4</f>
        <v>84485.43740000001</v>
      </c>
      <c r="K52" s="50">
        <f>I52*L4</f>
        <v>4562213.6196000008</v>
      </c>
      <c r="L52" s="50">
        <f>I52*$M$4</f>
        <v>60346.741000000009</v>
      </c>
      <c r="M52" s="50">
        <f>I52*$N$4</f>
        <v>1327628.3020000001</v>
      </c>
      <c r="N52" s="50">
        <f>SUM(J52:M52)</f>
        <v>6034674.1000000015</v>
      </c>
    </row>
    <row r="53" spans="2:14" x14ac:dyDescent="0.25">
      <c r="B53" s="42" t="s">
        <v>110</v>
      </c>
      <c r="C53" s="44" t="s">
        <v>114</v>
      </c>
      <c r="D53" s="42" t="s">
        <v>142</v>
      </c>
      <c r="E53" s="45">
        <f>+'9.1'!AN45</f>
        <v>15.5</v>
      </c>
      <c r="F53" s="43">
        <f>+'9. HIDROSANITARIAS'!I37</f>
        <v>22990</v>
      </c>
      <c r="G53" s="43">
        <f>Tabla13[[#This Row],[VR UNITARIO]]*Tabla13[[#This Row],[CANTIDAD]]</f>
        <v>356345</v>
      </c>
      <c r="H53" s="43">
        <f>+Tabla13[[#This Row],[ VALOR TOTAL]]*1.3</f>
        <v>463248.5</v>
      </c>
    </row>
    <row r="54" spans="2:14" x14ac:dyDescent="0.25">
      <c r="B54" s="42" t="s">
        <v>112</v>
      </c>
      <c r="C54" s="44" t="s">
        <v>117</v>
      </c>
      <c r="D54" s="42" t="s">
        <v>153</v>
      </c>
      <c r="E54" s="45">
        <f>+'9.2'!AN45</f>
        <v>8</v>
      </c>
      <c r="F54" s="43">
        <f>+'9. HIDROSANITARIAS'!I82</f>
        <v>17645</v>
      </c>
      <c r="G54" s="43">
        <f>Tabla13[[#This Row],[VR UNITARIO]]*Tabla13[[#This Row],[CANTIDAD]]</f>
        <v>141160</v>
      </c>
      <c r="H54" s="43">
        <f>+Tabla13[[#This Row],[ VALOR TOTAL]]*1.3</f>
        <v>183508</v>
      </c>
    </row>
    <row r="55" spans="2:14" x14ac:dyDescent="0.25">
      <c r="B55" s="42" t="s">
        <v>113</v>
      </c>
      <c r="C55" s="44" t="s">
        <v>119</v>
      </c>
      <c r="D55" s="42" t="s">
        <v>153</v>
      </c>
      <c r="E55" s="45">
        <f>+'9.3'!AN45</f>
        <v>8</v>
      </c>
      <c r="F55" s="43">
        <f>+'9. HIDROSANITARIAS'!I127</f>
        <v>18748</v>
      </c>
      <c r="G55" s="43">
        <f>Tabla13[[#This Row],[VR UNITARIO]]*Tabla13[[#This Row],[CANTIDAD]]</f>
        <v>149984</v>
      </c>
      <c r="H55" s="43">
        <f>+Tabla13[[#This Row],[ VALOR TOTAL]]*1.3</f>
        <v>194979.20000000001</v>
      </c>
    </row>
    <row r="56" spans="2:14" x14ac:dyDescent="0.25">
      <c r="B56" s="42" t="s">
        <v>116</v>
      </c>
      <c r="C56" s="44" t="s">
        <v>121</v>
      </c>
      <c r="D56" s="42" t="s">
        <v>153</v>
      </c>
      <c r="E56" s="45">
        <f>+'9.4'!AN45</f>
        <v>2</v>
      </c>
      <c r="F56" s="43">
        <f>+'9. HIDROSANITARIAS'!I354</f>
        <v>62645</v>
      </c>
      <c r="G56" s="43">
        <f>Tabla13[[#This Row],[VR UNITARIO]]*Tabla13[[#This Row],[CANTIDAD]]</f>
        <v>125290</v>
      </c>
      <c r="H56" s="43">
        <f>+Tabla13[[#This Row],[ VALOR TOTAL]]*1.3</f>
        <v>162877</v>
      </c>
    </row>
    <row r="57" spans="2:14" x14ac:dyDescent="0.25">
      <c r="B57" s="42" t="s">
        <v>118</v>
      </c>
      <c r="C57" s="44" t="s">
        <v>123</v>
      </c>
      <c r="D57" s="42" t="s">
        <v>153</v>
      </c>
      <c r="E57" s="45">
        <f>+'9.5'!AN45</f>
        <v>8</v>
      </c>
      <c r="F57" s="43">
        <f>+'9. HIDROSANITARIAS'!I172</f>
        <v>101687</v>
      </c>
      <c r="G57" s="43">
        <f>Tabla13[[#This Row],[VR UNITARIO]]*Tabla13[[#This Row],[CANTIDAD]]</f>
        <v>813496</v>
      </c>
      <c r="H57" s="43">
        <f>+Tabla13[[#This Row],[ VALOR TOTAL]]*1.3</f>
        <v>1057544.8</v>
      </c>
    </row>
    <row r="58" spans="2:14" x14ac:dyDescent="0.25">
      <c r="B58" s="42" t="s">
        <v>120</v>
      </c>
      <c r="C58" s="44" t="s">
        <v>125</v>
      </c>
      <c r="D58" s="42" t="s">
        <v>153</v>
      </c>
      <c r="E58" s="45">
        <f>+'9.6'!AN45</f>
        <v>8</v>
      </c>
      <c r="F58" s="43">
        <f>+'9. HIDROSANITARIAS'!I217</f>
        <v>50512</v>
      </c>
      <c r="G58" s="43">
        <f>Tabla13[[#This Row],[VR UNITARIO]]*Tabla13[[#This Row],[CANTIDAD]]</f>
        <v>404096</v>
      </c>
      <c r="H58" s="43">
        <f>+Tabla13[[#This Row],[ VALOR TOTAL]]*1.3</f>
        <v>525324.80000000005</v>
      </c>
    </row>
    <row r="59" spans="2:14" x14ac:dyDescent="0.25">
      <c r="B59" s="42" t="s">
        <v>122</v>
      </c>
      <c r="C59" s="44" t="s">
        <v>126</v>
      </c>
      <c r="D59" s="42" t="s">
        <v>153</v>
      </c>
      <c r="E59" s="45">
        <f>+'9.7'!AN45</f>
        <v>2</v>
      </c>
      <c r="F59" s="43">
        <f>+'9. HIDROSANITARIAS'!I399</f>
        <v>77992</v>
      </c>
      <c r="G59" s="43">
        <f>Tabla13[[#This Row],[VR UNITARIO]]*Tabla13[[#This Row],[CANTIDAD]]</f>
        <v>155984</v>
      </c>
      <c r="H59" s="43">
        <f>+Tabla13[[#This Row],[ VALOR TOTAL]]*1.3</f>
        <v>202779.2</v>
      </c>
    </row>
    <row r="60" spans="2:14" x14ac:dyDescent="0.25">
      <c r="B60" s="42" t="s">
        <v>161</v>
      </c>
      <c r="C60" s="44" t="s">
        <v>127</v>
      </c>
      <c r="D60" s="42" t="s">
        <v>153</v>
      </c>
      <c r="E60" s="45">
        <f>+'9.8'!AN45</f>
        <v>2</v>
      </c>
      <c r="F60" s="43">
        <f>+'9. HIDROSANITARIAS'!I263</f>
        <v>419989</v>
      </c>
      <c r="G60" s="43">
        <f>Tabla13[[#This Row],[VR UNITARIO]]*Tabla13[[#This Row],[CANTIDAD]]</f>
        <v>839978</v>
      </c>
      <c r="H60" s="43">
        <f>+Tabla13[[#This Row],[ VALOR TOTAL]]*1.3</f>
        <v>1091971.4000000001</v>
      </c>
    </row>
    <row r="61" spans="2:14" ht="25.5" x14ac:dyDescent="0.25">
      <c r="B61" s="42" t="s">
        <v>124</v>
      </c>
      <c r="C61" s="44" t="s">
        <v>129</v>
      </c>
      <c r="D61" s="42" t="s">
        <v>153</v>
      </c>
      <c r="E61" s="45">
        <f>+'9.9'!AN45</f>
        <v>1</v>
      </c>
      <c r="F61" s="43">
        <f>+'9. HIDROSANITARIAS'!I309</f>
        <v>1655724</v>
      </c>
      <c r="G61" s="43">
        <f>+Tabla13[[#This Row],[VR UNITARIO]]*Tabla13[[#This Row],[CANTIDAD]]</f>
        <v>1655724</v>
      </c>
      <c r="H61" s="43">
        <f>+Tabla13[[#This Row],[ VALOR TOTAL]]*1.3</f>
        <v>2152441.2000000002</v>
      </c>
    </row>
    <row r="62" spans="2:14" x14ac:dyDescent="0.25">
      <c r="B62" s="40" t="s">
        <v>162</v>
      </c>
      <c r="C62" s="41" t="s">
        <v>105</v>
      </c>
      <c r="D62" s="42"/>
      <c r="E62" s="45"/>
      <c r="F62" s="43"/>
      <c r="G62" s="43"/>
      <c r="H62" s="43">
        <f>+Tabla13[[#This Row],[ VALOR TOTAL]]*1.3</f>
        <v>0</v>
      </c>
      <c r="I62" s="346">
        <f>SUM(G63:G64)*I5</f>
        <v>41469210.899999999</v>
      </c>
      <c r="J62" s="50">
        <f>I62*$K$4</f>
        <v>580568.95259999996</v>
      </c>
      <c r="K62" s="50">
        <f>I62*$L$4</f>
        <v>31350723.440400001</v>
      </c>
      <c r="L62" s="50">
        <f>I62*$M$4</f>
        <v>414692.109</v>
      </c>
      <c r="M62" s="50">
        <f>I62*$N$4</f>
        <v>9123226.398</v>
      </c>
      <c r="N62" s="50">
        <f>SUM(J62:M62)</f>
        <v>41469210.899999999</v>
      </c>
    </row>
    <row r="63" spans="2:14" ht="25.5" x14ac:dyDescent="0.25">
      <c r="B63" s="42" t="s">
        <v>104</v>
      </c>
      <c r="C63" s="44" t="s">
        <v>414</v>
      </c>
      <c r="D63" s="42" t="s">
        <v>153</v>
      </c>
      <c r="E63" s="45">
        <f>+'10.1'!AN45</f>
        <v>12</v>
      </c>
      <c r="F63" s="43">
        <f>+'10. EQUIPOS'!I37</f>
        <v>2608799</v>
      </c>
      <c r="G63" s="43">
        <f>Tabla13[[#This Row],[VR UNITARIO]]*Tabla13[[#This Row],[CANTIDAD]]</f>
        <v>31305588</v>
      </c>
      <c r="H63" s="43">
        <f>+Tabla13[[#This Row],[ VALOR TOTAL]]*1.3</f>
        <v>40697264.399999999</v>
      </c>
    </row>
    <row r="64" spans="2:14" ht="25.5" x14ac:dyDescent="0.25">
      <c r="B64" s="42" t="s">
        <v>428</v>
      </c>
      <c r="C64" s="330" t="s">
        <v>429</v>
      </c>
      <c r="D64" s="42" t="s">
        <v>153</v>
      </c>
      <c r="E64" s="45">
        <v>1</v>
      </c>
      <c r="F64" s="43">
        <v>580000</v>
      </c>
      <c r="G64" s="43">
        <f>+'10. EQUIPOS'!I82</f>
        <v>593805</v>
      </c>
      <c r="H64" s="43">
        <f>+Tabla13[[#This Row],[ VALOR TOTAL]]*1.3</f>
        <v>771946.5</v>
      </c>
    </row>
    <row r="65" spans="2:15" x14ac:dyDescent="0.25">
      <c r="B65" s="40" t="s">
        <v>163</v>
      </c>
      <c r="C65" s="41" t="s">
        <v>108</v>
      </c>
      <c r="D65" s="42"/>
      <c r="E65" s="45"/>
      <c r="F65" s="43"/>
      <c r="G65" s="43"/>
      <c r="H65" s="43">
        <f>+Tabla13[[#This Row],[ VALOR TOTAL]]*1.3</f>
        <v>0</v>
      </c>
      <c r="I65" s="346">
        <f>SUM(G66)*I5</f>
        <v>1748222.8399999999</v>
      </c>
      <c r="J65" s="50">
        <f>I65*$K$4</f>
        <v>24475.119759999998</v>
      </c>
      <c r="K65" s="50">
        <f>I65*$L$4</f>
        <v>1321656.4670399998</v>
      </c>
      <c r="L65" s="50">
        <f>I65*$M$4</f>
        <v>17482.2284</v>
      </c>
      <c r="M65" s="50">
        <f>I65*$N$4</f>
        <v>384609.02479999996</v>
      </c>
      <c r="N65" s="50">
        <f>SUM(J65:M65)</f>
        <v>1748222.8399999996</v>
      </c>
    </row>
    <row r="66" spans="2:15" ht="25.5" x14ac:dyDescent="0.25">
      <c r="B66" s="42" t="s">
        <v>107</v>
      </c>
      <c r="C66" s="44" t="s">
        <v>109</v>
      </c>
      <c r="D66" s="42" t="s">
        <v>141</v>
      </c>
      <c r="E66" s="45">
        <f>+'11.1'!AN47</f>
        <v>406.28</v>
      </c>
      <c r="F66" s="43">
        <f>+'11. ASEO'!I37</f>
        <v>3310</v>
      </c>
      <c r="G66" s="43">
        <f>Tabla13[[#This Row],[VR UNITARIO]]*Tabla13[[#This Row],[CANTIDAD]]</f>
        <v>1344786.7999999998</v>
      </c>
      <c r="H66" s="43">
        <f>+Tabla13[[#This Row],[ VALOR TOTAL]]*1.3</f>
        <v>1748222.8399999999</v>
      </c>
    </row>
    <row r="67" spans="2:15" ht="27" customHeight="1" thickBot="1" x14ac:dyDescent="0.3"/>
    <row r="68" spans="2:15" ht="18" customHeight="1" thickBot="1" x14ac:dyDescent="0.3">
      <c r="C68" s="47" t="s">
        <v>164</v>
      </c>
      <c r="D68" s="48"/>
      <c r="E68" s="48"/>
      <c r="F68" s="48"/>
      <c r="G68" s="49">
        <f>SUM(Tabla13[[ VALOR TOTAL]])</f>
        <v>350636661.46250015</v>
      </c>
      <c r="H68" s="351"/>
      <c r="I68" s="351"/>
    </row>
    <row r="69" spans="2:15" ht="18" customHeight="1" x14ac:dyDescent="0.25">
      <c r="C69" s="39" t="s">
        <v>165</v>
      </c>
      <c r="G69" s="50"/>
      <c r="H69" s="50"/>
      <c r="I69" s="50"/>
    </row>
    <row r="70" spans="2:15" ht="18" customHeight="1" x14ac:dyDescent="0.25">
      <c r="C70" s="39" t="s">
        <v>166</v>
      </c>
      <c r="D70" s="51">
        <v>0.24</v>
      </c>
      <c r="G70" s="50">
        <f>$G$68*D70</f>
        <v>84152798.751000032</v>
      </c>
      <c r="H70" s="50"/>
      <c r="I70" s="50"/>
      <c r="J70" s="346"/>
      <c r="K70" s="50"/>
      <c r="L70" s="50"/>
      <c r="M70" s="50"/>
      <c r="N70" s="50"/>
      <c r="O70" s="50"/>
    </row>
    <row r="71" spans="2:15" ht="18" customHeight="1" x14ac:dyDescent="0.25">
      <c r="C71" s="39" t="s">
        <v>167</v>
      </c>
      <c r="D71" s="51">
        <v>0.01</v>
      </c>
      <c r="G71" s="50">
        <f>$G$68*D71</f>
        <v>3506366.6146250018</v>
      </c>
      <c r="H71" s="50"/>
      <c r="I71" s="50"/>
    </row>
    <row r="72" spans="2:15" ht="18" customHeight="1" thickBot="1" x14ac:dyDescent="0.3">
      <c r="C72" s="39" t="s">
        <v>168</v>
      </c>
      <c r="D72" s="51">
        <v>0.05</v>
      </c>
      <c r="G72" s="50">
        <f>$G$68*D72</f>
        <v>17531833.073125008</v>
      </c>
      <c r="H72" s="50"/>
      <c r="I72" s="50"/>
      <c r="J72" s="346"/>
      <c r="K72" s="50"/>
      <c r="L72" s="50"/>
      <c r="M72" s="50"/>
      <c r="N72" s="50"/>
      <c r="O72" s="50"/>
    </row>
    <row r="73" spans="2:15" ht="18" customHeight="1" thickBot="1" x14ac:dyDescent="0.3">
      <c r="C73" s="47" t="s">
        <v>169</v>
      </c>
      <c r="D73" s="52">
        <f>SUM(D70:D72)</f>
        <v>0.3</v>
      </c>
      <c r="E73" s="48"/>
      <c r="F73" s="48"/>
      <c r="G73" s="49">
        <f>$G$68*D73</f>
        <v>105190998.43875004</v>
      </c>
      <c r="H73" s="351"/>
      <c r="I73" s="351"/>
      <c r="J73" s="346">
        <f>I6+I12+I14+I19+I25+I31+I39+I45+I52+J70+J72+I62+I65</f>
        <v>455827659.90125018</v>
      </c>
      <c r="K73" s="346">
        <f>J6+J12+J14+J19+J25+J31+J39+J45+J52+J62+J65</f>
        <v>17053881.616576999</v>
      </c>
      <c r="L73" s="346">
        <f>K6+K12+K14+K19+K25+K31+K39+K45+K52+K62+K65</f>
        <v>316395030.64150816</v>
      </c>
      <c r="M73" s="346">
        <f>L6+L12+L14+L19+L25+L31+L39+L45+L52+L62+L65</f>
        <v>4185119.452930002</v>
      </c>
      <c r="N73" s="346">
        <f>M6+M12+M14+M19+M25+M31+M39+M45+M52+M62+M65</f>
        <v>118193628.19023505</v>
      </c>
      <c r="O73" s="50">
        <f>SUM(K73:N73)</f>
        <v>455827659.90125012</v>
      </c>
    </row>
    <row r="74" spans="2:15" ht="18" customHeight="1" x14ac:dyDescent="0.25">
      <c r="C74" s="39" t="s">
        <v>170</v>
      </c>
      <c r="D74" s="51"/>
      <c r="G74" s="50">
        <f>G68+G73</f>
        <v>455827659.90125018</v>
      </c>
      <c r="H74" s="50"/>
      <c r="I74" s="50"/>
    </row>
    <row r="75" spans="2:15" ht="18" customHeight="1" thickBot="1" x14ac:dyDescent="0.3">
      <c r="D75" s="51"/>
      <c r="G75" s="50"/>
      <c r="H75" s="50"/>
      <c r="I75" s="50"/>
    </row>
    <row r="76" spans="2:15" ht="18" customHeight="1" thickBot="1" x14ac:dyDescent="0.3">
      <c r="C76" s="47" t="s">
        <v>171</v>
      </c>
      <c r="D76" s="53">
        <v>7.0000000000000007E-2</v>
      </c>
      <c r="E76" s="48"/>
      <c r="F76" s="48"/>
      <c r="G76" s="49">
        <f>$G$68*D76</f>
        <v>24544566.302375015</v>
      </c>
      <c r="H76" s="351"/>
      <c r="I76" s="351"/>
      <c r="J76" s="50">
        <f>+G76</f>
        <v>24544566.302375015</v>
      </c>
    </row>
    <row r="77" spans="2:15" ht="18" customHeight="1" thickBot="1" x14ac:dyDescent="0.3">
      <c r="D77" s="54"/>
      <c r="G77" s="50"/>
      <c r="H77" s="50"/>
      <c r="I77" s="50"/>
    </row>
    <row r="78" spans="2:15" ht="18" customHeight="1" thickBot="1" x14ac:dyDescent="0.3">
      <c r="C78" s="47" t="s">
        <v>172</v>
      </c>
      <c r="D78" s="48"/>
      <c r="E78" s="48"/>
      <c r="F78" s="48"/>
      <c r="G78" s="49">
        <f>G76+G74</f>
        <v>480372226.2036252</v>
      </c>
      <c r="H78" s="351">
        <v>480372226.20362508</v>
      </c>
      <c r="I78" s="351"/>
    </row>
    <row r="79" spans="2:15" x14ac:dyDescent="0.25">
      <c r="H79" s="50">
        <f>+H78-G78</f>
        <v>0</v>
      </c>
      <c r="J79" s="50">
        <f>J73+J76</f>
        <v>480372226.2036252</v>
      </c>
      <c r="K79" s="50">
        <f>K73+K83</f>
        <v>17053881.616576999</v>
      </c>
      <c r="L79" s="50">
        <f>L73+L83</f>
        <v>316395030.64150816</v>
      </c>
      <c r="M79" s="50">
        <f>M73+M83</f>
        <v>4185119.452930002</v>
      </c>
      <c r="N79" s="50">
        <f>N73+J76</f>
        <v>142738194.49261007</v>
      </c>
      <c r="O79" s="50">
        <f>SUM(K79:N79)</f>
        <v>480372226.2036252</v>
      </c>
    </row>
    <row r="80" spans="2:15" ht="15.75" customHeight="1" x14ac:dyDescent="0.25">
      <c r="C80" s="39" t="s">
        <v>173</v>
      </c>
      <c r="D80" s="39" t="s">
        <v>174</v>
      </c>
      <c r="E80" s="55"/>
      <c r="F80" s="56"/>
      <c r="G80" s="56"/>
      <c r="H80" s="641">
        <f>+H79/F13</f>
        <v>0</v>
      </c>
      <c r="I80" s="352"/>
    </row>
    <row r="81" spans="3:15" x14ac:dyDescent="0.25">
      <c r="C81" s="39" t="s">
        <v>395</v>
      </c>
      <c r="D81" s="39" t="s">
        <v>175</v>
      </c>
      <c r="E81" s="55"/>
      <c r="F81" s="56"/>
      <c r="G81" s="56"/>
      <c r="H81" s="636"/>
      <c r="I81" s="352"/>
    </row>
    <row r="82" spans="3:15" x14ac:dyDescent="0.25">
      <c r="C82" s="39" t="s">
        <v>397</v>
      </c>
      <c r="D82" s="39" t="s">
        <v>176</v>
      </c>
      <c r="E82" s="56"/>
      <c r="F82" s="56"/>
      <c r="G82" s="56"/>
      <c r="H82" s="638"/>
      <c r="I82" s="352"/>
    </row>
    <row r="83" spans="3:15" x14ac:dyDescent="0.25">
      <c r="C83" s="39" t="s">
        <v>177</v>
      </c>
      <c r="D83" s="39" t="s">
        <v>177</v>
      </c>
      <c r="E83" s="57"/>
      <c r="F83" s="57"/>
      <c r="G83" s="58"/>
      <c r="H83" s="353"/>
      <c r="I83" s="353"/>
      <c r="J83" s="50">
        <f>G83</f>
        <v>0</v>
      </c>
      <c r="N83" s="50">
        <f>J83</f>
        <v>0</v>
      </c>
      <c r="O83" s="50">
        <f>SUM(K83:N83)</f>
        <v>0</v>
      </c>
    </row>
    <row r="86" spans="3:15" x14ac:dyDescent="0.25">
      <c r="D86" s="39" t="s">
        <v>178</v>
      </c>
      <c r="E86" s="56"/>
      <c r="F86" s="56"/>
      <c r="G86" s="56"/>
      <c r="H86" s="352"/>
      <c r="I86" s="352"/>
    </row>
    <row r="87" spans="3:15" ht="15.75" customHeight="1" x14ac:dyDescent="0.25">
      <c r="D87" s="39" t="s">
        <v>175</v>
      </c>
      <c r="E87" s="377"/>
      <c r="F87" s="377"/>
      <c r="G87" s="377"/>
      <c r="H87" s="354"/>
      <c r="I87" s="354"/>
    </row>
    <row r="88" spans="3:15" x14ac:dyDescent="0.25">
      <c r="D88" s="39" t="s">
        <v>179</v>
      </c>
      <c r="E88" s="374"/>
      <c r="F88" s="374"/>
      <c r="G88" s="374"/>
      <c r="H88" s="347"/>
      <c r="I88" s="347"/>
    </row>
    <row r="95" spans="3:15" x14ac:dyDescent="0.25">
      <c r="F95" s="635">
        <v>5726640</v>
      </c>
    </row>
  </sheetData>
  <mergeCells count="5">
    <mergeCell ref="E88:G88"/>
    <mergeCell ref="B2:G2"/>
    <mergeCell ref="B3:E3"/>
    <mergeCell ref="E87:G87"/>
    <mergeCell ref="C4:G4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scale="65" fitToHeight="0" orientation="portrait" r:id="rId1"/>
  <rowBreaks count="1" manualBreakCount="1">
    <brk id="51" min="1" max="7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74"/>
  <sheetViews>
    <sheetView view="pageBreakPreview" topLeftCell="A4" zoomScaleNormal="100" zoomScaleSheetLayoutView="100" workbookViewId="0">
      <selection activeCell="F17" sqref="F17"/>
    </sheetView>
  </sheetViews>
  <sheetFormatPr baseColWidth="10" defaultColWidth="12.625" defaultRowHeight="15.75" x14ac:dyDescent="0.25"/>
  <cols>
    <col min="1" max="1" width="9.75" customWidth="1"/>
    <col min="2" max="2" width="28.25" customWidth="1"/>
    <col min="3" max="3" width="7.25" customWidth="1"/>
    <col min="4" max="4" width="8.125" customWidth="1"/>
    <col min="5" max="5" width="10.625" customWidth="1"/>
    <col min="6" max="6" width="15.625" customWidth="1"/>
    <col min="7" max="7" width="10" customWidth="1"/>
    <col min="8" max="8" width="16.125" customWidth="1"/>
    <col min="9" max="9" width="13.75" customWidth="1"/>
    <col min="10" max="10" width="15.625" customWidth="1"/>
    <col min="11" max="26" width="10" customWidth="1"/>
  </cols>
  <sheetData>
    <row r="1" spans="1:26" ht="14.25" customHeight="1" thickBot="1" x14ac:dyDescent="0.3">
      <c r="A1" s="406" t="s">
        <v>325</v>
      </c>
      <c r="B1" s="407"/>
      <c r="C1" s="407"/>
      <c r="D1" s="407"/>
      <c r="E1" s="407"/>
      <c r="F1" s="407"/>
      <c r="G1" s="407"/>
      <c r="H1" s="407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</row>
    <row r="2" spans="1:26" ht="50.25" customHeight="1" thickBot="1" x14ac:dyDescent="0.3">
      <c r="A2" s="408" t="s">
        <v>432</v>
      </c>
      <c r="B2" s="391"/>
      <c r="C2" s="391"/>
      <c r="D2" s="391"/>
      <c r="E2" s="391"/>
      <c r="F2" s="391"/>
      <c r="G2" s="391"/>
      <c r="H2" s="409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20.25" customHeight="1" thickBot="1" x14ac:dyDescent="0.3">
      <c r="A3" s="142" t="s">
        <v>326</v>
      </c>
      <c r="B3" s="143" t="s">
        <v>327</v>
      </c>
      <c r="C3" s="144" t="s">
        <v>328</v>
      </c>
      <c r="D3" s="144" t="s">
        <v>329</v>
      </c>
      <c r="E3" s="144" t="s">
        <v>330</v>
      </c>
      <c r="F3" s="144" t="s">
        <v>331</v>
      </c>
      <c r="G3" s="144" t="s">
        <v>332</v>
      </c>
      <c r="H3" s="145" t="s">
        <v>333</v>
      </c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</row>
    <row r="4" spans="1:26" ht="12.75" customHeight="1" x14ac:dyDescent="0.25">
      <c r="A4" s="410" t="s">
        <v>334</v>
      </c>
      <c r="B4" s="411"/>
      <c r="C4" s="411"/>
      <c r="D4" s="411"/>
      <c r="E4" s="411"/>
      <c r="F4" s="411"/>
      <c r="G4" s="411"/>
      <c r="H4" s="412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</row>
    <row r="5" spans="1:26" ht="12.75" customHeight="1" x14ac:dyDescent="0.25">
      <c r="A5" s="146">
        <v>1</v>
      </c>
      <c r="B5" s="147" t="s">
        <v>335</v>
      </c>
      <c r="C5" s="148" t="s">
        <v>336</v>
      </c>
      <c r="D5" s="148">
        <v>1.91</v>
      </c>
      <c r="E5" s="149">
        <v>1</v>
      </c>
      <c r="F5" s="150">
        <v>3500000</v>
      </c>
      <c r="G5" s="151">
        <v>3</v>
      </c>
      <c r="H5" s="152">
        <f t="shared" ref="H5" si="0">G5*E5*F5*D5*A5</f>
        <v>20055000</v>
      </c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</row>
    <row r="6" spans="1:26" ht="16.5" thickBot="1" x14ac:dyDescent="0.3">
      <c r="A6" s="413" t="s">
        <v>337</v>
      </c>
      <c r="B6" s="382"/>
      <c r="C6" s="382"/>
      <c r="D6" s="382"/>
      <c r="E6" s="382"/>
      <c r="F6" s="382"/>
      <c r="G6" s="383"/>
      <c r="H6" s="153">
        <f>SUM(H5:H5)</f>
        <v>20055000</v>
      </c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</row>
    <row r="7" spans="1:26" ht="16.5" thickBot="1" x14ac:dyDescent="0.3">
      <c r="A7" s="154"/>
      <c r="B7" s="155"/>
      <c r="C7" s="155"/>
      <c r="D7" s="155"/>
      <c r="E7" s="155"/>
      <c r="F7" s="155"/>
      <c r="G7" s="155"/>
      <c r="H7" s="156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</row>
    <row r="8" spans="1:26" ht="36" customHeight="1" thickBot="1" x14ac:dyDescent="0.3">
      <c r="A8" s="157" t="s">
        <v>326</v>
      </c>
      <c r="B8" s="398" t="s">
        <v>327</v>
      </c>
      <c r="C8" s="391"/>
      <c r="D8" s="399"/>
      <c r="E8" s="158" t="s">
        <v>136</v>
      </c>
      <c r="F8" s="158" t="s">
        <v>338</v>
      </c>
      <c r="G8" s="158" t="s">
        <v>137</v>
      </c>
      <c r="H8" s="159" t="s">
        <v>339</v>
      </c>
      <c r="I8" s="140"/>
      <c r="J8" s="16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</row>
    <row r="9" spans="1:26" ht="12.75" customHeight="1" x14ac:dyDescent="0.25">
      <c r="A9" s="400" t="s">
        <v>340</v>
      </c>
      <c r="B9" s="401"/>
      <c r="C9" s="401"/>
      <c r="D9" s="401"/>
      <c r="E9" s="401"/>
      <c r="F9" s="401"/>
      <c r="G9" s="401"/>
      <c r="H9" s="402"/>
      <c r="I9" s="140"/>
      <c r="J9" s="393"/>
      <c r="K9" s="379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</row>
    <row r="10" spans="1:26" x14ac:dyDescent="0.25">
      <c r="A10" s="161"/>
      <c r="B10" s="162"/>
      <c r="C10" s="163"/>
      <c r="D10" s="164"/>
      <c r="E10" s="165"/>
      <c r="F10" s="166"/>
      <c r="G10" s="165"/>
      <c r="H10" s="167">
        <f>+G10*F10*A10</f>
        <v>0</v>
      </c>
      <c r="I10" s="140"/>
      <c r="J10" s="16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</row>
    <row r="11" spans="1:26" ht="12.75" customHeight="1" thickBot="1" x14ac:dyDescent="0.3">
      <c r="A11" s="168"/>
      <c r="B11" s="394" t="s">
        <v>341</v>
      </c>
      <c r="C11" s="395"/>
      <c r="D11" s="395"/>
      <c r="E11" s="395"/>
      <c r="F11" s="395"/>
      <c r="G11" s="396"/>
      <c r="H11" s="169">
        <f>SUM(H10:H10)</f>
        <v>0</v>
      </c>
      <c r="I11" s="140"/>
      <c r="J11" s="16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</row>
    <row r="12" spans="1:26" ht="12.75" customHeight="1" thickBot="1" x14ac:dyDescent="0.3">
      <c r="A12" s="170"/>
      <c r="B12" s="171"/>
      <c r="C12" s="172"/>
      <c r="D12" s="172"/>
      <c r="E12" s="172"/>
      <c r="F12" s="172"/>
      <c r="G12" s="172"/>
      <c r="H12" s="173"/>
      <c r="I12" s="140"/>
      <c r="J12" s="16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</row>
    <row r="13" spans="1:26" ht="12.75" customHeight="1" thickBot="1" x14ac:dyDescent="0.3">
      <c r="A13" s="174"/>
      <c r="B13" s="397" t="s">
        <v>342</v>
      </c>
      <c r="C13" s="391"/>
      <c r="D13" s="391"/>
      <c r="E13" s="391"/>
      <c r="F13" s="391"/>
      <c r="G13" s="391"/>
      <c r="H13" s="175">
        <f>H6+H11</f>
        <v>20055000</v>
      </c>
      <c r="I13" s="140"/>
      <c r="J13" s="16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</row>
    <row r="14" spans="1:26" ht="12.75" customHeight="1" thickBot="1" x14ac:dyDescent="0.3">
      <c r="A14" s="146"/>
      <c r="B14" s="176"/>
      <c r="C14" s="177"/>
      <c r="D14" s="177"/>
      <c r="E14" s="177"/>
      <c r="F14" s="177"/>
      <c r="G14" s="177"/>
      <c r="H14" s="156"/>
      <c r="I14" s="140"/>
      <c r="J14" s="16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</row>
    <row r="15" spans="1:26" ht="34.5" customHeight="1" thickBot="1" x14ac:dyDescent="0.3">
      <c r="A15" s="157" t="s">
        <v>326</v>
      </c>
      <c r="B15" s="398" t="s">
        <v>327</v>
      </c>
      <c r="C15" s="391"/>
      <c r="D15" s="399"/>
      <c r="E15" s="158" t="s">
        <v>136</v>
      </c>
      <c r="F15" s="158" t="s">
        <v>338</v>
      </c>
      <c r="G15" s="158" t="s">
        <v>137</v>
      </c>
      <c r="H15" s="159" t="s">
        <v>339</v>
      </c>
      <c r="I15" s="140"/>
      <c r="J15" s="16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</row>
    <row r="16" spans="1:26" ht="12" customHeight="1" x14ac:dyDescent="0.25">
      <c r="A16" s="400" t="s">
        <v>343</v>
      </c>
      <c r="B16" s="401"/>
      <c r="C16" s="401"/>
      <c r="D16" s="401"/>
      <c r="E16" s="401"/>
      <c r="F16" s="401"/>
      <c r="G16" s="401"/>
      <c r="H16" s="402"/>
      <c r="I16" s="140"/>
      <c r="J16" s="16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</row>
    <row r="17" spans="1:26" ht="12.75" customHeight="1" x14ac:dyDescent="0.25">
      <c r="A17" s="178">
        <v>1</v>
      </c>
      <c r="B17" s="403" t="s">
        <v>344</v>
      </c>
      <c r="C17" s="404"/>
      <c r="D17" s="405"/>
      <c r="E17" s="179" t="s">
        <v>345</v>
      </c>
      <c r="F17" s="180">
        <v>190228.6561274523</v>
      </c>
      <c r="G17" s="179">
        <v>3</v>
      </c>
      <c r="H17" s="181">
        <f t="shared" ref="H17" si="1">F17*G17</f>
        <v>570685.96838235692</v>
      </c>
      <c r="I17" s="140"/>
      <c r="J17" s="16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</row>
    <row r="18" spans="1:26" ht="15.75" customHeight="1" thickBot="1" x14ac:dyDescent="0.3">
      <c r="A18" s="182"/>
      <c r="B18" s="381" t="s">
        <v>346</v>
      </c>
      <c r="C18" s="382"/>
      <c r="D18" s="382"/>
      <c r="E18" s="382"/>
      <c r="F18" s="382"/>
      <c r="G18" s="383"/>
      <c r="H18" s="153">
        <f>SUM(H17:H17)</f>
        <v>570685.96838235692</v>
      </c>
      <c r="I18" s="183"/>
      <c r="J18" s="16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</row>
    <row r="19" spans="1:26" ht="13.5" customHeight="1" thickBot="1" x14ac:dyDescent="0.3">
      <c r="A19" s="184"/>
      <c r="B19" s="184"/>
      <c r="C19" s="184"/>
      <c r="D19" s="184"/>
      <c r="E19" s="184"/>
      <c r="F19" s="184"/>
      <c r="G19" s="184"/>
      <c r="H19" s="185"/>
      <c r="I19" s="183"/>
      <c r="J19" s="16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</row>
    <row r="20" spans="1:26" ht="15.75" customHeight="1" x14ac:dyDescent="0.25">
      <c r="A20" s="140"/>
      <c r="B20" s="384" t="s">
        <v>347</v>
      </c>
      <c r="C20" s="385"/>
      <c r="D20" s="385"/>
      <c r="E20" s="385"/>
      <c r="F20" s="385"/>
      <c r="G20" s="386"/>
      <c r="H20" s="186">
        <f>+H13+H18</f>
        <v>20625685.968382359</v>
      </c>
      <c r="I20" s="183"/>
      <c r="J20" s="16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</row>
    <row r="21" spans="1:26" ht="14.25" customHeight="1" thickBot="1" x14ac:dyDescent="0.3">
      <c r="A21" s="140"/>
      <c r="B21" s="387" t="s">
        <v>348</v>
      </c>
      <c r="C21" s="388"/>
      <c r="D21" s="388"/>
      <c r="E21" s="388"/>
      <c r="F21" s="389"/>
      <c r="G21" s="187">
        <v>0.19</v>
      </c>
      <c r="H21" s="188">
        <f>+H20*G21</f>
        <v>3918880.3339926479</v>
      </c>
      <c r="I21" s="183"/>
      <c r="J21" s="16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</row>
    <row r="22" spans="1:26" ht="15.75" customHeight="1" thickBot="1" x14ac:dyDescent="0.3">
      <c r="A22" s="189"/>
      <c r="B22" s="390" t="s">
        <v>349</v>
      </c>
      <c r="C22" s="391"/>
      <c r="D22" s="391"/>
      <c r="E22" s="391"/>
      <c r="F22" s="391"/>
      <c r="G22" s="190"/>
      <c r="H22" s="191">
        <f>+H20+H21</f>
        <v>24544566.302375007</v>
      </c>
      <c r="I22" s="192">
        <f>+H22-'P. Adecuación'!G76</f>
        <v>0</v>
      </c>
      <c r="J22" s="193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</row>
    <row r="23" spans="1:26" ht="12.75" customHeight="1" x14ac:dyDescent="0.25">
      <c r="A23" s="194"/>
      <c r="B23" s="194"/>
      <c r="C23" s="194"/>
      <c r="D23" s="194"/>
      <c r="E23" s="194"/>
      <c r="F23" s="194"/>
      <c r="G23" s="194"/>
      <c r="H23" s="194"/>
      <c r="I23" s="195"/>
      <c r="J23" s="196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</row>
    <row r="24" spans="1:26" ht="12.75" customHeight="1" x14ac:dyDescent="0.25">
      <c r="A24" s="194"/>
      <c r="B24" s="197"/>
      <c r="C24" s="194"/>
      <c r="D24" s="194"/>
      <c r="E24" s="194"/>
      <c r="F24" s="194"/>
      <c r="G24" s="194"/>
      <c r="H24" s="198"/>
      <c r="I24" s="199"/>
      <c r="J24" s="196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</row>
    <row r="25" spans="1:26" ht="12.75" customHeight="1" x14ac:dyDescent="0.25">
      <c r="A25" s="194"/>
      <c r="B25" s="39" t="s">
        <v>173</v>
      </c>
      <c r="C25" s="194"/>
      <c r="D25" s="194"/>
      <c r="E25" s="194"/>
      <c r="F25" s="194"/>
      <c r="G25" s="194"/>
      <c r="H25" s="198"/>
      <c r="I25" s="195"/>
      <c r="J25" s="196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</row>
    <row r="26" spans="1:26" ht="12.75" customHeight="1" x14ac:dyDescent="0.25">
      <c r="A26" s="194"/>
      <c r="B26" s="2" t="s">
        <v>395</v>
      </c>
      <c r="C26" s="194"/>
      <c r="D26" s="194"/>
      <c r="E26" s="194"/>
      <c r="F26" s="194"/>
      <c r="G26" s="194"/>
      <c r="H26" s="198"/>
      <c r="I26" s="195"/>
      <c r="J26" s="196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</row>
    <row r="27" spans="1:26" ht="12.75" customHeight="1" x14ac:dyDescent="0.25">
      <c r="A27" s="194"/>
      <c r="B27" s="39" t="s">
        <v>397</v>
      </c>
      <c r="C27" s="194"/>
      <c r="D27" s="194"/>
      <c r="E27" s="194"/>
      <c r="F27" s="194"/>
      <c r="G27" s="194"/>
      <c r="H27" s="194"/>
      <c r="I27" s="195"/>
      <c r="J27" s="196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</row>
    <row r="28" spans="1:26" ht="12.75" customHeight="1" x14ac:dyDescent="0.25">
      <c r="A28" s="194"/>
      <c r="B28" s="39" t="s">
        <v>177</v>
      </c>
      <c r="C28" s="194"/>
      <c r="D28" s="194"/>
      <c r="E28" s="194"/>
      <c r="F28" s="194"/>
      <c r="G28" s="194"/>
      <c r="H28" s="194"/>
      <c r="I28" s="199"/>
      <c r="J28" s="196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</row>
    <row r="29" spans="1:26" ht="12.75" customHeight="1" x14ac:dyDescent="0.25">
      <c r="A29" s="194"/>
      <c r="C29" s="194"/>
      <c r="D29" s="194"/>
      <c r="E29" s="194"/>
      <c r="F29" s="194"/>
      <c r="G29" s="194"/>
      <c r="H29" s="194"/>
      <c r="I29" s="199"/>
      <c r="J29" s="196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</row>
    <row r="30" spans="1:26" ht="12.75" customHeight="1" x14ac:dyDescent="0.25">
      <c r="A30" s="194"/>
      <c r="C30" s="194"/>
      <c r="D30" s="194"/>
      <c r="E30" s="194"/>
      <c r="F30" s="194"/>
      <c r="G30" s="194"/>
      <c r="H30" s="194"/>
      <c r="I30" s="195"/>
      <c r="J30" s="196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</row>
    <row r="31" spans="1:26" ht="12.75" customHeight="1" x14ac:dyDescent="0.25">
      <c r="A31" s="200"/>
      <c r="C31" s="194"/>
      <c r="D31" s="200"/>
      <c r="E31" s="200"/>
      <c r="F31" s="392"/>
      <c r="G31" s="379"/>
      <c r="H31" s="379"/>
      <c r="I31" s="195"/>
      <c r="J31" s="196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</row>
    <row r="32" spans="1:26" ht="12.75" customHeight="1" x14ac:dyDescent="0.25">
      <c r="A32" s="140"/>
      <c r="C32" s="201"/>
      <c r="D32" s="202"/>
      <c r="E32" s="202"/>
      <c r="F32" s="380"/>
      <c r="G32" s="379"/>
      <c r="H32" s="379"/>
      <c r="I32" s="195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</row>
    <row r="33" spans="1:26" ht="12.75" customHeight="1" x14ac:dyDescent="0.25">
      <c r="A33" s="140"/>
      <c r="B33" s="378"/>
      <c r="C33" s="379"/>
      <c r="D33" s="203"/>
      <c r="E33" s="203"/>
      <c r="F33" s="380"/>
      <c r="G33" s="379"/>
      <c r="H33" s="379"/>
      <c r="I33" s="195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</row>
    <row r="34" spans="1:26" ht="12.75" customHeight="1" x14ac:dyDescent="0.25">
      <c r="A34" s="140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</row>
    <row r="35" spans="1:26" ht="12.75" customHeight="1" x14ac:dyDescent="0.25">
      <c r="A35" s="140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</row>
    <row r="36" spans="1:26" ht="12.75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</row>
    <row r="37" spans="1:26" ht="12.75" customHeight="1" x14ac:dyDescent="0.25">
      <c r="A37" s="140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</row>
    <row r="38" spans="1:26" ht="12.75" customHeight="1" x14ac:dyDescent="0.25">
      <c r="A38" s="140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</row>
    <row r="39" spans="1:26" ht="12.75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</row>
    <row r="40" spans="1:26" ht="12.75" customHeight="1" x14ac:dyDescent="0.25">
      <c r="A40" s="140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</row>
    <row r="41" spans="1:26" ht="12.75" customHeight="1" x14ac:dyDescent="0.25">
      <c r="A41" s="140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</row>
    <row r="42" spans="1:26" ht="12.75" customHeight="1" x14ac:dyDescent="0.25">
      <c r="A42" s="140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</row>
    <row r="43" spans="1:26" ht="12.75" customHeight="1" x14ac:dyDescent="0.25">
      <c r="A43" s="140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</row>
    <row r="44" spans="1:26" ht="12.75" customHeight="1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</row>
    <row r="45" spans="1:26" ht="12.75" customHeight="1" x14ac:dyDescent="0.25">
      <c r="A45" s="140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</row>
    <row r="46" spans="1:26" ht="12.75" customHeight="1" x14ac:dyDescent="0.25">
      <c r="A46" s="140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</row>
    <row r="47" spans="1:26" ht="12.75" customHeight="1" x14ac:dyDescent="0.25">
      <c r="A47" s="140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</row>
    <row r="48" spans="1:26" ht="12.75" customHeight="1" x14ac:dyDescent="0.25">
      <c r="A48" s="140"/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</row>
    <row r="49" spans="1:26" ht="12.75" customHeight="1" x14ac:dyDescent="0.25">
      <c r="A49" s="140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</row>
    <row r="50" spans="1:26" ht="12.75" customHeight="1" x14ac:dyDescent="0.25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</row>
    <row r="51" spans="1:26" ht="12.75" customHeight="1" x14ac:dyDescent="0.25">
      <c r="A51" s="140"/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</row>
    <row r="52" spans="1:26" ht="12.75" customHeight="1" x14ac:dyDescent="0.25">
      <c r="A52" s="140"/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</row>
    <row r="53" spans="1:26" ht="12.75" customHeight="1" x14ac:dyDescent="0.25">
      <c r="A53" s="140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</row>
    <row r="54" spans="1:26" ht="12.75" customHeight="1" x14ac:dyDescent="0.25">
      <c r="A54" s="140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</row>
    <row r="55" spans="1:26" ht="12.75" customHeight="1" x14ac:dyDescent="0.25">
      <c r="A55" s="140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</row>
    <row r="56" spans="1:26" ht="12.75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</row>
    <row r="57" spans="1:26" ht="12.75" customHeight="1" x14ac:dyDescent="0.25">
      <c r="A57" s="140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</row>
    <row r="58" spans="1:26" ht="12.75" customHeight="1" x14ac:dyDescent="0.25">
      <c r="A58" s="140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</row>
    <row r="59" spans="1:26" ht="12.75" customHeight="1" x14ac:dyDescent="0.25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</row>
    <row r="60" spans="1:26" ht="12.75" customHeight="1" x14ac:dyDescent="0.25">
      <c r="A60" s="140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</row>
    <row r="61" spans="1:26" ht="12.75" customHeight="1" x14ac:dyDescent="0.25">
      <c r="A61" s="140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</row>
    <row r="62" spans="1:26" ht="12.75" customHeight="1" x14ac:dyDescent="0.25">
      <c r="A62" s="140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</row>
    <row r="63" spans="1:26" ht="12.75" customHeight="1" x14ac:dyDescent="0.25">
      <c r="A63" s="140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</row>
    <row r="64" spans="1:26" ht="12.75" customHeight="1" x14ac:dyDescent="0.25">
      <c r="A64" s="140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</row>
    <row r="65" spans="1:26" ht="12.75" customHeight="1" x14ac:dyDescent="0.25">
      <c r="A65" s="140"/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</row>
    <row r="66" spans="1:26" ht="12.75" customHeight="1" x14ac:dyDescent="0.25">
      <c r="A66" s="140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</row>
    <row r="67" spans="1:26" ht="12.75" customHeight="1" x14ac:dyDescent="0.25">
      <c r="A67" s="140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</row>
    <row r="68" spans="1:26" ht="12.75" customHeight="1" x14ac:dyDescent="0.2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40"/>
      <c r="Y68" s="140"/>
      <c r="Z68" s="140"/>
    </row>
    <row r="69" spans="1:26" ht="12.75" customHeight="1" x14ac:dyDescent="0.2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</row>
    <row r="70" spans="1:26" ht="12.75" customHeight="1" x14ac:dyDescent="0.25">
      <c r="A70" s="140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</row>
    <row r="71" spans="1:26" ht="12.75" customHeight="1" x14ac:dyDescent="0.25">
      <c r="A71" s="140"/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</row>
    <row r="72" spans="1:26" ht="12.75" customHeight="1" x14ac:dyDescent="0.25">
      <c r="A72" s="140"/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</row>
    <row r="73" spans="1:26" ht="12.75" customHeight="1" x14ac:dyDescent="0.25">
      <c r="A73" s="140"/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</row>
    <row r="74" spans="1:26" ht="12.75" customHeight="1" x14ac:dyDescent="0.25">
      <c r="A74" s="140"/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</row>
  </sheetData>
  <mergeCells count="20">
    <mergeCell ref="B17:D17"/>
    <mergeCell ref="A1:H1"/>
    <mergeCell ref="A2:H2"/>
    <mergeCell ref="A4:H4"/>
    <mergeCell ref="A6:G6"/>
    <mergeCell ref="B8:D8"/>
    <mergeCell ref="A9:H9"/>
    <mergeCell ref="J9:K9"/>
    <mergeCell ref="B11:G11"/>
    <mergeCell ref="B13:G13"/>
    <mergeCell ref="B15:D15"/>
    <mergeCell ref="A16:H16"/>
    <mergeCell ref="B33:C33"/>
    <mergeCell ref="F33:H33"/>
    <mergeCell ref="B18:G18"/>
    <mergeCell ref="B20:G20"/>
    <mergeCell ref="B21:F21"/>
    <mergeCell ref="B22:F22"/>
    <mergeCell ref="F31:H31"/>
    <mergeCell ref="F32:H32"/>
  </mergeCells>
  <printOptions horizontalCentered="1"/>
  <pageMargins left="0.31496062992125984" right="0.31496062992125984" top="0.74803149606299213" bottom="0.74803149606299213" header="0.31496062992125984" footer="0.31496062992125984"/>
  <pageSetup paperSize="12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31"/>
  <sheetViews>
    <sheetView view="pageBreakPreview" topLeftCell="D1" zoomScale="85" zoomScaleNormal="70" zoomScaleSheetLayoutView="85" workbookViewId="0">
      <selection activeCell="H8" sqref="H8"/>
    </sheetView>
  </sheetViews>
  <sheetFormatPr baseColWidth="10" defaultColWidth="12.625" defaultRowHeight="15.75" x14ac:dyDescent="0.25"/>
  <cols>
    <col min="1" max="1" width="2.25" style="204" hidden="1" customWidth="1"/>
    <col min="2" max="2" width="4.125" style="204" customWidth="1"/>
    <col min="3" max="3" width="49.625" style="204" customWidth="1"/>
    <col min="4" max="4" width="4.75" style="204" customWidth="1"/>
    <col min="5" max="5" width="8.75" style="204" customWidth="1"/>
    <col min="6" max="6" width="19.375" style="204" bestFit="1" customWidth="1"/>
    <col min="7" max="18" width="11.75" style="204" customWidth="1"/>
    <col min="19" max="16384" width="12.625" style="204"/>
  </cols>
  <sheetData>
    <row r="1" spans="2:18" ht="12.75" customHeight="1" thickBot="1" x14ac:dyDescent="0.3">
      <c r="B1" s="416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</row>
    <row r="2" spans="2:18" ht="38.25" customHeight="1" thickBot="1" x14ac:dyDescent="0.3">
      <c r="B2" s="434" t="s">
        <v>350</v>
      </c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6"/>
    </row>
    <row r="3" spans="2:18" ht="26.25" customHeight="1" thickBot="1" x14ac:dyDescent="0.3">
      <c r="B3" s="417" t="str">
        <f>+'P. Adecuación'!B2</f>
        <v>ADECUACIÓN Y REMODELACIÓN DEL PUESTO DE SALUD DEL CORREGIMIENTO DE LA VICTORIA DE SAN ISIDRO DEL MUNICIPIO DE LA JAGUA DE IBIRICO, CESAR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9"/>
    </row>
    <row r="4" spans="2:18" ht="15.75" customHeight="1" thickBot="1" x14ac:dyDescent="0.3">
      <c r="B4" s="205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</row>
    <row r="5" spans="2:18" ht="22.5" customHeight="1" thickBot="1" x14ac:dyDescent="0.3">
      <c r="B5" s="205"/>
      <c r="C5" s="206"/>
      <c r="D5" s="206"/>
      <c r="E5" s="206"/>
      <c r="F5" s="206"/>
      <c r="G5" s="420" t="s">
        <v>351</v>
      </c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2"/>
    </row>
    <row r="6" spans="2:18" x14ac:dyDescent="0.25">
      <c r="B6" s="423" t="s">
        <v>18</v>
      </c>
      <c r="C6" s="425" t="s">
        <v>183</v>
      </c>
      <c r="D6" s="427" t="s">
        <v>77</v>
      </c>
      <c r="E6" s="427" t="s">
        <v>352</v>
      </c>
      <c r="F6" s="429" t="s">
        <v>353</v>
      </c>
      <c r="G6" s="431" t="s">
        <v>354</v>
      </c>
      <c r="H6" s="432"/>
      <c r="I6" s="432"/>
      <c r="J6" s="433"/>
      <c r="K6" s="431" t="s">
        <v>355</v>
      </c>
      <c r="L6" s="432"/>
      <c r="M6" s="432"/>
      <c r="N6" s="433"/>
      <c r="O6" s="431" t="s">
        <v>356</v>
      </c>
      <c r="P6" s="432"/>
      <c r="Q6" s="432"/>
      <c r="R6" s="433"/>
    </row>
    <row r="7" spans="2:18" ht="16.5" thickBot="1" x14ac:dyDescent="0.3">
      <c r="B7" s="424"/>
      <c r="C7" s="426"/>
      <c r="D7" s="428"/>
      <c r="E7" s="428"/>
      <c r="F7" s="430"/>
      <c r="G7" s="207">
        <v>1</v>
      </c>
      <c r="H7" s="208">
        <v>2</v>
      </c>
      <c r="I7" s="208">
        <v>3</v>
      </c>
      <c r="J7" s="209">
        <v>4</v>
      </c>
      <c r="K7" s="207">
        <v>5</v>
      </c>
      <c r="L7" s="208">
        <v>6</v>
      </c>
      <c r="M7" s="208">
        <v>7</v>
      </c>
      <c r="N7" s="209">
        <v>8</v>
      </c>
      <c r="O7" s="207">
        <v>9</v>
      </c>
      <c r="P7" s="208">
        <v>10</v>
      </c>
      <c r="Q7" s="208">
        <v>11</v>
      </c>
      <c r="R7" s="209">
        <v>12</v>
      </c>
    </row>
    <row r="8" spans="2:18" x14ac:dyDescent="0.25">
      <c r="B8" s="210">
        <v>1</v>
      </c>
      <c r="C8" s="211" t="str">
        <f>+'P. Adecuación'!C6</f>
        <v>PRELIMINARES</v>
      </c>
      <c r="D8" s="212"/>
      <c r="E8" s="213"/>
      <c r="F8" s="214"/>
      <c r="G8" s="215"/>
      <c r="H8" s="216"/>
      <c r="I8" s="216"/>
      <c r="J8" s="217"/>
      <c r="K8" s="215"/>
      <c r="L8" s="216"/>
      <c r="M8" s="216"/>
      <c r="N8" s="217"/>
      <c r="O8" s="215"/>
      <c r="P8" s="216"/>
      <c r="Q8" s="216"/>
      <c r="R8" s="217"/>
    </row>
    <row r="9" spans="2:18" ht="16.5" x14ac:dyDescent="0.25">
      <c r="B9" s="218" t="s">
        <v>33</v>
      </c>
      <c r="C9" s="219" t="str">
        <f>+'P. Adecuación'!C7</f>
        <v>DEMOLICIONES (PISOS)</v>
      </c>
      <c r="D9" s="220" t="str">
        <f>+'P. Adecuación'!D7</f>
        <v>m2</v>
      </c>
      <c r="E9" s="249">
        <f>+'P. Adecuación'!E7</f>
        <v>380.37</v>
      </c>
      <c r="F9" s="250">
        <f>+'P. Adecuación'!G7*1.3</f>
        <v>12370431.177000001</v>
      </c>
      <c r="G9" s="251">
        <f>+F9/2</f>
        <v>6185215.5885000005</v>
      </c>
      <c r="H9" s="252">
        <f>+G9</f>
        <v>6185215.5885000005</v>
      </c>
      <c r="I9" s="224"/>
      <c r="J9" s="225"/>
      <c r="K9" s="223"/>
      <c r="L9" s="224"/>
      <c r="M9" s="224"/>
      <c r="N9" s="225"/>
      <c r="O9" s="223"/>
      <c r="P9" s="224"/>
      <c r="Q9" s="224"/>
      <c r="R9" s="225"/>
    </row>
    <row r="10" spans="2:18" ht="27.75" customHeight="1" x14ac:dyDescent="0.25">
      <c r="B10" s="218" t="s">
        <v>43</v>
      </c>
      <c r="C10" s="219" t="str">
        <f>+'P. Adecuación'!C8</f>
        <v>DESMONTES (VENTANAS)</v>
      </c>
      <c r="D10" s="220" t="str">
        <f>+'P. Adecuación'!D8</f>
        <v>und</v>
      </c>
      <c r="E10" s="249">
        <f>+'P. Adecuación'!E8</f>
        <v>23</v>
      </c>
      <c r="F10" s="250">
        <f>+'P. Adecuación'!G8*1.3</f>
        <v>829904.4</v>
      </c>
      <c r="G10" s="251">
        <f>+F10/2</f>
        <v>414952.2</v>
      </c>
      <c r="H10" s="252">
        <f>+G10</f>
        <v>414952.2</v>
      </c>
      <c r="I10" s="224"/>
      <c r="J10" s="225"/>
      <c r="K10" s="223"/>
      <c r="L10" s="224"/>
      <c r="M10" s="224"/>
      <c r="N10" s="225"/>
      <c r="O10" s="223"/>
      <c r="P10" s="224"/>
      <c r="Q10" s="224"/>
      <c r="R10" s="225"/>
    </row>
    <row r="11" spans="2:18" s="280" customFormat="1" ht="27.75" customHeight="1" x14ac:dyDescent="0.25">
      <c r="B11" s="218" t="s">
        <v>42</v>
      </c>
      <c r="C11" s="219" t="str">
        <f>+'P. Adecuación'!C9</f>
        <v>DESMONTE DE APARATOS SANITARIOS, LAVAMANOS Y LAVAPLATOS</v>
      </c>
      <c r="D11" s="220" t="str">
        <f>+'P. Adecuación'!D9</f>
        <v>und</v>
      </c>
      <c r="E11" s="249">
        <f>+'P. Adecuación'!E9</f>
        <v>20</v>
      </c>
      <c r="F11" s="250">
        <f>+'P. Adecuación'!G9*1.3</f>
        <v>902070</v>
      </c>
      <c r="G11" s="251">
        <f t="shared" ref="G11:G13" si="0">+F11/2</f>
        <v>451035</v>
      </c>
      <c r="H11" s="252">
        <f t="shared" ref="H11:H13" si="1">+G11</f>
        <v>451035</v>
      </c>
      <c r="I11" s="224"/>
      <c r="J11" s="225"/>
      <c r="K11" s="223"/>
      <c r="L11" s="224"/>
      <c r="M11" s="224"/>
      <c r="N11" s="225"/>
      <c r="O11" s="223"/>
      <c r="P11" s="224"/>
      <c r="Q11" s="224"/>
      <c r="R11" s="225"/>
    </row>
    <row r="12" spans="2:18" s="280" customFormat="1" ht="27.75" customHeight="1" x14ac:dyDescent="0.25">
      <c r="B12" s="218" t="s">
        <v>400</v>
      </c>
      <c r="C12" s="219" t="str">
        <f>+'P. Adecuación'!C10</f>
        <v>DESMONTES (CIELO RASOS)</v>
      </c>
      <c r="D12" s="220" t="str">
        <f>+'P. Adecuación'!D10</f>
        <v>m2</v>
      </c>
      <c r="E12" s="249">
        <f>+'P. Adecuación'!E10</f>
        <v>488.57</v>
      </c>
      <c r="F12" s="250">
        <f>+'P. Adecuación'!G10*1.3</f>
        <v>23123102.03125</v>
      </c>
      <c r="G12" s="251">
        <f>+F12/2</f>
        <v>11561551.015625</v>
      </c>
      <c r="H12" s="252">
        <f t="shared" si="1"/>
        <v>11561551.015625</v>
      </c>
      <c r="I12" s="224"/>
      <c r="J12" s="225"/>
      <c r="K12" s="223"/>
      <c r="L12" s="224"/>
      <c r="M12" s="224"/>
      <c r="N12" s="225"/>
      <c r="O12" s="223"/>
      <c r="P12" s="224"/>
      <c r="Q12" s="224"/>
      <c r="R12" s="225"/>
    </row>
    <row r="13" spans="2:18" s="280" customFormat="1" ht="27.75" customHeight="1" x14ac:dyDescent="0.25">
      <c r="B13" s="218" t="s">
        <v>401</v>
      </c>
      <c r="C13" s="219" t="str">
        <f>+'P. Adecuación'!C11</f>
        <v>DESMONTES (PUERTAS)</v>
      </c>
      <c r="D13" s="220" t="str">
        <f>+'P. Adecuación'!D11</f>
        <v>und</v>
      </c>
      <c r="E13" s="249">
        <f>+'P. Adecuación'!E11</f>
        <v>2</v>
      </c>
      <c r="F13" s="250">
        <f>+'P. Adecuación'!G11*1.3</f>
        <v>90207</v>
      </c>
      <c r="G13" s="251">
        <f t="shared" si="0"/>
        <v>45103.5</v>
      </c>
      <c r="H13" s="252">
        <f t="shared" si="1"/>
        <v>45103.5</v>
      </c>
      <c r="I13" s="224"/>
      <c r="J13" s="225"/>
      <c r="K13" s="223"/>
      <c r="L13" s="224"/>
      <c r="M13" s="224"/>
      <c r="N13" s="225"/>
      <c r="O13" s="223"/>
      <c r="P13" s="224"/>
      <c r="Q13" s="224"/>
      <c r="R13" s="225"/>
    </row>
    <row r="14" spans="2:18" x14ac:dyDescent="0.25">
      <c r="B14" s="226" t="str">
        <f>+'P. Adecuación'!B12</f>
        <v>2.</v>
      </c>
      <c r="C14" s="227" t="str">
        <f>+'P. Adecuación'!C12</f>
        <v>OBRAS DE URBANISMO</v>
      </c>
      <c r="D14" s="220"/>
      <c r="E14" s="221"/>
      <c r="F14" s="222"/>
      <c r="G14" s="223"/>
      <c r="H14" s="224"/>
      <c r="I14" s="224"/>
      <c r="J14" s="225"/>
      <c r="K14" s="223"/>
      <c r="L14" s="224"/>
      <c r="M14" s="224"/>
      <c r="N14" s="225"/>
      <c r="O14" s="223"/>
      <c r="P14" s="224"/>
      <c r="Q14" s="224"/>
      <c r="R14" s="225"/>
    </row>
    <row r="15" spans="2:18" ht="16.5" x14ac:dyDescent="0.25">
      <c r="B15" s="218" t="str">
        <f>+'P. Adecuación'!B13</f>
        <v>2.1</v>
      </c>
      <c r="C15" s="219" t="str">
        <f>+'P. Adecuación'!C13</f>
        <v>RAMPA EN CONCRETO 3000 PSI; E=0,10mts</v>
      </c>
      <c r="D15" s="220" t="str">
        <f>+'P. Adecuación'!D13</f>
        <v>m2</v>
      </c>
      <c r="E15" s="249">
        <f>+'P. Adecuación'!E13</f>
        <v>2.1602501550572302</v>
      </c>
      <c r="F15" s="250">
        <f>+'P. Adecuación'!G13*1.3</f>
        <v>163006.42800018442</v>
      </c>
      <c r="G15" s="223"/>
      <c r="H15" s="252">
        <f>+F15/2</f>
        <v>81503.214000092208</v>
      </c>
      <c r="I15" s="252">
        <f>+H15</f>
        <v>81503.214000092208</v>
      </c>
      <c r="J15" s="225"/>
      <c r="K15" s="223"/>
      <c r="L15" s="224"/>
      <c r="M15" s="224"/>
      <c r="N15" s="225"/>
      <c r="O15" s="223"/>
      <c r="P15" s="224"/>
      <c r="Q15" s="224"/>
      <c r="R15" s="225"/>
    </row>
    <row r="16" spans="2:18" ht="16.5" x14ac:dyDescent="0.25">
      <c r="B16" s="226" t="str">
        <f>+'P. Adecuación'!B14</f>
        <v>3.</v>
      </c>
      <c r="C16" s="227" t="str">
        <f>+'P. Adecuación'!C14</f>
        <v>OBRAS EN CUBIERTA</v>
      </c>
      <c r="D16" s="220"/>
      <c r="E16" s="249"/>
      <c r="F16" s="250"/>
      <c r="G16" s="223"/>
      <c r="H16" s="224"/>
      <c r="I16" s="224"/>
      <c r="J16" s="225"/>
      <c r="K16" s="223"/>
      <c r="L16" s="224"/>
      <c r="M16" s="224"/>
      <c r="N16" s="225"/>
      <c r="O16" s="223"/>
      <c r="P16" s="224"/>
      <c r="Q16" s="224"/>
      <c r="R16" s="225"/>
    </row>
    <row r="17" spans="2:18" ht="28.5" x14ac:dyDescent="0.25">
      <c r="B17" s="218" t="str">
        <f>+'P. Adecuación'!B15</f>
        <v>3.1</v>
      </c>
      <c r="C17" s="219" t="str">
        <f>+'P. Adecuación'!C15</f>
        <v>CUBIERTA EN TEJA ARQUITECTONICA ACESCO O SIMILAR</v>
      </c>
      <c r="D17" s="220" t="str">
        <f>+'P. Adecuación'!D15</f>
        <v>m2</v>
      </c>
      <c r="E17" s="249">
        <f>+'P. Adecuación'!E15</f>
        <v>583.46</v>
      </c>
      <c r="F17" s="250">
        <f>+'P. Adecuación'!G15*1.3</f>
        <v>44153685.576000005</v>
      </c>
      <c r="G17" s="223"/>
      <c r="H17" s="224"/>
      <c r="I17" s="224"/>
      <c r="J17" s="267">
        <f>+F17/4</f>
        <v>11038421.394000001</v>
      </c>
      <c r="K17" s="251">
        <f>+J17</f>
        <v>11038421.394000001</v>
      </c>
      <c r="L17" s="252">
        <f>+K17</f>
        <v>11038421.394000001</v>
      </c>
      <c r="M17" s="252">
        <f>+L17</f>
        <v>11038421.394000001</v>
      </c>
      <c r="N17" s="225"/>
      <c r="O17" s="223"/>
      <c r="P17" s="224"/>
      <c r="Q17" s="224"/>
      <c r="R17" s="225"/>
    </row>
    <row r="18" spans="2:18" ht="28.5" x14ac:dyDescent="0.25">
      <c r="B18" s="218" t="str">
        <f>+'P. Adecuación'!B16</f>
        <v>3.2</v>
      </c>
      <c r="C18" s="219" t="str">
        <f>+'P. Adecuación'!C16</f>
        <v>IMPERMEABILIZACION DE PLACA EN MANTO EDIL 3 MM STANDAR INCL. IMPRIMANTE Y PINTURA BITUMINOSA</v>
      </c>
      <c r="D18" s="220" t="str">
        <f>+'P. Adecuación'!D16</f>
        <v>m2</v>
      </c>
      <c r="E18" s="249">
        <f>+'P. Adecuación'!E16</f>
        <v>183.25</v>
      </c>
      <c r="F18" s="250">
        <f>+'P. Adecuación'!G16*1.3</f>
        <v>11371908.6</v>
      </c>
      <c r="G18" s="223"/>
      <c r="H18" s="224"/>
      <c r="I18" s="252">
        <f>+F18/4</f>
        <v>2842977.15</v>
      </c>
      <c r="J18" s="267">
        <f>+F18/4</f>
        <v>2842977.15</v>
      </c>
      <c r="K18" s="251">
        <f>+J18</f>
        <v>2842977.15</v>
      </c>
      <c r="L18" s="252">
        <f>+K18</f>
        <v>2842977.15</v>
      </c>
      <c r="M18" s="224"/>
      <c r="N18" s="225"/>
      <c r="O18" s="223"/>
      <c r="P18" s="224"/>
      <c r="Q18" s="224"/>
      <c r="R18" s="225"/>
    </row>
    <row r="19" spans="2:18" ht="16.5" x14ac:dyDescent="0.25">
      <c r="B19" s="218" t="str">
        <f>+'P. Adecuación'!B17</f>
        <v>3.3</v>
      </c>
      <c r="C19" s="219" t="str">
        <f>+'P. Adecuación'!C17</f>
        <v>MEDIACAÑA EN MORTERO 1:4</v>
      </c>
      <c r="D19" s="220" t="str">
        <f>+'P. Adecuación'!D17</f>
        <v>ml</v>
      </c>
      <c r="E19" s="249">
        <f>+'P. Adecuación'!E17</f>
        <v>151.9</v>
      </c>
      <c r="F19" s="250">
        <f>+'P. Adecuación'!G17*1.3</f>
        <v>4106783.5900000003</v>
      </c>
      <c r="G19" s="223"/>
      <c r="H19" s="224"/>
      <c r="I19" s="252">
        <f t="shared" ref="I19" si="2">+F19/4</f>
        <v>1026695.8975000001</v>
      </c>
      <c r="J19" s="267">
        <f t="shared" ref="J19" si="3">+F19/4</f>
        <v>1026695.8975000001</v>
      </c>
      <c r="K19" s="251">
        <f t="shared" ref="K19:L19" si="4">+J19</f>
        <v>1026695.8975000001</v>
      </c>
      <c r="L19" s="252">
        <f t="shared" si="4"/>
        <v>1026695.8975000001</v>
      </c>
      <c r="M19" s="224"/>
      <c r="N19" s="225"/>
      <c r="O19" s="223"/>
      <c r="P19" s="224"/>
      <c r="Q19" s="224"/>
      <c r="R19" s="225"/>
    </row>
    <row r="20" spans="2:18" ht="16.5" x14ac:dyDescent="0.25">
      <c r="B20" s="226" t="str">
        <f>+'P. Adecuación'!B19</f>
        <v>4.</v>
      </c>
      <c r="C20" s="227" t="str">
        <f>+'P. Adecuación'!C19</f>
        <v>MAMPOSTERIA Y PINTURA</v>
      </c>
      <c r="D20" s="220"/>
      <c r="E20" s="249"/>
      <c r="F20" s="250"/>
      <c r="G20" s="223"/>
      <c r="H20" s="224"/>
      <c r="I20" s="224"/>
      <c r="J20" s="225"/>
      <c r="K20" s="223"/>
      <c r="L20" s="224"/>
      <c r="M20" s="224"/>
      <c r="N20" s="225"/>
      <c r="O20" s="223"/>
      <c r="P20" s="224"/>
      <c r="Q20" s="224"/>
      <c r="R20" s="225"/>
    </row>
    <row r="21" spans="2:18" ht="16.5" x14ac:dyDescent="0.25">
      <c r="B21" s="218" t="str">
        <f>+'P. Adecuación'!B20</f>
        <v>4.1</v>
      </c>
      <c r="C21" s="219" t="str">
        <f>+'P. Adecuación'!C20</f>
        <v>PAÑETE LISO MUROS  1:4</v>
      </c>
      <c r="D21" s="220" t="str">
        <f>+'P. Adecuación'!D20</f>
        <v>m2</v>
      </c>
      <c r="E21" s="249">
        <f>+'P. Adecuación'!E20</f>
        <v>482.45</v>
      </c>
      <c r="F21" s="250">
        <f>+'P. Adecuación'!G20*1.3</f>
        <v>17710450.030000001</v>
      </c>
      <c r="G21" s="223"/>
      <c r="H21" s="224"/>
      <c r="I21" s="224"/>
      <c r="J21" s="225"/>
      <c r="K21" s="223"/>
      <c r="L21" s="224"/>
      <c r="M21" s="252">
        <f>+F21/4</f>
        <v>4427612.5075000003</v>
      </c>
      <c r="N21" s="267">
        <f>+M21</f>
        <v>4427612.5075000003</v>
      </c>
      <c r="O21" s="251">
        <f>+N21</f>
        <v>4427612.5075000003</v>
      </c>
      <c r="P21" s="252">
        <f>+O21</f>
        <v>4427612.5075000003</v>
      </c>
      <c r="Q21" s="224"/>
      <c r="R21" s="225"/>
    </row>
    <row r="22" spans="2:18" ht="16.5" x14ac:dyDescent="0.25">
      <c r="B22" s="218" t="str">
        <f>+'P. Adecuación'!B21</f>
        <v>4.2</v>
      </c>
      <c r="C22" s="219" t="str">
        <f>+'P. Adecuación'!C21</f>
        <v>PAÑETE IMPERMEABILIZADO 1:3</v>
      </c>
      <c r="D22" s="220" t="str">
        <f>+'P. Adecuación'!D21</f>
        <v>m2</v>
      </c>
      <c r="E22" s="249">
        <f>+'P. Adecuación'!E21</f>
        <v>81.53</v>
      </c>
      <c r="F22" s="250">
        <f>+'P. Adecuación'!G21*1.3</f>
        <v>3560594.466</v>
      </c>
      <c r="G22" s="223"/>
      <c r="H22" s="224"/>
      <c r="I22" s="224"/>
      <c r="J22" s="225"/>
      <c r="K22" s="223"/>
      <c r="L22" s="224"/>
      <c r="M22" s="252">
        <f t="shared" ref="M22:M25" si="5">+F22/4</f>
        <v>890148.6165</v>
      </c>
      <c r="N22" s="267">
        <f t="shared" ref="N22:P22" si="6">+M22</f>
        <v>890148.6165</v>
      </c>
      <c r="O22" s="251">
        <f t="shared" si="6"/>
        <v>890148.6165</v>
      </c>
      <c r="P22" s="252">
        <f t="shared" si="6"/>
        <v>890148.6165</v>
      </c>
      <c r="Q22" s="224"/>
      <c r="R22" s="225"/>
    </row>
    <row r="23" spans="2:18" ht="15.75" customHeight="1" x14ac:dyDescent="0.25">
      <c r="B23" s="218" t="str">
        <f>+'P. Adecuación'!B22</f>
        <v>4.3</v>
      </c>
      <c r="C23" s="219" t="str">
        <f>+'P. Adecuación'!C22</f>
        <v>FILOS Y DILATACIONES EN PAÑETES</v>
      </c>
      <c r="D23" s="220" t="str">
        <f>+'P. Adecuación'!D22</f>
        <v>m2</v>
      </c>
      <c r="E23" s="249">
        <f>+'P. Adecuación'!E22</f>
        <v>1335.88</v>
      </c>
      <c r="F23" s="250">
        <f>+'P. Adecuación'!G22*1.3</f>
        <v>10168050.620000001</v>
      </c>
      <c r="G23" s="223"/>
      <c r="H23" s="224"/>
      <c r="I23" s="224"/>
      <c r="J23" s="225"/>
      <c r="K23" s="223"/>
      <c r="L23" s="224"/>
      <c r="M23" s="252">
        <f t="shared" si="5"/>
        <v>2542012.6550000003</v>
      </c>
      <c r="N23" s="267">
        <f t="shared" ref="N23:P23" si="7">+M23</f>
        <v>2542012.6550000003</v>
      </c>
      <c r="O23" s="251">
        <f t="shared" si="7"/>
        <v>2542012.6550000003</v>
      </c>
      <c r="P23" s="252">
        <f t="shared" si="7"/>
        <v>2542012.6550000003</v>
      </c>
      <c r="Q23" s="224"/>
      <c r="R23" s="225"/>
    </row>
    <row r="24" spans="2:18" ht="15.75" customHeight="1" x14ac:dyDescent="0.25">
      <c r="B24" s="218" t="str">
        <f>+'P. Adecuación'!B23</f>
        <v>4.4</v>
      </c>
      <c r="C24" s="219" t="str">
        <f>+'P. Adecuación'!C23</f>
        <v>ESTUCO Y VINILO TRES MANOS EN MUROS (COLOR)</v>
      </c>
      <c r="D24" s="220" t="str">
        <f>+'P. Adecuación'!D23</f>
        <v>m2</v>
      </c>
      <c r="E24" s="249">
        <f>+'P. Adecuación'!E23</f>
        <v>239.36</v>
      </c>
      <c r="F24" s="250">
        <f>+'P. Adecuación'!G23*1.3</f>
        <v>12507397.760000002</v>
      </c>
      <c r="G24" s="223"/>
      <c r="H24" s="224"/>
      <c r="I24" s="224"/>
      <c r="J24" s="225"/>
      <c r="K24" s="223"/>
      <c r="L24" s="224"/>
      <c r="M24" s="252">
        <f t="shared" si="5"/>
        <v>3126849.4400000004</v>
      </c>
      <c r="N24" s="267">
        <f t="shared" ref="N24:P24" si="8">+M24</f>
        <v>3126849.4400000004</v>
      </c>
      <c r="O24" s="251">
        <f t="shared" si="8"/>
        <v>3126849.4400000004</v>
      </c>
      <c r="P24" s="252">
        <f t="shared" si="8"/>
        <v>3126849.4400000004</v>
      </c>
      <c r="Q24" s="224"/>
      <c r="R24" s="225"/>
    </row>
    <row r="25" spans="2:18" ht="15.75" customHeight="1" x14ac:dyDescent="0.25">
      <c r="B25" s="218" t="str">
        <f>+'P. Adecuación'!B24</f>
        <v>4.5</v>
      </c>
      <c r="C25" s="219" t="str">
        <f>+'P. Adecuación'!C24</f>
        <v>PINTURA FACHADA EN VINILO PARA EXTERIORES</v>
      </c>
      <c r="D25" s="220" t="str">
        <f>+'P. Adecuación'!D24</f>
        <v>m2</v>
      </c>
      <c r="E25" s="249">
        <f>+'P. Adecuación'!E24</f>
        <v>81.53</v>
      </c>
      <c r="F25" s="250">
        <f>+'P. Adecuación'!G24*1.3</f>
        <v>4848678.7830000008</v>
      </c>
      <c r="G25" s="223"/>
      <c r="H25" s="224"/>
      <c r="I25" s="224"/>
      <c r="J25" s="225"/>
      <c r="K25" s="223"/>
      <c r="L25" s="224"/>
      <c r="M25" s="252">
        <f t="shared" si="5"/>
        <v>1212169.6957500002</v>
      </c>
      <c r="N25" s="267">
        <f t="shared" ref="N25:P25" si="9">+M25</f>
        <v>1212169.6957500002</v>
      </c>
      <c r="O25" s="251">
        <f t="shared" si="9"/>
        <v>1212169.6957500002</v>
      </c>
      <c r="P25" s="252">
        <f t="shared" si="9"/>
        <v>1212169.6957500002</v>
      </c>
      <c r="Q25" s="224"/>
      <c r="R25" s="225"/>
    </row>
    <row r="26" spans="2:18" ht="15.75" customHeight="1" x14ac:dyDescent="0.25">
      <c r="B26" s="226" t="str">
        <f>+'P. Adecuación'!B25</f>
        <v>5.</v>
      </c>
      <c r="C26" s="227" t="str">
        <f>+'P. Adecuación'!C25</f>
        <v>PISOS Y CIELO RASO</v>
      </c>
      <c r="D26" s="220"/>
      <c r="E26" s="249"/>
      <c r="F26" s="250"/>
      <c r="G26" s="223"/>
      <c r="H26" s="224"/>
      <c r="I26" s="224"/>
      <c r="J26" s="225"/>
      <c r="K26" s="223"/>
      <c r="L26" s="224"/>
      <c r="M26" s="224"/>
      <c r="N26" s="225"/>
      <c r="O26" s="223"/>
      <c r="P26" s="224"/>
      <c r="Q26" s="224"/>
      <c r="R26" s="225"/>
    </row>
    <row r="27" spans="2:18" ht="15.75" customHeight="1" x14ac:dyDescent="0.25">
      <c r="B27" s="218" t="str">
        <f>+'P. Adecuación'!B26</f>
        <v>5.1</v>
      </c>
      <c r="C27" s="219" t="str">
        <f>+'P. Adecuación'!C26</f>
        <v>ALISTADO PISO 1:5 E=0.04 M</v>
      </c>
      <c r="D27" s="220" t="str">
        <f>+'P. Adecuación'!D26</f>
        <v>m2</v>
      </c>
      <c r="E27" s="249">
        <f>+'P. Adecuación'!E26</f>
        <v>380.37</v>
      </c>
      <c r="F27" s="250">
        <f>+'P. Adecuación'!G26*1.3</f>
        <v>15581590.791000001</v>
      </c>
      <c r="G27" s="223"/>
      <c r="H27" s="224"/>
      <c r="I27" s="224"/>
      <c r="J27" s="225"/>
      <c r="K27" s="251">
        <f>+F27/4</f>
        <v>3895397.6977500003</v>
      </c>
      <c r="L27" s="252">
        <f>+K27</f>
        <v>3895397.6977500003</v>
      </c>
      <c r="M27" s="252">
        <f>+L27</f>
        <v>3895397.6977500003</v>
      </c>
      <c r="N27" s="267">
        <f>+M27</f>
        <v>3895397.6977500003</v>
      </c>
      <c r="O27" s="223"/>
      <c r="P27" s="224"/>
      <c r="Q27" s="224"/>
      <c r="R27" s="225"/>
    </row>
    <row r="28" spans="2:18" ht="33" customHeight="1" x14ac:dyDescent="0.25">
      <c r="B28" s="218" t="str">
        <f>+'P. Adecuación'!B27</f>
        <v>5.2</v>
      </c>
      <c r="C28" s="219" t="str">
        <f>+'P. Adecuación'!C27</f>
        <v xml:space="preserve">SUMINISTRO E INSTALACIÓN DE BALDOSIN 20 X 20 CM LINEA INSTITUCIONAL O SIMILAR BLANCO </v>
      </c>
      <c r="D28" s="220" t="str">
        <f>+'P. Adecuación'!D27</f>
        <v>m2</v>
      </c>
      <c r="E28" s="249">
        <f>+'P. Adecuación'!E27</f>
        <v>5.3</v>
      </c>
      <c r="F28" s="250">
        <f>+'P. Adecuación'!G27*1.3</f>
        <v>507531.18</v>
      </c>
      <c r="G28" s="223"/>
      <c r="H28" s="224"/>
      <c r="I28" s="224"/>
      <c r="J28" s="225"/>
      <c r="K28" s="251">
        <f t="shared" ref="K28:K31" si="10">+F28/4</f>
        <v>126882.795</v>
      </c>
      <c r="L28" s="252">
        <f t="shared" ref="L28:N28" si="11">+K28</f>
        <v>126882.795</v>
      </c>
      <c r="M28" s="252">
        <f t="shared" si="11"/>
        <v>126882.795</v>
      </c>
      <c r="N28" s="267">
        <f t="shared" si="11"/>
        <v>126882.795</v>
      </c>
      <c r="O28" s="223"/>
      <c r="P28" s="224"/>
      <c r="Q28" s="224"/>
      <c r="R28" s="225"/>
    </row>
    <row r="29" spans="2:18" ht="15.75" customHeight="1" x14ac:dyDescent="0.25">
      <c r="B29" s="218" t="str">
        <f>+'P. Adecuación'!B28</f>
        <v>5.3</v>
      </c>
      <c r="C29" s="219" t="str">
        <f>+'P. Adecuación'!C28</f>
        <v>GUARDAESCOBA MEDIA CAÑA EN GRANITO PULIDO</v>
      </c>
      <c r="D29" s="220" t="str">
        <f>+'P. Adecuación'!D28</f>
        <v>ml</v>
      </c>
      <c r="E29" s="249">
        <f>+'P. Adecuación'!E28</f>
        <v>151.9</v>
      </c>
      <c r="F29" s="250">
        <f>+'P. Adecuación'!G28*1.3</f>
        <v>7810333.4400000004</v>
      </c>
      <c r="G29" s="223"/>
      <c r="H29" s="224"/>
      <c r="I29" s="224"/>
      <c r="J29" s="225"/>
      <c r="K29" s="251">
        <f t="shared" si="10"/>
        <v>1952583.36</v>
      </c>
      <c r="L29" s="252">
        <f t="shared" ref="L29:N29" si="12">+K29</f>
        <v>1952583.36</v>
      </c>
      <c r="M29" s="252">
        <f t="shared" si="12"/>
        <v>1952583.36</v>
      </c>
      <c r="N29" s="267">
        <f t="shared" si="12"/>
        <v>1952583.36</v>
      </c>
      <c r="O29" s="223"/>
      <c r="P29" s="224"/>
      <c r="Q29" s="224"/>
      <c r="R29" s="225"/>
    </row>
    <row r="30" spans="2:18" ht="33" customHeight="1" x14ac:dyDescent="0.25">
      <c r="B30" s="218" t="str">
        <f>+'P. Adecuación'!B29</f>
        <v>5.4</v>
      </c>
      <c r="C30" s="219" t="str">
        <f>+'P. Adecuación'!C29</f>
        <v>PISO PORCELANATO 60 X 60 CM PRIMERA CALIDAD O SIMILAR</v>
      </c>
      <c r="D30" s="220" t="str">
        <f>+'P. Adecuación'!D29</f>
        <v>m2</v>
      </c>
      <c r="E30" s="249">
        <f>+'P. Adecuación'!E29</f>
        <v>380.37</v>
      </c>
      <c r="F30" s="250">
        <f>+'P. Adecuación'!G29*1.3</f>
        <v>62676455.712000005</v>
      </c>
      <c r="G30" s="223"/>
      <c r="H30" s="224"/>
      <c r="I30" s="224"/>
      <c r="J30" s="225"/>
      <c r="K30" s="251">
        <f t="shared" si="10"/>
        <v>15669113.928000001</v>
      </c>
      <c r="L30" s="252">
        <f t="shared" ref="L30:N30" si="13">+K30</f>
        <v>15669113.928000001</v>
      </c>
      <c r="M30" s="252">
        <f t="shared" si="13"/>
        <v>15669113.928000001</v>
      </c>
      <c r="N30" s="267">
        <f t="shared" si="13"/>
        <v>15669113.928000001</v>
      </c>
      <c r="O30" s="223"/>
      <c r="P30" s="224"/>
      <c r="Q30" s="224"/>
      <c r="R30" s="225"/>
    </row>
    <row r="31" spans="2:18" ht="42.75" x14ac:dyDescent="0.25">
      <c r="B31" s="218" t="str">
        <f>+'P. Adecuación'!B30</f>
        <v>5.5</v>
      </c>
      <c r="C31" s="219" t="str">
        <f>+'P. Adecuación'!C30</f>
        <v>CIELO RASO EN PVC (INCLUYE ESTRUCTURA DE SOPORTE Y TODOS LOS ELEMENTOS NECESARIOS PARA SU CORRECTA INSTALACIÓN)</v>
      </c>
      <c r="D31" s="220" t="str">
        <f>+'P. Adecuación'!D30</f>
        <v>m2</v>
      </c>
      <c r="E31" s="249">
        <f>+'P. Adecuación'!E30</f>
        <v>488.57</v>
      </c>
      <c r="F31" s="250">
        <f>+'P. Adecuación'!G30*1.3</f>
        <v>64627502.173</v>
      </c>
      <c r="G31" s="223"/>
      <c r="H31" s="224"/>
      <c r="I31" s="224"/>
      <c r="J31" s="225"/>
      <c r="K31" s="251">
        <f t="shared" si="10"/>
        <v>16156875.54325</v>
      </c>
      <c r="L31" s="252">
        <f t="shared" ref="L31:N31" si="14">+K31</f>
        <v>16156875.54325</v>
      </c>
      <c r="M31" s="252">
        <f t="shared" si="14"/>
        <v>16156875.54325</v>
      </c>
      <c r="N31" s="267">
        <f t="shared" si="14"/>
        <v>16156875.54325</v>
      </c>
      <c r="O31" s="223"/>
      <c r="P31" s="224"/>
      <c r="Q31" s="224"/>
      <c r="R31" s="225"/>
    </row>
    <row r="32" spans="2:18" ht="15.75" customHeight="1" x14ac:dyDescent="0.25">
      <c r="B32" s="226" t="str">
        <f>+'P. Adecuación'!B31</f>
        <v>6.</v>
      </c>
      <c r="C32" s="227" t="str">
        <f>+'P. Adecuación'!C31</f>
        <v>ENCHAPES Y ACCESORIOS BAÑOS</v>
      </c>
      <c r="D32" s="220"/>
      <c r="E32" s="249"/>
      <c r="F32" s="250"/>
      <c r="G32" s="223"/>
      <c r="H32" s="224"/>
      <c r="I32" s="224"/>
      <c r="J32" s="225"/>
      <c r="K32" s="223"/>
      <c r="L32" s="224"/>
      <c r="M32" s="224"/>
      <c r="N32" s="225"/>
      <c r="O32" s="223"/>
      <c r="P32" s="224"/>
      <c r="Q32" s="224"/>
      <c r="R32" s="225"/>
    </row>
    <row r="33" spans="2:18" ht="28.5" x14ac:dyDescent="0.25">
      <c r="B33" s="218" t="str">
        <f>+'P. Adecuación'!B32</f>
        <v>6.1</v>
      </c>
      <c r="C33" s="219" t="str">
        <f>+'P. Adecuación'!C32</f>
        <v>CERAMICA PARED (INCLUYE BOQUILLA COLOR, WING Y LINEALES)</v>
      </c>
      <c r="D33" s="220" t="str">
        <f>+'P. Adecuación'!D32</f>
        <v>m2</v>
      </c>
      <c r="E33" s="249">
        <f>+'P. Adecuación'!E32</f>
        <v>87.05</v>
      </c>
      <c r="F33" s="250">
        <f>+'P. Adecuación'!G32*1.3</f>
        <v>7379602.8150000004</v>
      </c>
      <c r="G33" s="223"/>
      <c r="H33" s="224"/>
      <c r="I33" s="224"/>
      <c r="J33" s="225"/>
      <c r="K33" s="251">
        <f t="shared" ref="K33:K34" si="15">+F33/4</f>
        <v>1844900.7037500001</v>
      </c>
      <c r="L33" s="252">
        <f t="shared" ref="L33:N33" si="16">+K33</f>
        <v>1844900.7037500001</v>
      </c>
      <c r="M33" s="252">
        <f t="shared" si="16"/>
        <v>1844900.7037500001</v>
      </c>
      <c r="N33" s="267">
        <f t="shared" si="16"/>
        <v>1844900.7037500001</v>
      </c>
      <c r="O33" s="223"/>
      <c r="P33" s="224"/>
      <c r="Q33" s="224"/>
      <c r="R33" s="225"/>
    </row>
    <row r="34" spans="2:18" ht="28.5" x14ac:dyDescent="0.25">
      <c r="B34" s="218" t="str">
        <f>+'P. Adecuación'!B33</f>
        <v>6.2</v>
      </c>
      <c r="C34" s="219" t="str">
        <f>+'P. Adecuación'!C33</f>
        <v>CERAMICA PISO 33 X 33 CM LINEA INSTITUCIONAL O SIMILAR (INCLUYE BOQUILLA COLOR, LINEALES)</v>
      </c>
      <c r="D34" s="220" t="str">
        <f>+'P. Adecuación'!D33</f>
        <v>m2</v>
      </c>
      <c r="E34" s="249">
        <f>+'P. Adecuación'!E33</f>
        <v>108.81</v>
      </c>
      <c r="F34" s="250">
        <f>+'P. Adecuación'!G33*1.3</f>
        <v>12938423.004000001</v>
      </c>
      <c r="G34" s="223"/>
      <c r="H34" s="224"/>
      <c r="I34" s="224"/>
      <c r="J34" s="225"/>
      <c r="K34" s="251">
        <f t="shared" si="15"/>
        <v>3234605.7510000002</v>
      </c>
      <c r="L34" s="252">
        <f t="shared" ref="L34:N34" si="17">+K34</f>
        <v>3234605.7510000002</v>
      </c>
      <c r="M34" s="252">
        <f t="shared" si="17"/>
        <v>3234605.7510000002</v>
      </c>
      <c r="N34" s="267">
        <f t="shared" si="17"/>
        <v>3234605.7510000002</v>
      </c>
      <c r="O34" s="223"/>
      <c r="P34" s="224"/>
      <c r="Q34" s="224"/>
      <c r="R34" s="225"/>
    </row>
    <row r="35" spans="2:18" ht="57" x14ac:dyDescent="0.25">
      <c r="B35" s="218" t="str">
        <f>+'P. Adecuación'!B34</f>
        <v>6.3</v>
      </c>
      <c r="C35" s="219" t="str">
        <f>+'P. Adecuación'!C34</f>
        <v>SUMINISTRO E INSTALACIÓN DE SANITARIO LINEA INSTITUCIONAL O SIMILAR (INCLUYE TODOS LOS ACCESORIOS NECESARIOS PARA SU CORRECTO FUNCIONAMIENTO)</v>
      </c>
      <c r="D35" s="220" t="str">
        <f>+'P. Adecuación'!D34</f>
        <v>und</v>
      </c>
      <c r="E35" s="249">
        <f>+'P. Adecuación'!E34</f>
        <v>8</v>
      </c>
      <c r="F35" s="250">
        <f>+'P. Adecuación'!G34*1.3</f>
        <v>4051299.2</v>
      </c>
      <c r="G35" s="223"/>
      <c r="H35" s="224"/>
      <c r="I35" s="224"/>
      <c r="J35" s="225"/>
      <c r="K35" s="223"/>
      <c r="L35" s="224"/>
      <c r="M35" s="224"/>
      <c r="N35" s="225"/>
      <c r="O35" s="223"/>
      <c r="P35" s="252">
        <f>+F35/3</f>
        <v>1350433.0666666667</v>
      </c>
      <c r="Q35" s="252">
        <f>+P35</f>
        <v>1350433.0666666667</v>
      </c>
      <c r="R35" s="267">
        <f>+Q35</f>
        <v>1350433.0666666667</v>
      </c>
    </row>
    <row r="36" spans="2:18" ht="57" x14ac:dyDescent="0.25">
      <c r="B36" s="218" t="str">
        <f>+'P. Adecuación'!B35</f>
        <v>6.4</v>
      </c>
      <c r="C36" s="219" t="str">
        <f>+'P. Adecuación'!C35</f>
        <v>SUMINISTRO E INSTALACIÓN DE LAVAMANOS LINEA INSTITUCIONAL O SIMILAR (INCLUYE GRIFO Y TODOS LOS ACCESORIOS NECESARIOS PARA SU CORRECTO FUNCIONAMIENTO)</v>
      </c>
      <c r="D36" s="220" t="str">
        <f>+'P. Adecuación'!D35</f>
        <v>und</v>
      </c>
      <c r="E36" s="249">
        <f>+'P. Adecuación'!E35</f>
        <v>8</v>
      </c>
      <c r="F36" s="250">
        <f>+'P. Adecuación'!G35*1.3</f>
        <v>2934089.6</v>
      </c>
      <c r="G36" s="223"/>
      <c r="H36" s="224"/>
      <c r="I36" s="224"/>
      <c r="J36" s="225"/>
      <c r="K36" s="223"/>
      <c r="L36" s="224"/>
      <c r="M36" s="224"/>
      <c r="N36" s="225"/>
      <c r="O36" s="223"/>
      <c r="P36" s="252">
        <f t="shared" ref="P36:P39" si="18">+F36/3</f>
        <v>978029.8666666667</v>
      </c>
      <c r="Q36" s="252">
        <f t="shared" ref="Q36:R36" si="19">+P36</f>
        <v>978029.8666666667</v>
      </c>
      <c r="R36" s="267">
        <f t="shared" si="19"/>
        <v>978029.8666666667</v>
      </c>
    </row>
    <row r="37" spans="2:18" ht="57" x14ac:dyDescent="0.25">
      <c r="B37" s="218" t="str">
        <f>+'P. Adecuación'!B36</f>
        <v>6.5</v>
      </c>
      <c r="C37" s="219" t="str">
        <f>+'P. Adecuación'!C36</f>
        <v>SUMINISTRO E INSTALACIÓN DE PROTECTOR DE PAPEL HIGIENICO (INCLUYE TODOS LOS ACCESORIOS NECESARIOS PARA SU CORRECTO FUNCIONAMIENTO)</v>
      </c>
      <c r="D37" s="220" t="str">
        <f>+'P. Adecuación'!D36</f>
        <v>und</v>
      </c>
      <c r="E37" s="249">
        <f>+'P. Adecuación'!E36</f>
        <v>8</v>
      </c>
      <c r="F37" s="250">
        <f>+'P. Adecuación'!G36*1.3</f>
        <v>954210.4</v>
      </c>
      <c r="G37" s="223"/>
      <c r="H37" s="224"/>
      <c r="I37" s="224"/>
      <c r="J37" s="225"/>
      <c r="K37" s="223"/>
      <c r="L37" s="224"/>
      <c r="M37" s="224"/>
      <c r="N37" s="225"/>
      <c r="O37" s="223"/>
      <c r="P37" s="252">
        <f t="shared" si="18"/>
        <v>318070.13333333336</v>
      </c>
      <c r="Q37" s="252">
        <f t="shared" ref="Q37:R37" si="20">+P37</f>
        <v>318070.13333333336</v>
      </c>
      <c r="R37" s="267">
        <f t="shared" si="20"/>
        <v>318070.13333333336</v>
      </c>
    </row>
    <row r="38" spans="2:18" ht="42.75" x14ac:dyDescent="0.25">
      <c r="B38" s="218" t="str">
        <f>+'P. Adecuación'!B37</f>
        <v>6.6</v>
      </c>
      <c r="C38" s="219" t="str">
        <f>+'P. Adecuación'!C37</f>
        <v>SUMINISTRO E INSTALACIÓN DE TOALLERO (INCLUYE TODOS LOS ACCESORIOS NECESARIOS PARA SU CORRECTO FUNCIONAMIENTO)</v>
      </c>
      <c r="D38" s="220" t="str">
        <f>+'P. Adecuación'!D37</f>
        <v>und</v>
      </c>
      <c r="E38" s="249">
        <f>+'P. Adecuación'!E37</f>
        <v>8</v>
      </c>
      <c r="F38" s="250">
        <f>+'P. Adecuación'!G37*1.3</f>
        <v>589170.4</v>
      </c>
      <c r="G38" s="223"/>
      <c r="H38" s="224"/>
      <c r="I38" s="224"/>
      <c r="J38" s="225"/>
      <c r="K38" s="223"/>
      <c r="L38" s="224"/>
      <c r="M38" s="224"/>
      <c r="N38" s="225"/>
      <c r="O38" s="223"/>
      <c r="P38" s="252">
        <f t="shared" si="18"/>
        <v>196390.13333333333</v>
      </c>
      <c r="Q38" s="252">
        <f t="shared" ref="Q38:R38" si="21">+P38</f>
        <v>196390.13333333333</v>
      </c>
      <c r="R38" s="267">
        <f t="shared" si="21"/>
        <v>196390.13333333333</v>
      </c>
    </row>
    <row r="39" spans="2:18" ht="42.75" x14ac:dyDescent="0.25">
      <c r="B39" s="218" t="str">
        <f>+'P. Adecuación'!B38</f>
        <v>6.7</v>
      </c>
      <c r="C39" s="219" t="str">
        <f>+'P. Adecuación'!C38</f>
        <v>LAVAPLATOS A.INOX. 100 X 60CM (INCLUYE GRIFO Y TODOS LOS ACCESORIOS NECESARIOS PARA SU CORRECTO FUNCIONAMIENTO)</v>
      </c>
      <c r="D39" s="220" t="str">
        <f>+'P. Adecuación'!D38</f>
        <v>und</v>
      </c>
      <c r="E39" s="249">
        <f>+'P. Adecuación'!E38</f>
        <v>2</v>
      </c>
      <c r="F39" s="250">
        <f>+'P. Adecuación'!G38*1.3</f>
        <v>833118</v>
      </c>
      <c r="G39" s="223"/>
      <c r="H39" s="224"/>
      <c r="I39" s="224"/>
      <c r="J39" s="225"/>
      <c r="K39" s="223"/>
      <c r="L39" s="224"/>
      <c r="M39" s="224"/>
      <c r="N39" s="225"/>
      <c r="O39" s="223"/>
      <c r="P39" s="252">
        <f t="shared" si="18"/>
        <v>277706</v>
      </c>
      <c r="Q39" s="252">
        <f t="shared" ref="Q39:R39" si="22">+P39</f>
        <v>277706</v>
      </c>
      <c r="R39" s="267">
        <f t="shared" si="22"/>
        <v>277706</v>
      </c>
    </row>
    <row r="40" spans="2:18" ht="29.45" customHeight="1" x14ac:dyDescent="0.25">
      <c r="B40" s="226" t="str">
        <f>+'P. Adecuación'!B39</f>
        <v>7.</v>
      </c>
      <c r="C40" s="227" t="str">
        <f>+'P. Adecuación'!C39</f>
        <v>SUMINISTRO E INSTALACIÓN DE CARPINTERIA</v>
      </c>
      <c r="D40" s="220"/>
      <c r="E40" s="249"/>
      <c r="F40" s="250"/>
      <c r="G40" s="223"/>
      <c r="H40" s="224"/>
      <c r="I40" s="224"/>
      <c r="J40" s="225"/>
      <c r="K40" s="223"/>
      <c r="L40" s="224"/>
      <c r="M40" s="224"/>
      <c r="N40" s="225"/>
      <c r="O40" s="223"/>
      <c r="P40" s="224"/>
      <c r="Q40" s="224"/>
      <c r="R40" s="225"/>
    </row>
    <row r="41" spans="2:18" ht="15.75" customHeight="1" x14ac:dyDescent="0.25">
      <c r="B41" s="218" t="str">
        <f>+'P. Adecuación'!B40</f>
        <v>7.1</v>
      </c>
      <c r="C41" s="219" t="str">
        <f>+'P. Adecuación'!C40</f>
        <v>MUEBLE SENCILLO EN MADERA</v>
      </c>
      <c r="D41" s="220" t="str">
        <f>+'P. Adecuación'!D40</f>
        <v>ml</v>
      </c>
      <c r="E41" s="249">
        <f>+'P. Adecuación'!E40</f>
        <v>4.45</v>
      </c>
      <c r="F41" s="250">
        <f>+'P. Adecuación'!G40*1.3</f>
        <v>4407851.8250000002</v>
      </c>
      <c r="G41" s="223"/>
      <c r="H41" s="224"/>
      <c r="I41" s="224"/>
      <c r="J41" s="225"/>
      <c r="K41" s="223"/>
      <c r="L41" s="224"/>
      <c r="M41" s="224"/>
      <c r="N41" s="225"/>
      <c r="O41" s="251">
        <f>+F41/3</f>
        <v>1469283.9416666667</v>
      </c>
      <c r="P41" s="252">
        <f>+O41</f>
        <v>1469283.9416666667</v>
      </c>
      <c r="Q41" s="252">
        <f>+P41</f>
        <v>1469283.9416666667</v>
      </c>
      <c r="R41" s="225"/>
    </row>
    <row r="42" spans="2:18" ht="51.6" customHeight="1" x14ac:dyDescent="0.25">
      <c r="B42" s="218" t="str">
        <f>+'P. Adecuación'!B41</f>
        <v>7.2</v>
      </c>
      <c r="C42" s="219" t="str">
        <f>+'P. Adecuación'!C41</f>
        <v>PUERTAS  LAMINA CON MARCO CAL. 18, INCL. ANTICORROSIVO Y ACABADO EN ESMALTE, INCLUYE CERRADURA E INSTALACION.</v>
      </c>
      <c r="D42" s="220" t="str">
        <f>+'P. Adecuación'!D41</f>
        <v>und</v>
      </c>
      <c r="E42" s="249">
        <f>+'P. Adecuación'!E41</f>
        <v>2</v>
      </c>
      <c r="F42" s="250">
        <f>+'P. Adecuación'!G41*1.3</f>
        <v>1185641.6000000001</v>
      </c>
      <c r="G42" s="223"/>
      <c r="H42" s="224"/>
      <c r="I42" s="224"/>
      <c r="J42" s="225"/>
      <c r="K42" s="223"/>
      <c r="L42" s="224"/>
      <c r="M42" s="224"/>
      <c r="N42" s="225"/>
      <c r="O42" s="251">
        <f t="shared" ref="O42:O45" si="23">+F42/3</f>
        <v>395213.8666666667</v>
      </c>
      <c r="P42" s="252">
        <f t="shared" ref="P42:Q42" si="24">+O42</f>
        <v>395213.8666666667</v>
      </c>
      <c r="Q42" s="252">
        <f t="shared" si="24"/>
        <v>395213.8666666667</v>
      </c>
      <c r="R42" s="225"/>
    </row>
    <row r="43" spans="2:18" ht="15.75" customHeight="1" x14ac:dyDescent="0.25">
      <c r="B43" s="218" t="str">
        <f>+'P. Adecuación'!B42</f>
        <v>7.3</v>
      </c>
      <c r="C43" s="219" t="str">
        <f>+'P. Adecuación'!C42</f>
        <v>VENTANA SENCILLA EN ALUMINIO</v>
      </c>
      <c r="D43" s="220" t="str">
        <f>+'P. Adecuación'!D42</f>
        <v>und</v>
      </c>
      <c r="E43" s="249">
        <f>+'P. Adecuación'!E42</f>
        <v>23</v>
      </c>
      <c r="F43" s="250">
        <f>+'P. Adecuación'!G42*1.3</f>
        <v>18278079.300000001</v>
      </c>
      <c r="G43" s="223"/>
      <c r="H43" s="224"/>
      <c r="I43" s="224"/>
      <c r="J43" s="225"/>
      <c r="K43" s="223"/>
      <c r="L43" s="224"/>
      <c r="M43" s="224"/>
      <c r="N43" s="225"/>
      <c r="O43" s="251">
        <f t="shared" si="23"/>
        <v>6092693.1000000006</v>
      </c>
      <c r="P43" s="252">
        <f t="shared" ref="P43:Q43" si="25">+O43</f>
        <v>6092693.1000000006</v>
      </c>
      <c r="Q43" s="252">
        <f t="shared" si="25"/>
        <v>6092693.1000000006</v>
      </c>
      <c r="R43" s="225"/>
    </row>
    <row r="44" spans="2:18" ht="15.75" customHeight="1" x14ac:dyDescent="0.25">
      <c r="B44" s="218" t="str">
        <f>+'P. Adecuación'!B43</f>
        <v>7.4</v>
      </c>
      <c r="C44" s="219" t="str">
        <f>+'P. Adecuación'!C43</f>
        <v>ESPEJO 4 MM</v>
      </c>
      <c r="D44" s="220" t="str">
        <f>+'P. Adecuación'!D43</f>
        <v>m2</v>
      </c>
      <c r="E44" s="249">
        <f>+'P. Adecuación'!E43</f>
        <v>2.16</v>
      </c>
      <c r="F44" s="250">
        <f>+'P. Adecuación'!G43*1.3</f>
        <v>1654880.7600000002</v>
      </c>
      <c r="G44" s="223"/>
      <c r="H44" s="224"/>
      <c r="I44" s="224"/>
      <c r="J44" s="225"/>
      <c r="K44" s="223"/>
      <c r="L44" s="224"/>
      <c r="M44" s="224"/>
      <c r="N44" s="225"/>
      <c r="O44" s="251">
        <f t="shared" si="23"/>
        <v>551626.92000000004</v>
      </c>
      <c r="P44" s="252">
        <f t="shared" ref="P44:Q44" si="26">+O44</f>
        <v>551626.92000000004</v>
      </c>
      <c r="Q44" s="252">
        <f t="shared" si="26"/>
        <v>551626.92000000004</v>
      </c>
      <c r="R44" s="225"/>
    </row>
    <row r="45" spans="2:18" ht="58.9" customHeight="1" x14ac:dyDescent="0.25">
      <c r="B45" s="218">
        <f>+'P. Adecuación'!B44</f>
        <v>0</v>
      </c>
      <c r="C45" s="219">
        <f>+'P. Adecuación'!C44</f>
        <v>0</v>
      </c>
      <c r="D45" s="220">
        <f>+'P. Adecuación'!D44</f>
        <v>0</v>
      </c>
      <c r="E45" s="249">
        <f>+'P. Adecuación'!E44</f>
        <v>0</v>
      </c>
      <c r="F45" s="250">
        <f>+'P. Adecuación'!G44*1.3</f>
        <v>0</v>
      </c>
      <c r="G45" s="223"/>
      <c r="H45" s="224"/>
      <c r="I45" s="224"/>
      <c r="J45" s="225"/>
      <c r="K45" s="223"/>
      <c r="L45" s="224"/>
      <c r="M45" s="224"/>
      <c r="N45" s="225"/>
      <c r="O45" s="251">
        <f t="shared" si="23"/>
        <v>0</v>
      </c>
      <c r="P45" s="252">
        <f t="shared" ref="P45:Q45" si="27">+O45</f>
        <v>0</v>
      </c>
      <c r="Q45" s="252">
        <f t="shared" si="27"/>
        <v>0</v>
      </c>
      <c r="R45" s="225"/>
    </row>
    <row r="46" spans="2:18" ht="27.6" customHeight="1" x14ac:dyDescent="0.25">
      <c r="B46" s="226" t="str">
        <f>+'P. Adecuación'!B45</f>
        <v>8.</v>
      </c>
      <c r="C46" s="227" t="str">
        <f>+'P. Adecuación'!C45</f>
        <v>MANTENIMIENTO INTEGRAL DEL SISTEMA ELECTRICO</v>
      </c>
      <c r="D46" s="220"/>
      <c r="E46" s="249"/>
      <c r="F46" s="250"/>
      <c r="G46" s="223"/>
      <c r="H46" s="224"/>
      <c r="I46" s="224"/>
      <c r="J46" s="225"/>
      <c r="K46" s="223"/>
      <c r="L46" s="224"/>
      <c r="M46" s="224"/>
      <c r="N46" s="225"/>
      <c r="O46" s="223"/>
      <c r="P46" s="224"/>
      <c r="Q46" s="224"/>
      <c r="R46" s="225"/>
    </row>
    <row r="47" spans="2:18" ht="37.9" customHeight="1" x14ac:dyDescent="0.25">
      <c r="B47" s="218" t="str">
        <f>+'P. Adecuación'!B46</f>
        <v>8.1</v>
      </c>
      <c r="C47" s="219" t="str">
        <f>+'P. Adecuación'!C46</f>
        <v>SUMINISTRO E INSTALACION DE TOMAS ELECTRICOS DOBLES 110V</v>
      </c>
      <c r="D47" s="220" t="str">
        <f>+'P. Adecuación'!D46</f>
        <v>und</v>
      </c>
      <c r="E47" s="249">
        <f>+'P. Adecuación'!E46</f>
        <v>13</v>
      </c>
      <c r="F47" s="250">
        <f>+'P. Adecuación'!G46*1.3</f>
        <v>1183388.7</v>
      </c>
      <c r="G47" s="223"/>
      <c r="H47" s="224"/>
      <c r="I47" s="252">
        <f>+F47/2</f>
        <v>591694.35</v>
      </c>
      <c r="J47" s="267">
        <f>+I47</f>
        <v>591694.35</v>
      </c>
      <c r="K47" s="223"/>
      <c r="L47" s="224"/>
      <c r="M47" s="224"/>
      <c r="N47" s="225"/>
      <c r="O47" s="223"/>
      <c r="P47" s="224"/>
      <c r="Q47" s="224"/>
      <c r="R47" s="225"/>
    </row>
    <row r="48" spans="2:18" s="348" customFormat="1" ht="37.9" customHeight="1" x14ac:dyDescent="0.25">
      <c r="B48" s="218" t="str">
        <f>+'P. Adecuación'!B47</f>
        <v>8.2</v>
      </c>
      <c r="C48" s="219" t="str">
        <f>+'P. Adecuación'!C47</f>
        <v>SUMINISTRO E INSTALACION DE INTERRUPTORES SENCILLOS 110V</v>
      </c>
      <c r="D48" s="220" t="str">
        <f>+'P. Adecuación'!D47</f>
        <v>und</v>
      </c>
      <c r="E48" s="249">
        <f>+'P. Adecuación'!E47</f>
        <v>70</v>
      </c>
      <c r="F48" s="250">
        <f>+'P. Adecuación'!G47*1.3</f>
        <v>6372093</v>
      </c>
      <c r="G48" s="223"/>
      <c r="H48" s="224"/>
      <c r="I48" s="252">
        <f>+F48/2</f>
        <v>3186046.5</v>
      </c>
      <c r="J48" s="267">
        <f>+I48</f>
        <v>3186046.5</v>
      </c>
      <c r="K48" s="223"/>
      <c r="L48" s="224"/>
      <c r="M48" s="224"/>
      <c r="N48" s="225"/>
      <c r="O48" s="223"/>
      <c r="P48" s="224"/>
      <c r="Q48" s="224"/>
      <c r="R48" s="225"/>
    </row>
    <row r="49" spans="2:18" ht="57" x14ac:dyDescent="0.25">
      <c r="B49" s="218" t="str">
        <f>+'P. Adecuación'!B48</f>
        <v>8.3</v>
      </c>
      <c r="C49" s="219" t="str">
        <f>+'P. Adecuación'!C48</f>
        <v>SALIDAS PARA ILUMINACIÓN 120V (INCLUYE CAJA OCTAGONAL, ADAPTADORES, DUCTO EMT DE 1/2 Y/O 3/4", CABLEADO EN #12 AWG + TIERRA E INTERRUPTOR. NO INCLUYE LUMINARIA)</v>
      </c>
      <c r="D49" s="220" t="str">
        <f>+'P. Adecuación'!D48</f>
        <v>ml</v>
      </c>
      <c r="E49" s="249">
        <f>+'P. Adecuación'!E48</f>
        <v>239</v>
      </c>
      <c r="F49" s="250">
        <f>+'P. Adecuación'!G48*1.3</f>
        <v>28783558.699999999</v>
      </c>
      <c r="G49" s="223"/>
      <c r="H49" s="224"/>
      <c r="I49" s="224"/>
      <c r="J49" s="225"/>
      <c r="K49" s="223"/>
      <c r="L49" s="224"/>
      <c r="M49" s="252">
        <f t="shared" ref="M49:M50" si="28">+F49/4</f>
        <v>7195889.6749999998</v>
      </c>
      <c r="N49" s="267">
        <f t="shared" ref="N49:P49" si="29">+M49</f>
        <v>7195889.6749999998</v>
      </c>
      <c r="O49" s="251">
        <f t="shared" si="29"/>
        <v>7195889.6749999998</v>
      </c>
      <c r="P49" s="252">
        <f t="shared" si="29"/>
        <v>7195889.6749999998</v>
      </c>
      <c r="Q49" s="224"/>
      <c r="R49" s="225"/>
    </row>
    <row r="50" spans="2:18" ht="71.25" x14ac:dyDescent="0.25">
      <c r="B50" s="218" t="str">
        <f>+'P. Adecuación'!B49</f>
        <v>8.4</v>
      </c>
      <c r="C50" s="219" t="str">
        <f>+'P. Adecuación'!C49</f>
        <v>SUMINISTRO E INSTALACIÓN DE LUMINARIA LED 25W (INCLUYE LUMINARIA, AÉREO, DERIVACIÓN EN SALIDA CON CONECTORES DE RESORTE. CABLE ENCAUCHETADA 3*14, INTERRUPTOR, TOMA Y ENCHUFE)</v>
      </c>
      <c r="D50" s="220" t="str">
        <f>+'P. Adecuación'!D49</f>
        <v>und</v>
      </c>
      <c r="E50" s="249">
        <f>+'P. Adecuación'!E49</f>
        <v>70</v>
      </c>
      <c r="F50" s="250">
        <f>+'P. Adecuación'!G49*1.3</f>
        <v>7661290</v>
      </c>
      <c r="G50" s="223"/>
      <c r="H50" s="224"/>
      <c r="I50" s="224"/>
      <c r="J50" s="225"/>
      <c r="K50" s="223"/>
      <c r="L50" s="224"/>
      <c r="M50" s="252">
        <f t="shared" si="28"/>
        <v>1915322.5</v>
      </c>
      <c r="N50" s="267">
        <f t="shared" ref="N50:P50" si="30">+M50</f>
        <v>1915322.5</v>
      </c>
      <c r="O50" s="251">
        <f t="shared" si="30"/>
        <v>1915322.5</v>
      </c>
      <c r="P50" s="252">
        <f t="shared" si="30"/>
        <v>1915322.5</v>
      </c>
      <c r="Q50" s="224"/>
      <c r="R50" s="225"/>
    </row>
    <row r="51" spans="2:18" ht="15.75" customHeight="1" x14ac:dyDescent="0.25">
      <c r="B51" s="218" t="str">
        <f>+'P. Adecuación'!B50</f>
        <v>8.5</v>
      </c>
      <c r="C51" s="219" t="str">
        <f>+'P. Adecuación'!C50</f>
        <v>REGATAS</v>
      </c>
      <c r="D51" s="220" t="str">
        <f>+'P. Adecuación'!D50</f>
        <v>ml</v>
      </c>
      <c r="E51" s="249">
        <f>+'P. Adecuación'!E50</f>
        <v>239</v>
      </c>
      <c r="F51" s="250">
        <f>+'P. Adecuación'!G50*1.3</f>
        <v>9209458.7000000011</v>
      </c>
      <c r="G51" s="223"/>
      <c r="H51" s="224"/>
      <c r="I51" s="252">
        <f t="shared" ref="I51" si="31">+F51/4</f>
        <v>2302364.6750000003</v>
      </c>
      <c r="J51" s="267">
        <f t="shared" ref="J51" si="32">+F51/4</f>
        <v>2302364.6750000003</v>
      </c>
      <c r="K51" s="251">
        <f t="shared" ref="K51:L51" si="33">+J51</f>
        <v>2302364.6750000003</v>
      </c>
      <c r="L51" s="252">
        <f t="shared" si="33"/>
        <v>2302364.6750000003</v>
      </c>
      <c r="M51" s="224"/>
      <c r="N51" s="225"/>
      <c r="O51" s="223"/>
      <c r="P51" s="224"/>
      <c r="Q51" s="224"/>
      <c r="R51" s="225"/>
    </row>
    <row r="52" spans="2:18" s="348" customFormat="1" ht="33" customHeight="1" x14ac:dyDescent="0.25">
      <c r="B52" s="218" t="str">
        <f>+'P. Adecuación'!B51</f>
        <v>8.6</v>
      </c>
      <c r="C52" s="219" t="str">
        <f>+'P. Adecuación'!C51</f>
        <v>SUMINISTRO E INSTALACION DE INTERRUPTORES DOBLES 110V</v>
      </c>
      <c r="D52" s="220" t="str">
        <f>+'P. Adecuación'!D51</f>
        <v>und</v>
      </c>
      <c r="E52" s="249">
        <f>+'P. Adecuación'!E51</f>
        <v>9</v>
      </c>
      <c r="F52" s="250">
        <f>+'P. Adecuación'!G51*1.3</f>
        <v>1049712.3</v>
      </c>
      <c r="G52" s="223"/>
      <c r="H52" s="224"/>
      <c r="I52" s="252"/>
      <c r="J52" s="267"/>
      <c r="K52" s="251"/>
      <c r="L52" s="252"/>
      <c r="M52" s="224"/>
      <c r="N52" s="225"/>
      <c r="O52" s="223"/>
      <c r="P52" s="224"/>
      <c r="Q52" s="224"/>
      <c r="R52" s="225"/>
    </row>
    <row r="53" spans="2:18" ht="30" x14ac:dyDescent="0.25">
      <c r="B53" s="226" t="str">
        <f>+'P. Adecuación'!B52</f>
        <v>9.</v>
      </c>
      <c r="C53" s="227" t="str">
        <f>+'P. Adecuación'!C52</f>
        <v>SUMINISTRO E INSTALACIONES HIDROSANITARIAS Y AGUAS LLUVIAS</v>
      </c>
      <c r="D53" s="220"/>
      <c r="E53" s="249"/>
      <c r="F53" s="250"/>
      <c r="G53" s="223"/>
      <c r="H53" s="224"/>
      <c r="I53" s="224"/>
      <c r="J53" s="225"/>
      <c r="K53" s="223"/>
      <c r="L53" s="224"/>
      <c r="M53" s="224"/>
      <c r="N53" s="225"/>
      <c r="O53" s="223"/>
      <c r="P53" s="224"/>
      <c r="Q53" s="224"/>
      <c r="R53" s="225"/>
    </row>
    <row r="54" spans="2:18" ht="15.75" customHeight="1" x14ac:dyDescent="0.25">
      <c r="B54" s="218" t="str">
        <f>+'P. Adecuación'!B53</f>
        <v>9.1</v>
      </c>
      <c r="C54" s="219" t="str">
        <f>+'P. Adecuación'!C53</f>
        <v>TUBERÍA1/2"PVC PRESIÓN</v>
      </c>
      <c r="D54" s="220" t="str">
        <f>+'P. Adecuación'!D53</f>
        <v>ml</v>
      </c>
      <c r="E54" s="249">
        <f>+'P. Adecuación'!E53</f>
        <v>15.5</v>
      </c>
      <c r="F54" s="250">
        <f>+'P. Adecuación'!G53*1.3</f>
        <v>463248.5</v>
      </c>
      <c r="G54" s="223"/>
      <c r="H54" s="252">
        <f t="shared" ref="H54:H62" si="34">+F54/2</f>
        <v>231624.25</v>
      </c>
      <c r="I54" s="252">
        <f t="shared" ref="I54:I62" si="35">+H54</f>
        <v>231624.25</v>
      </c>
      <c r="J54" s="225"/>
      <c r="K54" s="223"/>
      <c r="L54" s="224"/>
      <c r="M54" s="224"/>
      <c r="N54" s="225"/>
      <c r="O54" s="223"/>
      <c r="P54" s="224"/>
      <c r="Q54" s="224"/>
      <c r="R54" s="225"/>
    </row>
    <row r="55" spans="2:18" ht="15.75" customHeight="1" x14ac:dyDescent="0.25">
      <c r="B55" s="218" t="str">
        <f>+'P. Adecuación'!B54</f>
        <v>9.2</v>
      </c>
      <c r="C55" s="219" t="str">
        <f>+'P. Adecuación'!C54</f>
        <v>PUNTO HIDRÁULICO INODORO TANQUE</v>
      </c>
      <c r="D55" s="220" t="str">
        <f>+'P. Adecuación'!D54</f>
        <v>und</v>
      </c>
      <c r="E55" s="249">
        <f>+'P. Adecuación'!E54</f>
        <v>8</v>
      </c>
      <c r="F55" s="250">
        <f>+'P. Adecuación'!G54*1.3</f>
        <v>183508</v>
      </c>
      <c r="G55" s="223"/>
      <c r="H55" s="252">
        <f t="shared" si="34"/>
        <v>91754</v>
      </c>
      <c r="I55" s="252">
        <f t="shared" si="35"/>
        <v>91754</v>
      </c>
      <c r="J55" s="225"/>
      <c r="K55" s="223"/>
      <c r="L55" s="224"/>
      <c r="M55" s="224"/>
      <c r="N55" s="225"/>
      <c r="O55" s="223"/>
      <c r="P55" s="224"/>
      <c r="Q55" s="224"/>
      <c r="R55" s="225"/>
    </row>
    <row r="56" spans="2:18" ht="15.75" customHeight="1" x14ac:dyDescent="0.25">
      <c r="B56" s="218" t="str">
        <f>+'P. Adecuación'!B55</f>
        <v>9.3</v>
      </c>
      <c r="C56" s="219" t="str">
        <f>+'P. Adecuación'!C55</f>
        <v>PUNTO HIDRÁULICO LAVAMANOS</v>
      </c>
      <c r="D56" s="220" t="str">
        <f>+'P. Adecuación'!D55</f>
        <v>und</v>
      </c>
      <c r="E56" s="249">
        <f>+'P. Adecuación'!E55</f>
        <v>8</v>
      </c>
      <c r="F56" s="250">
        <f>+'P. Adecuación'!G55*1.3</f>
        <v>194979.20000000001</v>
      </c>
      <c r="G56" s="223"/>
      <c r="H56" s="252">
        <f t="shared" si="34"/>
        <v>97489.600000000006</v>
      </c>
      <c r="I56" s="252">
        <f t="shared" si="35"/>
        <v>97489.600000000006</v>
      </c>
      <c r="J56" s="225"/>
      <c r="K56" s="223"/>
      <c r="L56" s="224"/>
      <c r="M56" s="224"/>
      <c r="N56" s="225"/>
      <c r="O56" s="223"/>
      <c r="P56" s="224"/>
      <c r="Q56" s="224"/>
      <c r="R56" s="225"/>
    </row>
    <row r="57" spans="2:18" ht="15.75" customHeight="1" x14ac:dyDescent="0.25">
      <c r="B57" s="218" t="str">
        <f>+'P. Adecuación'!B56</f>
        <v>9.4</v>
      </c>
      <c r="C57" s="219" t="str">
        <f>+'P. Adecuación'!C56</f>
        <v>PUNTO HIDRÁULICO POCETA</v>
      </c>
      <c r="D57" s="220" t="str">
        <f>+'P. Adecuación'!D56</f>
        <v>und</v>
      </c>
      <c r="E57" s="249">
        <f>+'P. Adecuación'!E56</f>
        <v>2</v>
      </c>
      <c r="F57" s="250">
        <f>+'P. Adecuación'!G56*1.3</f>
        <v>162877</v>
      </c>
      <c r="G57" s="223"/>
      <c r="H57" s="252">
        <f t="shared" si="34"/>
        <v>81438.5</v>
      </c>
      <c r="I57" s="252">
        <f t="shared" si="35"/>
        <v>81438.5</v>
      </c>
      <c r="J57" s="225"/>
      <c r="K57" s="223"/>
      <c r="L57" s="224"/>
      <c r="M57" s="224"/>
      <c r="N57" s="225"/>
      <c r="O57" s="223"/>
      <c r="P57" s="224"/>
      <c r="Q57" s="224"/>
      <c r="R57" s="225"/>
    </row>
    <row r="58" spans="2:18" ht="15.75" customHeight="1" x14ac:dyDescent="0.25">
      <c r="B58" s="218" t="str">
        <f>+'P. Adecuación'!B57</f>
        <v>9.5</v>
      </c>
      <c r="C58" s="219" t="str">
        <f>+'P. Adecuación'!C57</f>
        <v>PUNTO SANITARIO INODORO TANQUE</v>
      </c>
      <c r="D58" s="220" t="str">
        <f>+'P. Adecuación'!D57</f>
        <v>und</v>
      </c>
      <c r="E58" s="249">
        <f>+'P. Adecuación'!E57</f>
        <v>8</v>
      </c>
      <c r="F58" s="250">
        <f>+'P. Adecuación'!G57*1.3</f>
        <v>1057544.8</v>
      </c>
      <c r="G58" s="223"/>
      <c r="H58" s="252">
        <f t="shared" si="34"/>
        <v>528772.4</v>
      </c>
      <c r="I58" s="252">
        <f t="shared" si="35"/>
        <v>528772.4</v>
      </c>
      <c r="J58" s="225"/>
      <c r="K58" s="223"/>
      <c r="L58" s="224"/>
      <c r="M58" s="224"/>
      <c r="N58" s="225"/>
      <c r="O58" s="223"/>
      <c r="P58" s="224"/>
      <c r="Q58" s="224"/>
      <c r="R58" s="225"/>
    </row>
    <row r="59" spans="2:18" ht="15.75" customHeight="1" x14ac:dyDescent="0.25">
      <c r="B59" s="218" t="str">
        <f>+'P. Adecuación'!B58</f>
        <v>9.6</v>
      </c>
      <c r="C59" s="219" t="str">
        <f>+'P. Adecuación'!C58</f>
        <v>PUNTO SANITARIO LAVAMANOS</v>
      </c>
      <c r="D59" s="220" t="str">
        <f>+'P. Adecuación'!D58</f>
        <v>und</v>
      </c>
      <c r="E59" s="249">
        <f>+'P. Adecuación'!E58</f>
        <v>8</v>
      </c>
      <c r="F59" s="250">
        <f>+'P. Adecuación'!G58*1.3</f>
        <v>525324.80000000005</v>
      </c>
      <c r="G59" s="223"/>
      <c r="H59" s="252">
        <f t="shared" si="34"/>
        <v>262662.40000000002</v>
      </c>
      <c r="I59" s="252">
        <f t="shared" si="35"/>
        <v>262662.40000000002</v>
      </c>
      <c r="J59" s="225"/>
      <c r="K59" s="223"/>
      <c r="L59" s="224"/>
      <c r="M59" s="224"/>
      <c r="N59" s="225"/>
      <c r="O59" s="223"/>
      <c r="P59" s="224"/>
      <c r="Q59" s="224"/>
      <c r="R59" s="225"/>
    </row>
    <row r="60" spans="2:18" ht="15.75" customHeight="1" x14ac:dyDescent="0.25">
      <c r="B60" s="218" t="str">
        <f>+'P. Adecuación'!B59</f>
        <v>9.7</v>
      </c>
      <c r="C60" s="219" t="str">
        <f>+'P. Adecuación'!C59</f>
        <v>PUNTO SIFÓN POCETA ASEO</v>
      </c>
      <c r="D60" s="220" t="str">
        <f>+'P. Adecuación'!D59</f>
        <v>und</v>
      </c>
      <c r="E60" s="249">
        <f>+'P. Adecuación'!E59</f>
        <v>2</v>
      </c>
      <c r="F60" s="250">
        <f>+'P. Adecuación'!G59*1.3</f>
        <v>202779.2</v>
      </c>
      <c r="G60" s="223"/>
      <c r="H60" s="252">
        <f t="shared" si="34"/>
        <v>101389.6</v>
      </c>
      <c r="I60" s="252">
        <f t="shared" si="35"/>
        <v>101389.6</v>
      </c>
      <c r="J60" s="225"/>
      <c r="K60" s="223"/>
      <c r="L60" s="224"/>
      <c r="M60" s="224"/>
      <c r="N60" s="225"/>
      <c r="O60" s="223"/>
      <c r="P60" s="224"/>
      <c r="Q60" s="224"/>
      <c r="R60" s="225"/>
    </row>
    <row r="61" spans="2:18" ht="28.5" x14ac:dyDescent="0.25">
      <c r="B61" s="218" t="str">
        <f>+'P. Adecuación'!B60</f>
        <v>9.8</v>
      </c>
      <c r="C61" s="219" t="str">
        <f>+'P. Adecuación'!C60</f>
        <v>CAJA DE INSPECCION EN MAMPOSTERÍA (INCLUYE PAÑETE Y CAÑUELA)</v>
      </c>
      <c r="D61" s="220" t="str">
        <f>+'P. Adecuación'!D60</f>
        <v>und</v>
      </c>
      <c r="E61" s="249">
        <f>+'P. Adecuación'!E60</f>
        <v>2</v>
      </c>
      <c r="F61" s="250">
        <f>+'P. Adecuación'!G60*1.3</f>
        <v>1091971.4000000001</v>
      </c>
      <c r="G61" s="223"/>
      <c r="H61" s="252">
        <f t="shared" si="34"/>
        <v>545985.70000000007</v>
      </c>
      <c r="I61" s="252">
        <f t="shared" si="35"/>
        <v>545985.70000000007</v>
      </c>
      <c r="J61" s="225"/>
      <c r="K61" s="223"/>
      <c r="L61" s="224"/>
      <c r="M61" s="224"/>
      <c r="N61" s="225"/>
      <c r="O61" s="223"/>
      <c r="P61" s="224"/>
      <c r="Q61" s="224"/>
      <c r="R61" s="225"/>
    </row>
    <row r="62" spans="2:18" ht="62.45" customHeight="1" x14ac:dyDescent="0.25">
      <c r="B62" s="218" t="str">
        <f>+'P. Adecuación'!B61</f>
        <v>9.9</v>
      </c>
      <c r="C62" s="219" t="str">
        <f>+'P. Adecuación'!C61</f>
        <v>SUMINISTRO E INSTALACIÓN DE TANQUE ELEVADO DE 2000 LTS PLASTICO (INCLUYE TODOS LOS ACCESORIOS NECESARIOS PARA SU CORRECTO FUNCIONAMIENTO)</v>
      </c>
      <c r="D62" s="220" t="str">
        <f>+'P. Adecuación'!D61</f>
        <v>und</v>
      </c>
      <c r="E62" s="249">
        <f>+'P. Adecuación'!E61</f>
        <v>1</v>
      </c>
      <c r="F62" s="250">
        <f>+'P. Adecuación'!G61*1.3</f>
        <v>2152441.2000000002</v>
      </c>
      <c r="G62" s="223"/>
      <c r="H62" s="252">
        <f t="shared" si="34"/>
        <v>1076220.6000000001</v>
      </c>
      <c r="I62" s="252">
        <f t="shared" si="35"/>
        <v>1076220.6000000001</v>
      </c>
      <c r="J62" s="225"/>
      <c r="K62" s="223"/>
      <c r="L62" s="224"/>
      <c r="M62" s="224"/>
      <c r="N62" s="225"/>
      <c r="O62" s="223"/>
      <c r="P62" s="224"/>
      <c r="Q62" s="224"/>
      <c r="R62" s="225"/>
    </row>
    <row r="63" spans="2:18" ht="16.5" x14ac:dyDescent="0.25">
      <c r="B63" s="226" t="str">
        <f>+'P. Adecuación'!B62</f>
        <v>10.</v>
      </c>
      <c r="C63" s="227" t="str">
        <f>+'P. Adecuación'!C62</f>
        <v>EQUIPOS FIJOS DE USO HOSPITALARIO</v>
      </c>
      <c r="D63" s="220"/>
      <c r="E63" s="249"/>
      <c r="F63" s="250"/>
      <c r="G63" s="223"/>
      <c r="H63" s="224"/>
      <c r="I63" s="224"/>
      <c r="J63" s="225"/>
      <c r="K63" s="223"/>
      <c r="L63" s="224"/>
      <c r="M63" s="224"/>
      <c r="N63" s="225"/>
      <c r="O63" s="223"/>
      <c r="P63" s="224"/>
      <c r="Q63" s="224"/>
      <c r="R63" s="255"/>
    </row>
    <row r="64" spans="2:18" ht="28.5" x14ac:dyDescent="0.25">
      <c r="B64" s="218" t="str">
        <f>+'P. Adecuación'!B63</f>
        <v>10.1</v>
      </c>
      <c r="C64" s="219" t="str">
        <f>+'P. Adecuación'!C63</f>
        <v>SUMINISTRO E INSTALACIÓN AIRE ACONDICIONADO 24.000 BTU</v>
      </c>
      <c r="D64" s="220" t="str">
        <f>+'P. Adecuación'!D63</f>
        <v>und</v>
      </c>
      <c r="E64" s="249">
        <f>+'P. Adecuación'!E63</f>
        <v>12</v>
      </c>
      <c r="F64" s="250">
        <f>+'P. Adecuación'!G63*1.3</f>
        <v>40697264.399999999</v>
      </c>
      <c r="G64" s="254"/>
      <c r="H64" s="253"/>
      <c r="I64" s="253"/>
      <c r="J64" s="255"/>
      <c r="K64" s="254"/>
      <c r="L64" s="253"/>
      <c r="M64" s="253"/>
      <c r="N64" s="255"/>
      <c r="O64" s="254"/>
      <c r="P64" s="253"/>
      <c r="Q64" s="253"/>
      <c r="R64" s="268">
        <f>+F64</f>
        <v>40697264.399999999</v>
      </c>
    </row>
    <row r="65" spans="2:18" s="348" customFormat="1" ht="42.75" x14ac:dyDescent="0.25">
      <c r="B65" s="218" t="str">
        <f>+'P. Adecuación'!B64</f>
        <v>10.2</v>
      </c>
      <c r="C65" s="219" t="str">
        <f>+'P. Adecuación'!C64</f>
        <v>SUMINISTRO E INSTALACION DE LETRERO PANEL LUMINOSO EN ACERO INOXIDABLE, INCLUYE DESMONTE E INSTALACION</v>
      </c>
      <c r="D65" s="220" t="str">
        <f>+'P. Adecuación'!D64</f>
        <v>und</v>
      </c>
      <c r="E65" s="249">
        <f>+'P. Adecuación'!E64</f>
        <v>1</v>
      </c>
      <c r="F65" s="250">
        <f>+'P. Adecuación'!G64*1.3</f>
        <v>771946.5</v>
      </c>
      <c r="G65" s="254"/>
      <c r="H65" s="253"/>
      <c r="I65" s="253"/>
      <c r="J65" s="255"/>
      <c r="K65" s="254"/>
      <c r="L65" s="253"/>
      <c r="M65" s="253"/>
      <c r="N65" s="255"/>
      <c r="O65" s="254"/>
      <c r="P65" s="253"/>
      <c r="Q65" s="253"/>
      <c r="R65" s="268"/>
    </row>
    <row r="66" spans="2:18" ht="16.5" x14ac:dyDescent="0.25">
      <c r="B66" s="226" t="str">
        <f>+'P. Adecuación'!B65</f>
        <v>11.</v>
      </c>
      <c r="C66" s="227" t="str">
        <f>+'P. Adecuación'!C65</f>
        <v>ASEO GENERAL</v>
      </c>
      <c r="D66" s="220"/>
      <c r="E66" s="249"/>
      <c r="F66" s="250"/>
      <c r="G66" s="254"/>
      <c r="H66" s="253"/>
      <c r="I66" s="253"/>
      <c r="J66" s="255"/>
      <c r="K66" s="254"/>
      <c r="L66" s="253"/>
      <c r="M66" s="253"/>
      <c r="N66" s="255"/>
      <c r="O66" s="254"/>
      <c r="P66" s="253"/>
      <c r="Q66" s="253"/>
      <c r="R66" s="255"/>
    </row>
    <row r="67" spans="2:18" ht="17.25" thickBot="1" x14ac:dyDescent="0.3">
      <c r="B67" s="262" t="str">
        <f>+'P. Adecuación'!B66</f>
        <v>11.1</v>
      </c>
      <c r="C67" s="263" t="str">
        <f>+'P. Adecuación'!C66</f>
        <v>ASEO GENERAL ENTREGA</v>
      </c>
      <c r="D67" s="256" t="str">
        <f>+'P. Adecuación'!D66</f>
        <v>m2</v>
      </c>
      <c r="E67" s="257">
        <f>+'P. Adecuación'!E66</f>
        <v>406.28</v>
      </c>
      <c r="F67" s="258">
        <f>+'P. Adecuación'!G66*1.3</f>
        <v>1748222.8399999999</v>
      </c>
      <c r="G67" s="259"/>
      <c r="H67" s="260"/>
      <c r="I67" s="260"/>
      <c r="J67" s="261"/>
      <c r="K67" s="259"/>
      <c r="L67" s="260"/>
      <c r="M67" s="260"/>
      <c r="N67" s="261"/>
      <c r="O67" s="259"/>
      <c r="P67" s="260"/>
      <c r="Q67" s="260"/>
      <c r="R67" s="269">
        <f>+F67</f>
        <v>1748222.8399999999</v>
      </c>
    </row>
    <row r="68" spans="2:18" ht="21" customHeight="1" thickBot="1" x14ac:dyDescent="0.3">
      <c r="B68" s="440" t="s">
        <v>357</v>
      </c>
      <c r="C68" s="441"/>
      <c r="D68" s="441"/>
      <c r="E68" s="442"/>
      <c r="F68" s="264">
        <f t="shared" ref="F68:R68" si="36">SUM(F9:F67)</f>
        <v>455827659.90125006</v>
      </c>
      <c r="G68" s="228">
        <f t="shared" si="36"/>
        <v>18657857.304125</v>
      </c>
      <c r="H68" s="229">
        <f t="shared" si="36"/>
        <v>21756697.568125091</v>
      </c>
      <c r="I68" s="229">
        <f t="shared" si="36"/>
        <v>13048618.836500091</v>
      </c>
      <c r="J68" s="230">
        <f t="shared" si="36"/>
        <v>20988199.966500003</v>
      </c>
      <c r="K68" s="228">
        <f t="shared" si="36"/>
        <v>60090818.895250008</v>
      </c>
      <c r="L68" s="229">
        <f t="shared" si="36"/>
        <v>60090818.895250008</v>
      </c>
      <c r="M68" s="229">
        <f t="shared" si="36"/>
        <v>75228786.262500018</v>
      </c>
      <c r="N68" s="230">
        <f t="shared" si="36"/>
        <v>64190364.868500002</v>
      </c>
      <c r="O68" s="228">
        <f t="shared" si="36"/>
        <v>29818822.918083336</v>
      </c>
      <c r="P68" s="229">
        <f t="shared" si="36"/>
        <v>32939452.118083339</v>
      </c>
      <c r="Q68" s="229">
        <f t="shared" si="36"/>
        <v>11629447.028333334</v>
      </c>
      <c r="R68" s="230">
        <f t="shared" si="36"/>
        <v>45566116.439999998</v>
      </c>
    </row>
    <row r="69" spans="2:18" ht="21" customHeight="1" thickTop="1" thickBot="1" x14ac:dyDescent="0.3">
      <c r="B69" s="437" t="s">
        <v>358</v>
      </c>
      <c r="C69" s="438"/>
      <c r="D69" s="438"/>
      <c r="E69" s="439"/>
      <c r="F69" s="265">
        <f>+'P. Adecuación'!G76</f>
        <v>24544566.302375015</v>
      </c>
      <c r="G69" s="231">
        <f>+F69/12</f>
        <v>2045380.5251979178</v>
      </c>
      <c r="H69" s="232">
        <f t="shared" ref="H69:R69" si="37">+G69</f>
        <v>2045380.5251979178</v>
      </c>
      <c r="I69" s="232">
        <f t="shared" si="37"/>
        <v>2045380.5251979178</v>
      </c>
      <c r="J69" s="233">
        <f t="shared" si="37"/>
        <v>2045380.5251979178</v>
      </c>
      <c r="K69" s="234">
        <f t="shared" si="37"/>
        <v>2045380.5251979178</v>
      </c>
      <c r="L69" s="232">
        <f t="shared" si="37"/>
        <v>2045380.5251979178</v>
      </c>
      <c r="M69" s="232">
        <f t="shared" si="37"/>
        <v>2045380.5251979178</v>
      </c>
      <c r="N69" s="232">
        <f t="shared" si="37"/>
        <v>2045380.5251979178</v>
      </c>
      <c r="O69" s="232">
        <f>+N69</f>
        <v>2045380.5251979178</v>
      </c>
      <c r="P69" s="232">
        <f t="shared" si="37"/>
        <v>2045380.5251979178</v>
      </c>
      <c r="Q69" s="232">
        <f t="shared" si="37"/>
        <v>2045380.5251979178</v>
      </c>
      <c r="R69" s="233">
        <f t="shared" si="37"/>
        <v>2045380.5251979178</v>
      </c>
    </row>
    <row r="70" spans="2:18" ht="10.5" customHeight="1" thickBot="1" x14ac:dyDescent="0.3">
      <c r="B70" s="235"/>
      <c r="C70" s="236"/>
      <c r="D70" s="236"/>
      <c r="E70" s="236"/>
      <c r="F70" s="237"/>
      <c r="G70" s="238"/>
      <c r="H70" s="238"/>
      <c r="I70" s="238"/>
      <c r="J70" s="238"/>
      <c r="K70" s="238"/>
      <c r="L70" s="238"/>
      <c r="M70" s="238"/>
      <c r="N70" s="238"/>
      <c r="O70" s="239"/>
      <c r="P70" s="238"/>
      <c r="Q70" s="238"/>
      <c r="R70" s="240"/>
    </row>
    <row r="71" spans="2:18" ht="15.75" customHeight="1" thickBot="1" x14ac:dyDescent="0.3">
      <c r="B71" s="437" t="s">
        <v>359</v>
      </c>
      <c r="C71" s="438"/>
      <c r="D71" s="438"/>
      <c r="E71" s="439"/>
      <c r="F71" s="266">
        <f>+F68+F69</f>
        <v>480372226.20362508</v>
      </c>
      <c r="G71" s="241">
        <f>SUM(G68:G69)</f>
        <v>20703237.829322919</v>
      </c>
      <c r="H71" s="242">
        <f>SUM(H68:H69)+G71</f>
        <v>44505315.922645926</v>
      </c>
      <c r="I71" s="242">
        <f>SUM(I68:I69)+H71</f>
        <v>59599315.284343936</v>
      </c>
      <c r="J71" s="242">
        <f t="shared" ref="J71:R71" si="38">SUM(J68:J69)+I71</f>
        <v>82632895.776041865</v>
      </c>
      <c r="K71" s="242">
        <f t="shared" si="38"/>
        <v>144769095.19648978</v>
      </c>
      <c r="L71" s="242">
        <f t="shared" si="38"/>
        <v>206905294.6169377</v>
      </c>
      <c r="M71" s="242">
        <f t="shared" si="38"/>
        <v>284179461.40463567</v>
      </c>
      <c r="N71" s="242">
        <f t="shared" si="38"/>
        <v>350415206.79833359</v>
      </c>
      <c r="O71" s="242">
        <f t="shared" si="38"/>
        <v>382279410.24161482</v>
      </c>
      <c r="P71" s="242">
        <f t="shared" si="38"/>
        <v>417264242.8848961</v>
      </c>
      <c r="Q71" s="242">
        <f t="shared" si="38"/>
        <v>430939070.43842733</v>
      </c>
      <c r="R71" s="242">
        <f t="shared" si="38"/>
        <v>478550567.40362525</v>
      </c>
    </row>
    <row r="72" spans="2:18" ht="15.75" customHeight="1" x14ac:dyDescent="0.25">
      <c r="B72" s="243"/>
      <c r="C72" s="244"/>
      <c r="D72" s="245"/>
      <c r="E72" s="246"/>
      <c r="F72" s="247"/>
    </row>
    <row r="73" spans="2:18" ht="15.75" customHeight="1" x14ac:dyDescent="0.25">
      <c r="B73" s="243"/>
      <c r="C73" s="244"/>
      <c r="D73" s="245"/>
      <c r="E73" s="246"/>
      <c r="F73" s="247"/>
    </row>
    <row r="74" spans="2:18" ht="15.75" customHeight="1" x14ac:dyDescent="0.25">
      <c r="B74" s="243"/>
      <c r="C74" s="39" t="s">
        <v>173</v>
      </c>
      <c r="D74" s="245"/>
      <c r="E74" s="246"/>
    </row>
    <row r="75" spans="2:18" ht="15.75" customHeight="1" x14ac:dyDescent="0.25">
      <c r="B75" s="243"/>
      <c r="C75" s="39" t="s">
        <v>395</v>
      </c>
      <c r="D75" s="245"/>
      <c r="E75" s="246"/>
    </row>
    <row r="76" spans="2:18" ht="15.75" customHeight="1" x14ac:dyDescent="0.25">
      <c r="B76" s="248"/>
      <c r="C76" s="39" t="s">
        <v>397</v>
      </c>
      <c r="D76" s="245"/>
      <c r="E76" s="246"/>
    </row>
    <row r="77" spans="2:18" ht="15.75" customHeight="1" x14ac:dyDescent="0.25">
      <c r="B77" s="248"/>
      <c r="C77" s="39" t="s">
        <v>177</v>
      </c>
      <c r="D77" s="245"/>
      <c r="E77" s="246"/>
    </row>
    <row r="78" spans="2:18" ht="15.75" customHeight="1" x14ac:dyDescent="0.25">
      <c r="B78" s="243"/>
      <c r="C78" s="244"/>
      <c r="D78" s="245"/>
      <c r="E78" s="246"/>
    </row>
    <row r="79" spans="2:18" ht="15.75" customHeight="1" x14ac:dyDescent="0.25">
      <c r="B79" s="414"/>
      <c r="C79" s="415"/>
      <c r="D79" s="415"/>
      <c r="E79" s="415"/>
    </row>
    <row r="80" spans="2:18" ht="15.75" customHeight="1" x14ac:dyDescent="0.25">
      <c r="B80" s="245"/>
      <c r="C80" s="244"/>
      <c r="D80" s="245"/>
      <c r="E80" s="246"/>
    </row>
    <row r="81" spans="2:5" ht="15.75" customHeight="1" x14ac:dyDescent="0.25">
      <c r="B81" s="243"/>
      <c r="C81" s="244"/>
      <c r="D81" s="245"/>
      <c r="E81" s="246"/>
    </row>
    <row r="82" spans="2:5" ht="15.75" customHeight="1" x14ac:dyDescent="0.25">
      <c r="B82" s="243"/>
      <c r="C82" s="244"/>
      <c r="D82" s="245"/>
      <c r="E82" s="246"/>
    </row>
    <row r="83" spans="2:5" ht="15.75" customHeight="1" x14ac:dyDescent="0.25">
      <c r="B83" s="243"/>
      <c r="C83" s="244"/>
      <c r="D83" s="245"/>
      <c r="E83" s="246"/>
    </row>
    <row r="84" spans="2:5" ht="15.75" customHeight="1" x14ac:dyDescent="0.25">
      <c r="B84" s="243"/>
      <c r="C84" s="244"/>
      <c r="D84" s="245"/>
      <c r="E84" s="246"/>
    </row>
    <row r="85" spans="2:5" ht="15.75" customHeight="1" x14ac:dyDescent="0.25">
      <c r="B85" s="243"/>
      <c r="C85" s="244"/>
      <c r="D85" s="245"/>
      <c r="E85" s="246"/>
    </row>
    <row r="86" spans="2:5" ht="15.75" customHeight="1" x14ac:dyDescent="0.25">
      <c r="B86" s="243"/>
      <c r="C86" s="244"/>
      <c r="D86" s="245"/>
      <c r="E86" s="246"/>
    </row>
    <row r="87" spans="2:5" ht="15.75" customHeight="1" x14ac:dyDescent="0.25">
      <c r="B87" s="243"/>
      <c r="C87" s="244"/>
      <c r="D87" s="245"/>
      <c r="E87" s="246"/>
    </row>
    <row r="88" spans="2:5" ht="15.75" customHeight="1" x14ac:dyDescent="0.25">
      <c r="B88" s="243"/>
      <c r="C88" s="244"/>
      <c r="D88" s="245"/>
      <c r="E88" s="246"/>
    </row>
    <row r="89" spans="2:5" ht="15.75" customHeight="1" x14ac:dyDescent="0.25">
      <c r="B89" s="243"/>
      <c r="C89" s="244"/>
      <c r="D89" s="245"/>
      <c r="E89" s="246"/>
    </row>
    <row r="90" spans="2:5" ht="15.75" customHeight="1" x14ac:dyDescent="0.25">
      <c r="B90" s="243"/>
      <c r="C90" s="244"/>
      <c r="D90" s="245"/>
      <c r="E90" s="246"/>
    </row>
    <row r="91" spans="2:5" ht="15.75" customHeight="1" x14ac:dyDescent="0.25">
      <c r="B91" s="243"/>
      <c r="C91" s="244"/>
      <c r="D91" s="245"/>
      <c r="E91" s="246"/>
    </row>
    <row r="92" spans="2:5" ht="15.75" customHeight="1" x14ac:dyDescent="0.25">
      <c r="B92" s="243"/>
      <c r="C92" s="244"/>
      <c r="D92" s="245"/>
      <c r="E92" s="246"/>
    </row>
    <row r="93" spans="2:5" ht="15.75" customHeight="1" x14ac:dyDescent="0.25">
      <c r="B93" s="243"/>
      <c r="C93" s="244"/>
      <c r="D93" s="245"/>
      <c r="E93" s="246"/>
    </row>
    <row r="94" spans="2:5" ht="15.75" customHeight="1" x14ac:dyDescent="0.25">
      <c r="B94" s="243"/>
      <c r="C94" s="244"/>
      <c r="D94" s="245"/>
      <c r="E94" s="246"/>
    </row>
    <row r="95" spans="2:5" ht="15.75" customHeight="1" x14ac:dyDescent="0.25">
      <c r="B95" s="243"/>
      <c r="C95" s="244"/>
      <c r="D95" s="245"/>
      <c r="E95" s="246"/>
    </row>
    <row r="96" spans="2:5" ht="15.75" customHeight="1" x14ac:dyDescent="0.25">
      <c r="B96" s="243"/>
      <c r="C96" s="244"/>
      <c r="D96" s="245"/>
      <c r="E96" s="246"/>
    </row>
    <row r="97" spans="2:5" ht="15.75" customHeight="1" x14ac:dyDescent="0.25">
      <c r="B97" s="243"/>
      <c r="C97" s="244"/>
      <c r="D97" s="245"/>
      <c r="E97" s="246"/>
    </row>
    <row r="98" spans="2:5" ht="15.75" customHeight="1" x14ac:dyDescent="0.25">
      <c r="B98" s="243"/>
      <c r="C98" s="244"/>
      <c r="D98" s="245"/>
      <c r="E98" s="246"/>
    </row>
    <row r="99" spans="2:5" ht="15.75" customHeight="1" x14ac:dyDescent="0.25">
      <c r="B99" s="243"/>
      <c r="C99" s="244"/>
      <c r="D99" s="245"/>
      <c r="E99" s="246"/>
    </row>
    <row r="100" spans="2:5" ht="15.75" customHeight="1" x14ac:dyDescent="0.25">
      <c r="B100" s="243"/>
      <c r="C100" s="244"/>
      <c r="D100" s="245"/>
      <c r="E100" s="246"/>
    </row>
    <row r="101" spans="2:5" ht="15.75" customHeight="1" x14ac:dyDescent="0.25">
      <c r="B101" s="243"/>
      <c r="C101" s="244"/>
      <c r="D101" s="245"/>
      <c r="E101" s="246"/>
    </row>
    <row r="102" spans="2:5" ht="15.75" customHeight="1" x14ac:dyDescent="0.25">
      <c r="B102" s="243"/>
      <c r="C102" s="244"/>
      <c r="D102" s="245"/>
      <c r="E102" s="246"/>
    </row>
    <row r="103" spans="2:5" ht="15.75" customHeight="1" x14ac:dyDescent="0.25">
      <c r="B103" s="243"/>
      <c r="C103" s="244"/>
      <c r="D103" s="245"/>
      <c r="E103" s="246"/>
    </row>
    <row r="104" spans="2:5" ht="15.75" customHeight="1" x14ac:dyDescent="0.25">
      <c r="B104" s="243"/>
      <c r="C104" s="244"/>
      <c r="D104" s="245"/>
      <c r="E104" s="246"/>
    </row>
    <row r="105" spans="2:5" ht="15.75" customHeight="1" x14ac:dyDescent="0.25">
      <c r="B105" s="243"/>
      <c r="C105" s="244"/>
      <c r="D105" s="245"/>
      <c r="E105" s="246"/>
    </row>
    <row r="106" spans="2:5" ht="15.75" customHeight="1" x14ac:dyDescent="0.25">
      <c r="B106" s="243"/>
      <c r="C106" s="244"/>
      <c r="D106" s="245"/>
      <c r="E106" s="246"/>
    </row>
    <row r="107" spans="2:5" ht="15.75" customHeight="1" x14ac:dyDescent="0.25">
      <c r="B107" s="243"/>
      <c r="C107" s="244"/>
      <c r="D107" s="245"/>
      <c r="E107" s="246"/>
    </row>
    <row r="108" spans="2:5" ht="15.75" customHeight="1" x14ac:dyDescent="0.25">
      <c r="B108" s="243"/>
      <c r="C108" s="244"/>
      <c r="D108" s="245"/>
      <c r="E108" s="246"/>
    </row>
    <row r="109" spans="2:5" ht="15.75" customHeight="1" x14ac:dyDescent="0.25">
      <c r="B109" s="243"/>
      <c r="C109" s="244"/>
      <c r="D109" s="245"/>
      <c r="E109" s="246"/>
    </row>
    <row r="110" spans="2:5" ht="15.75" customHeight="1" x14ac:dyDescent="0.25">
      <c r="B110" s="243"/>
      <c r="C110" s="244"/>
      <c r="D110" s="245"/>
      <c r="E110" s="246"/>
    </row>
    <row r="111" spans="2:5" ht="15.75" customHeight="1" x14ac:dyDescent="0.25">
      <c r="B111" s="243"/>
      <c r="C111" s="244"/>
      <c r="D111" s="245"/>
      <c r="E111" s="246"/>
    </row>
    <row r="112" spans="2:5" ht="15.75" customHeight="1" x14ac:dyDescent="0.25">
      <c r="B112" s="243"/>
      <c r="C112" s="244"/>
      <c r="D112" s="245"/>
      <c r="E112" s="246"/>
    </row>
    <row r="113" spans="2:5" ht="15.75" customHeight="1" x14ac:dyDescent="0.25">
      <c r="B113" s="243"/>
      <c r="C113" s="244"/>
      <c r="D113" s="245"/>
      <c r="E113" s="246"/>
    </row>
    <row r="114" spans="2:5" ht="15.75" customHeight="1" x14ac:dyDescent="0.25">
      <c r="B114" s="243"/>
      <c r="C114" s="244"/>
      <c r="D114" s="245"/>
      <c r="E114" s="246"/>
    </row>
    <row r="115" spans="2:5" ht="15.75" customHeight="1" x14ac:dyDescent="0.25">
      <c r="B115" s="243"/>
      <c r="C115" s="244"/>
      <c r="D115" s="245"/>
      <c r="E115" s="246"/>
    </row>
    <row r="116" spans="2:5" ht="15.75" customHeight="1" x14ac:dyDescent="0.25">
      <c r="B116" s="243"/>
      <c r="C116" s="244"/>
      <c r="D116" s="245"/>
      <c r="E116" s="246"/>
    </row>
    <row r="117" spans="2:5" ht="15.75" customHeight="1" x14ac:dyDescent="0.25">
      <c r="B117" s="243"/>
      <c r="C117" s="244"/>
      <c r="D117" s="245"/>
      <c r="E117" s="246"/>
    </row>
    <row r="118" spans="2:5" ht="15.75" customHeight="1" x14ac:dyDescent="0.25">
      <c r="B118" s="243"/>
      <c r="C118" s="244"/>
      <c r="D118" s="245"/>
      <c r="E118" s="246"/>
    </row>
    <row r="119" spans="2:5" ht="15.75" customHeight="1" x14ac:dyDescent="0.25">
      <c r="B119" s="243"/>
      <c r="C119" s="244"/>
      <c r="D119" s="245"/>
      <c r="E119" s="246"/>
    </row>
    <row r="120" spans="2:5" ht="15.75" customHeight="1" x14ac:dyDescent="0.25">
      <c r="B120" s="243"/>
      <c r="C120" s="244"/>
      <c r="D120" s="245"/>
      <c r="E120" s="246"/>
    </row>
    <row r="121" spans="2:5" ht="15.75" customHeight="1" x14ac:dyDescent="0.25">
      <c r="B121" s="243"/>
      <c r="C121" s="244"/>
      <c r="D121" s="245"/>
      <c r="E121" s="246"/>
    </row>
    <row r="122" spans="2:5" ht="15.75" customHeight="1" x14ac:dyDescent="0.25">
      <c r="B122" s="243"/>
      <c r="C122" s="244"/>
      <c r="D122" s="245"/>
      <c r="E122" s="246"/>
    </row>
    <row r="123" spans="2:5" ht="15.75" customHeight="1" x14ac:dyDescent="0.25">
      <c r="B123" s="243"/>
      <c r="C123" s="244"/>
      <c r="D123" s="245"/>
      <c r="E123" s="246"/>
    </row>
    <row r="124" spans="2:5" ht="15.75" customHeight="1" x14ac:dyDescent="0.25">
      <c r="B124" s="243"/>
      <c r="C124" s="244"/>
      <c r="D124" s="245"/>
      <c r="E124" s="246"/>
    </row>
    <row r="125" spans="2:5" ht="15.75" customHeight="1" x14ac:dyDescent="0.25">
      <c r="B125" s="243"/>
      <c r="C125" s="244"/>
      <c r="D125" s="245"/>
      <c r="E125" s="246"/>
    </row>
    <row r="126" spans="2:5" ht="15.75" customHeight="1" x14ac:dyDescent="0.25">
      <c r="B126" s="243"/>
      <c r="C126" s="244"/>
      <c r="D126" s="245"/>
      <c r="E126" s="246"/>
    </row>
    <row r="127" spans="2:5" ht="15.75" customHeight="1" x14ac:dyDescent="0.25">
      <c r="B127" s="243"/>
      <c r="C127" s="244"/>
      <c r="D127" s="245"/>
      <c r="E127" s="246"/>
    </row>
    <row r="128" spans="2:5" ht="15.75" customHeight="1" x14ac:dyDescent="0.25">
      <c r="B128" s="243"/>
      <c r="C128" s="244"/>
      <c r="D128" s="245"/>
      <c r="E128" s="246"/>
    </row>
    <row r="129" spans="2:5" ht="15.75" customHeight="1" x14ac:dyDescent="0.25">
      <c r="B129" s="243"/>
      <c r="C129" s="244"/>
      <c r="D129" s="245"/>
      <c r="E129" s="246"/>
    </row>
    <row r="130" spans="2:5" ht="15.75" customHeight="1" x14ac:dyDescent="0.25">
      <c r="B130" s="243"/>
      <c r="C130" s="244"/>
      <c r="D130" s="245"/>
      <c r="E130" s="246"/>
    </row>
    <row r="131" spans="2:5" ht="15.75" customHeight="1" x14ac:dyDescent="0.25">
      <c r="B131" s="243"/>
      <c r="C131" s="244"/>
      <c r="D131" s="245"/>
      <c r="E131" s="246"/>
    </row>
  </sheetData>
  <mergeCells count="16">
    <mergeCell ref="B79:E79"/>
    <mergeCell ref="B1:N1"/>
    <mergeCell ref="B3:R3"/>
    <mergeCell ref="G5:R5"/>
    <mergeCell ref="B6:B7"/>
    <mergeCell ref="C6:C7"/>
    <mergeCell ref="D6:D7"/>
    <mergeCell ref="E6:E7"/>
    <mergeCell ref="F6:F7"/>
    <mergeCell ref="G6:J6"/>
    <mergeCell ref="B2:R2"/>
    <mergeCell ref="B71:E71"/>
    <mergeCell ref="K6:N6"/>
    <mergeCell ref="O6:R6"/>
    <mergeCell ref="B68:E68"/>
    <mergeCell ref="B69:E69"/>
  </mergeCells>
  <printOptions horizontalCentered="1"/>
  <pageMargins left="0.11811023622047245" right="0.11811023622047245" top="0.35433070866141736" bottom="0.35433070866141736" header="0.31496062992125984" footer="0.31496062992125984"/>
  <pageSetup paperSize="122" scale="5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P54"/>
  <sheetViews>
    <sheetView view="pageBreakPreview" topLeftCell="A10" zoomScale="55" zoomScaleNormal="55" zoomScaleSheetLayoutView="55" workbookViewId="0">
      <selection activeCell="AI13" sqref="AI13:AL2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4.8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43</v>
      </c>
      <c r="B9" s="507"/>
      <c r="C9" s="507"/>
      <c r="D9" s="507"/>
      <c r="E9" s="507"/>
      <c r="F9" s="507"/>
      <c r="G9" s="507"/>
      <c r="H9" s="508" t="s">
        <v>17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Adecuación'!C7</f>
        <v>DEMOLICIONES (PISOS)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/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461</v>
      </c>
      <c r="AJ13" s="12">
        <v>3.65</v>
      </c>
      <c r="AK13" s="13"/>
      <c r="AL13" s="12">
        <v>6.45</v>
      </c>
      <c r="AM13" s="14"/>
      <c r="AN13" s="15">
        <f>+AL13*AJ13</f>
        <v>23.5425</v>
      </c>
      <c r="AO13" s="1">
        <v>380.37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462</v>
      </c>
      <c r="AJ14" s="12">
        <v>3.43</v>
      </c>
      <c r="AK14" s="13"/>
      <c r="AL14" s="12">
        <v>6.45</v>
      </c>
      <c r="AM14" s="14"/>
      <c r="AN14" s="15">
        <f t="shared" ref="AN14:AN25" si="0">+AL14*AJ14</f>
        <v>22.1235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 t="s">
        <v>463</v>
      </c>
      <c r="AJ15" s="12">
        <v>5.73</v>
      </c>
      <c r="AK15" s="13"/>
      <c r="AL15" s="12">
        <v>6.45</v>
      </c>
      <c r="AM15" s="14"/>
      <c r="AN15" s="15">
        <f t="shared" si="0"/>
        <v>36.958500000000001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464</v>
      </c>
      <c r="AJ16" s="12">
        <v>8.08</v>
      </c>
      <c r="AK16" s="13"/>
      <c r="AL16" s="13">
        <v>4.22</v>
      </c>
      <c r="AM16" s="14"/>
      <c r="AN16" s="15">
        <f t="shared" si="0"/>
        <v>34.0976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465</v>
      </c>
      <c r="AJ17" s="12">
        <v>1.84</v>
      </c>
      <c r="AK17" s="13"/>
      <c r="AL17" s="13">
        <v>6</v>
      </c>
      <c r="AM17" s="14"/>
      <c r="AN17" s="15">
        <f t="shared" si="0"/>
        <v>11.040000000000001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466</v>
      </c>
      <c r="AJ18" s="12">
        <v>3.7</v>
      </c>
      <c r="AK18" s="13"/>
      <c r="AL18" s="13">
        <f>+(1.1*0.72)+(2.25*2.3)+(3.7*3.65)</f>
        <v>19.472000000000001</v>
      </c>
      <c r="AM18" s="14"/>
      <c r="AN18" s="15">
        <f t="shared" si="0"/>
        <v>72.046400000000006</v>
      </c>
      <c r="AO18" s="27">
        <f>+AO13-AN28</f>
        <v>380.37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467</v>
      </c>
      <c r="AJ19" s="12">
        <v>3.18</v>
      </c>
      <c r="AK19" s="13"/>
      <c r="AL19" s="13">
        <v>3.15</v>
      </c>
      <c r="AM19" s="14"/>
      <c r="AN19" s="15">
        <f t="shared" si="0"/>
        <v>10.016999999999999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 t="s">
        <v>468</v>
      </c>
      <c r="AJ20" s="12">
        <v>4.75</v>
      </c>
      <c r="AK20" s="13"/>
      <c r="AL20" s="13">
        <v>5.85</v>
      </c>
      <c r="AM20" s="14"/>
      <c r="AN20" s="15">
        <f t="shared" si="0"/>
        <v>27.787499999999998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 t="s">
        <v>469</v>
      </c>
      <c r="AJ21" s="12">
        <f>5.05+4.75</f>
        <v>9.8000000000000007</v>
      </c>
      <c r="AK21" s="13"/>
      <c r="AL21" s="13">
        <v>3.6</v>
      </c>
      <c r="AM21" s="14"/>
      <c r="AN21" s="15">
        <f t="shared" si="0"/>
        <v>35.28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 t="s">
        <v>470</v>
      </c>
      <c r="AJ22" s="12">
        <v>8.86</v>
      </c>
      <c r="AK22" s="13"/>
      <c r="AL22" s="13">
        <v>1.2</v>
      </c>
      <c r="AM22" s="14"/>
      <c r="AN22" s="15">
        <f t="shared" si="0"/>
        <v>10.632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 t="s">
        <v>471</v>
      </c>
      <c r="AJ23" s="12">
        <v>7.23</v>
      </c>
      <c r="AK23" s="13"/>
      <c r="AL23" s="13">
        <v>6.1</v>
      </c>
      <c r="AM23" s="14"/>
      <c r="AN23" s="15">
        <f t="shared" si="0"/>
        <v>44.103000000000002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 t="s">
        <v>472</v>
      </c>
      <c r="AJ24" s="12">
        <v>13.52</v>
      </c>
      <c r="AK24" s="13"/>
      <c r="AL24" s="13">
        <v>2</v>
      </c>
      <c r="AM24" s="14"/>
      <c r="AN24" s="15">
        <f t="shared" si="0"/>
        <v>27.04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 t="s">
        <v>473</v>
      </c>
      <c r="AJ25" s="12">
        <f>6.83+1.13</f>
        <v>7.96</v>
      </c>
      <c r="AK25" s="13"/>
      <c r="AL25" s="13">
        <v>3.2288944723618065</v>
      </c>
      <c r="AM25" s="14"/>
      <c r="AN25" s="15">
        <f t="shared" si="0"/>
        <v>25.70199999999998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>
        <f>+AL26*AJ26</f>
        <v>0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33.75" customHeight="1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26" t="s">
        <v>31</v>
      </c>
      <c r="AH43" s="527"/>
      <c r="AI43" s="527"/>
      <c r="AJ43" s="527"/>
      <c r="AK43" s="527"/>
      <c r="AL43" s="527"/>
      <c r="AM43" s="528"/>
      <c r="AN43" s="298">
        <f>+AO18</f>
        <v>380.37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29"/>
      <c r="AH44" s="530"/>
      <c r="AI44" s="530"/>
      <c r="AJ44" s="530"/>
      <c r="AK44" s="530"/>
      <c r="AL44" s="530"/>
      <c r="AM44" s="531"/>
      <c r="AN44" s="299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380.37</v>
      </c>
    </row>
    <row r="46" spans="1:40" ht="18" x14ac:dyDescent="0.25">
      <c r="A46" s="319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1"/>
      <c r="AH46" s="321"/>
      <c r="AI46" s="321"/>
      <c r="AJ46" s="321"/>
      <c r="AK46" s="321"/>
      <c r="AL46" s="321"/>
      <c r="AM46" s="321"/>
      <c r="AN46" s="322"/>
    </row>
    <row r="47" spans="1:40" ht="18" x14ac:dyDescent="0.25">
      <c r="A47" s="323"/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0"/>
      <c r="AE47" s="300"/>
      <c r="AF47" s="300"/>
      <c r="AG47" s="301"/>
      <c r="AH47" s="301"/>
      <c r="AI47" s="301"/>
      <c r="AJ47" s="301"/>
      <c r="AK47" s="301"/>
      <c r="AL47" s="301"/>
      <c r="AM47" s="301"/>
      <c r="AN47" s="324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1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16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1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16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1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16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1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16"/>
      <c r="AI51" s="538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3"/>
      <c r="S52" s="31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16"/>
      <c r="AI52" s="538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3"/>
      <c r="S53" s="31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16"/>
      <c r="AI53" s="538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4"/>
      <c r="S54" s="317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8"/>
      <c r="AI54" s="535" t="s">
        <v>411</v>
      </c>
      <c r="AJ54" s="536"/>
      <c r="AK54" s="536"/>
      <c r="AL54" s="536"/>
      <c r="AM54" s="536"/>
      <c r="AN54" s="537"/>
    </row>
  </sheetData>
  <mergeCells count="80">
    <mergeCell ref="A54:R54"/>
    <mergeCell ref="AI54:AN54"/>
    <mergeCell ref="AI51:AN51"/>
    <mergeCell ref="A52:R52"/>
    <mergeCell ref="AI52:AN52"/>
    <mergeCell ref="A53:R53"/>
    <mergeCell ref="AI53:AN53"/>
    <mergeCell ref="AG31:AH31"/>
    <mergeCell ref="AG32:AH32"/>
    <mergeCell ref="AG33:AH33"/>
    <mergeCell ref="AG45:AM45"/>
    <mergeCell ref="AG35:AH35"/>
    <mergeCell ref="AG36:AH36"/>
    <mergeCell ref="AG37:AH37"/>
    <mergeCell ref="AG38:AH38"/>
    <mergeCell ref="AG39:AH39"/>
    <mergeCell ref="AG40:AH40"/>
    <mergeCell ref="AG41:AH41"/>
    <mergeCell ref="AG42:AH42"/>
    <mergeCell ref="AG43:AM43"/>
    <mergeCell ref="AG44:AM44"/>
    <mergeCell ref="AG26:AH26"/>
    <mergeCell ref="AG28:AH28"/>
    <mergeCell ref="AG29:AH29"/>
    <mergeCell ref="AG30:AH30"/>
    <mergeCell ref="AN10:AN11"/>
    <mergeCell ref="AG12:AH12"/>
    <mergeCell ref="AG13:AH13"/>
    <mergeCell ref="AG14:AH14"/>
    <mergeCell ref="AG15:AH15"/>
    <mergeCell ref="A9:G9"/>
    <mergeCell ref="H9:T9"/>
    <mergeCell ref="U9:AD9"/>
    <mergeCell ref="AE9:AI9"/>
    <mergeCell ref="AM9:AN9"/>
    <mergeCell ref="A10:AF45"/>
    <mergeCell ref="AG10:AH11"/>
    <mergeCell ref="AI10:AI11"/>
    <mergeCell ref="AJ10:AL10"/>
    <mergeCell ref="AM10:AM11"/>
    <mergeCell ref="AG22:AH22"/>
    <mergeCell ref="AG16:AH16"/>
    <mergeCell ref="AG17:AH17"/>
    <mergeCell ref="AG18:AH18"/>
    <mergeCell ref="AG19:AH19"/>
    <mergeCell ref="AG20:AH20"/>
    <mergeCell ref="AG21:AH21"/>
    <mergeCell ref="AG34:AH34"/>
    <mergeCell ref="AG23:AH23"/>
    <mergeCell ref="AG24:AH24"/>
    <mergeCell ref="AG25:AH25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honeticPr fontId="18" type="noConversion"/>
  <printOptions horizontalCentered="1"/>
  <pageMargins left="0.31496062992125984" right="0.31496062992125984" top="0.74803149606299213" bottom="0.74803149606299213" header="0.31496062992125984" footer="0.31496062992125984"/>
  <pageSetup paperSize="122" scale="5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59999389629810485"/>
    <pageSetUpPr fitToPage="1"/>
  </sheetPr>
  <dimension ref="A1:AP48"/>
  <sheetViews>
    <sheetView view="pageBreakPreview" topLeftCell="A7" zoomScale="55" zoomScaleNormal="55" zoomScaleSheetLayoutView="55" workbookViewId="0">
      <selection activeCell="A10" sqref="A10:AF3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14" style="1" bestFit="1" customWidth="1"/>
    <col min="36" max="37" width="11.25" style="1"/>
    <col min="38" max="38" width="11.75" style="1" customWidth="1"/>
    <col min="39" max="39" width="11.25" style="1"/>
    <col min="40" max="40" width="12.75" style="1" bestFit="1" customWidth="1"/>
    <col min="41" max="256" width="11.25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.25" style="1"/>
    <col min="294" max="294" width="11.75" style="1" customWidth="1"/>
    <col min="295" max="295" width="11.25" style="1"/>
    <col min="296" max="296" width="12.75" style="1" bestFit="1" customWidth="1"/>
    <col min="297" max="512" width="11.25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.25" style="1"/>
    <col min="550" max="550" width="11.75" style="1" customWidth="1"/>
    <col min="551" max="551" width="11.25" style="1"/>
    <col min="552" max="552" width="12.75" style="1" bestFit="1" customWidth="1"/>
    <col min="553" max="768" width="11.25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.25" style="1"/>
    <col min="806" max="806" width="11.75" style="1" customWidth="1"/>
    <col min="807" max="807" width="11.25" style="1"/>
    <col min="808" max="808" width="12.75" style="1" bestFit="1" customWidth="1"/>
    <col min="809" max="1024" width="11.25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.25" style="1"/>
    <col min="1062" max="1062" width="11.75" style="1" customWidth="1"/>
    <col min="1063" max="1063" width="11.25" style="1"/>
    <col min="1064" max="1064" width="12.75" style="1" bestFit="1" customWidth="1"/>
    <col min="1065" max="1280" width="11.25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.25" style="1"/>
    <col min="1318" max="1318" width="11.75" style="1" customWidth="1"/>
    <col min="1319" max="1319" width="11.25" style="1"/>
    <col min="1320" max="1320" width="12.75" style="1" bestFit="1" customWidth="1"/>
    <col min="1321" max="1536" width="11.25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.25" style="1"/>
    <col min="1574" max="1574" width="11.75" style="1" customWidth="1"/>
    <col min="1575" max="1575" width="11.25" style="1"/>
    <col min="1576" max="1576" width="12.75" style="1" bestFit="1" customWidth="1"/>
    <col min="1577" max="1792" width="11.25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.25" style="1"/>
    <col min="1830" max="1830" width="11.75" style="1" customWidth="1"/>
    <col min="1831" max="1831" width="11.25" style="1"/>
    <col min="1832" max="1832" width="12.75" style="1" bestFit="1" customWidth="1"/>
    <col min="1833" max="2048" width="11.25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.25" style="1"/>
    <col min="2086" max="2086" width="11.75" style="1" customWidth="1"/>
    <col min="2087" max="2087" width="11.25" style="1"/>
    <col min="2088" max="2088" width="12.75" style="1" bestFit="1" customWidth="1"/>
    <col min="2089" max="2304" width="11.25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.25" style="1"/>
    <col min="2342" max="2342" width="11.75" style="1" customWidth="1"/>
    <col min="2343" max="2343" width="11.25" style="1"/>
    <col min="2344" max="2344" width="12.75" style="1" bestFit="1" customWidth="1"/>
    <col min="2345" max="2560" width="11.25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.25" style="1"/>
    <col min="2598" max="2598" width="11.75" style="1" customWidth="1"/>
    <col min="2599" max="2599" width="11.25" style="1"/>
    <col min="2600" max="2600" width="12.75" style="1" bestFit="1" customWidth="1"/>
    <col min="2601" max="2816" width="11.25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.25" style="1"/>
    <col min="2854" max="2854" width="11.75" style="1" customWidth="1"/>
    <col min="2855" max="2855" width="11.25" style="1"/>
    <col min="2856" max="2856" width="12.75" style="1" bestFit="1" customWidth="1"/>
    <col min="2857" max="3072" width="11.25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.25" style="1"/>
    <col min="3110" max="3110" width="11.75" style="1" customWidth="1"/>
    <col min="3111" max="3111" width="11.25" style="1"/>
    <col min="3112" max="3112" width="12.75" style="1" bestFit="1" customWidth="1"/>
    <col min="3113" max="3328" width="11.25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.25" style="1"/>
    <col min="3366" max="3366" width="11.75" style="1" customWidth="1"/>
    <col min="3367" max="3367" width="11.25" style="1"/>
    <col min="3368" max="3368" width="12.75" style="1" bestFit="1" customWidth="1"/>
    <col min="3369" max="3584" width="11.25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.25" style="1"/>
    <col min="3622" max="3622" width="11.75" style="1" customWidth="1"/>
    <col min="3623" max="3623" width="11.25" style="1"/>
    <col min="3624" max="3624" width="12.75" style="1" bestFit="1" customWidth="1"/>
    <col min="3625" max="3840" width="11.25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.25" style="1"/>
    <col min="3878" max="3878" width="11.75" style="1" customWidth="1"/>
    <col min="3879" max="3879" width="11.25" style="1"/>
    <col min="3880" max="3880" width="12.75" style="1" bestFit="1" customWidth="1"/>
    <col min="3881" max="4096" width="11.25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.25" style="1"/>
    <col min="4134" max="4134" width="11.75" style="1" customWidth="1"/>
    <col min="4135" max="4135" width="11.25" style="1"/>
    <col min="4136" max="4136" width="12.75" style="1" bestFit="1" customWidth="1"/>
    <col min="4137" max="4352" width="11.25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.25" style="1"/>
    <col min="4390" max="4390" width="11.75" style="1" customWidth="1"/>
    <col min="4391" max="4391" width="11.25" style="1"/>
    <col min="4392" max="4392" width="12.75" style="1" bestFit="1" customWidth="1"/>
    <col min="4393" max="4608" width="11.25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.25" style="1"/>
    <col min="4646" max="4646" width="11.75" style="1" customWidth="1"/>
    <col min="4647" max="4647" width="11.25" style="1"/>
    <col min="4648" max="4648" width="12.75" style="1" bestFit="1" customWidth="1"/>
    <col min="4649" max="4864" width="11.25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.25" style="1"/>
    <col min="4902" max="4902" width="11.75" style="1" customWidth="1"/>
    <col min="4903" max="4903" width="11.25" style="1"/>
    <col min="4904" max="4904" width="12.75" style="1" bestFit="1" customWidth="1"/>
    <col min="4905" max="5120" width="11.25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.25" style="1"/>
    <col min="5158" max="5158" width="11.75" style="1" customWidth="1"/>
    <col min="5159" max="5159" width="11.25" style="1"/>
    <col min="5160" max="5160" width="12.75" style="1" bestFit="1" customWidth="1"/>
    <col min="5161" max="5376" width="11.25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.25" style="1"/>
    <col min="5414" max="5414" width="11.75" style="1" customWidth="1"/>
    <col min="5415" max="5415" width="11.25" style="1"/>
    <col min="5416" max="5416" width="12.75" style="1" bestFit="1" customWidth="1"/>
    <col min="5417" max="5632" width="11.25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.25" style="1"/>
    <col min="5670" max="5670" width="11.75" style="1" customWidth="1"/>
    <col min="5671" max="5671" width="11.25" style="1"/>
    <col min="5672" max="5672" width="12.75" style="1" bestFit="1" customWidth="1"/>
    <col min="5673" max="5888" width="11.25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.25" style="1"/>
    <col min="5926" max="5926" width="11.75" style="1" customWidth="1"/>
    <col min="5927" max="5927" width="11.25" style="1"/>
    <col min="5928" max="5928" width="12.75" style="1" bestFit="1" customWidth="1"/>
    <col min="5929" max="6144" width="11.25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.25" style="1"/>
    <col min="6182" max="6182" width="11.75" style="1" customWidth="1"/>
    <col min="6183" max="6183" width="11.25" style="1"/>
    <col min="6184" max="6184" width="12.75" style="1" bestFit="1" customWidth="1"/>
    <col min="6185" max="6400" width="11.25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.25" style="1"/>
    <col min="6438" max="6438" width="11.75" style="1" customWidth="1"/>
    <col min="6439" max="6439" width="11.25" style="1"/>
    <col min="6440" max="6440" width="12.75" style="1" bestFit="1" customWidth="1"/>
    <col min="6441" max="6656" width="11.25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.25" style="1"/>
    <col min="6694" max="6694" width="11.75" style="1" customWidth="1"/>
    <col min="6695" max="6695" width="11.25" style="1"/>
    <col min="6696" max="6696" width="12.75" style="1" bestFit="1" customWidth="1"/>
    <col min="6697" max="6912" width="11.25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.25" style="1"/>
    <col min="6950" max="6950" width="11.75" style="1" customWidth="1"/>
    <col min="6951" max="6951" width="11.25" style="1"/>
    <col min="6952" max="6952" width="12.75" style="1" bestFit="1" customWidth="1"/>
    <col min="6953" max="7168" width="11.25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.25" style="1"/>
    <col min="7206" max="7206" width="11.75" style="1" customWidth="1"/>
    <col min="7207" max="7207" width="11.25" style="1"/>
    <col min="7208" max="7208" width="12.75" style="1" bestFit="1" customWidth="1"/>
    <col min="7209" max="7424" width="11.25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.25" style="1"/>
    <col min="7462" max="7462" width="11.75" style="1" customWidth="1"/>
    <col min="7463" max="7463" width="11.25" style="1"/>
    <col min="7464" max="7464" width="12.75" style="1" bestFit="1" customWidth="1"/>
    <col min="7465" max="7680" width="11.25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.25" style="1"/>
    <col min="7718" max="7718" width="11.75" style="1" customWidth="1"/>
    <col min="7719" max="7719" width="11.25" style="1"/>
    <col min="7720" max="7720" width="12.75" style="1" bestFit="1" customWidth="1"/>
    <col min="7721" max="7936" width="11.25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.25" style="1"/>
    <col min="7974" max="7974" width="11.75" style="1" customWidth="1"/>
    <col min="7975" max="7975" width="11.25" style="1"/>
    <col min="7976" max="7976" width="12.75" style="1" bestFit="1" customWidth="1"/>
    <col min="7977" max="8192" width="11.25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.25" style="1"/>
    <col min="8230" max="8230" width="11.75" style="1" customWidth="1"/>
    <col min="8231" max="8231" width="11.25" style="1"/>
    <col min="8232" max="8232" width="12.75" style="1" bestFit="1" customWidth="1"/>
    <col min="8233" max="8448" width="11.25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.25" style="1"/>
    <col min="8486" max="8486" width="11.75" style="1" customWidth="1"/>
    <col min="8487" max="8487" width="11.25" style="1"/>
    <col min="8488" max="8488" width="12.75" style="1" bestFit="1" customWidth="1"/>
    <col min="8489" max="8704" width="11.25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.25" style="1"/>
    <col min="8742" max="8742" width="11.75" style="1" customWidth="1"/>
    <col min="8743" max="8743" width="11.25" style="1"/>
    <col min="8744" max="8744" width="12.75" style="1" bestFit="1" customWidth="1"/>
    <col min="8745" max="8960" width="11.25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.25" style="1"/>
    <col min="8998" max="8998" width="11.75" style="1" customWidth="1"/>
    <col min="8999" max="8999" width="11.25" style="1"/>
    <col min="9000" max="9000" width="12.75" style="1" bestFit="1" customWidth="1"/>
    <col min="9001" max="9216" width="11.25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.25" style="1"/>
    <col min="9254" max="9254" width="11.75" style="1" customWidth="1"/>
    <col min="9255" max="9255" width="11.25" style="1"/>
    <col min="9256" max="9256" width="12.75" style="1" bestFit="1" customWidth="1"/>
    <col min="9257" max="9472" width="11.25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.25" style="1"/>
    <col min="9510" max="9510" width="11.75" style="1" customWidth="1"/>
    <col min="9511" max="9511" width="11.25" style="1"/>
    <col min="9512" max="9512" width="12.75" style="1" bestFit="1" customWidth="1"/>
    <col min="9513" max="9728" width="11.25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.25" style="1"/>
    <col min="9766" max="9766" width="11.75" style="1" customWidth="1"/>
    <col min="9767" max="9767" width="11.25" style="1"/>
    <col min="9768" max="9768" width="12.75" style="1" bestFit="1" customWidth="1"/>
    <col min="9769" max="9984" width="11.25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.25" style="1"/>
    <col min="10022" max="10022" width="11.75" style="1" customWidth="1"/>
    <col min="10023" max="10023" width="11.25" style="1"/>
    <col min="10024" max="10024" width="12.75" style="1" bestFit="1" customWidth="1"/>
    <col min="10025" max="10240" width="11.25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.25" style="1"/>
    <col min="10278" max="10278" width="11.75" style="1" customWidth="1"/>
    <col min="10279" max="10279" width="11.25" style="1"/>
    <col min="10280" max="10280" width="12.75" style="1" bestFit="1" customWidth="1"/>
    <col min="10281" max="10496" width="11.25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.25" style="1"/>
    <col min="10534" max="10534" width="11.75" style="1" customWidth="1"/>
    <col min="10535" max="10535" width="11.25" style="1"/>
    <col min="10536" max="10536" width="12.75" style="1" bestFit="1" customWidth="1"/>
    <col min="10537" max="10752" width="11.25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.25" style="1"/>
    <col min="10790" max="10790" width="11.75" style="1" customWidth="1"/>
    <col min="10791" max="10791" width="11.25" style="1"/>
    <col min="10792" max="10792" width="12.75" style="1" bestFit="1" customWidth="1"/>
    <col min="10793" max="11008" width="11.25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.25" style="1"/>
    <col min="11046" max="11046" width="11.75" style="1" customWidth="1"/>
    <col min="11047" max="11047" width="11.25" style="1"/>
    <col min="11048" max="11048" width="12.75" style="1" bestFit="1" customWidth="1"/>
    <col min="11049" max="11264" width="11.25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.25" style="1"/>
    <col min="11302" max="11302" width="11.75" style="1" customWidth="1"/>
    <col min="11303" max="11303" width="11.25" style="1"/>
    <col min="11304" max="11304" width="12.75" style="1" bestFit="1" customWidth="1"/>
    <col min="11305" max="11520" width="11.25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.25" style="1"/>
    <col min="11558" max="11558" width="11.75" style="1" customWidth="1"/>
    <col min="11559" max="11559" width="11.25" style="1"/>
    <col min="11560" max="11560" width="12.75" style="1" bestFit="1" customWidth="1"/>
    <col min="11561" max="11776" width="11.25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.25" style="1"/>
    <col min="11814" max="11814" width="11.75" style="1" customWidth="1"/>
    <col min="11815" max="11815" width="11.25" style="1"/>
    <col min="11816" max="11816" width="12.75" style="1" bestFit="1" customWidth="1"/>
    <col min="11817" max="12032" width="11.25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.25" style="1"/>
    <col min="12070" max="12070" width="11.75" style="1" customWidth="1"/>
    <col min="12071" max="12071" width="11.25" style="1"/>
    <col min="12072" max="12072" width="12.75" style="1" bestFit="1" customWidth="1"/>
    <col min="12073" max="12288" width="11.25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.25" style="1"/>
    <col min="12326" max="12326" width="11.75" style="1" customWidth="1"/>
    <col min="12327" max="12327" width="11.25" style="1"/>
    <col min="12328" max="12328" width="12.75" style="1" bestFit="1" customWidth="1"/>
    <col min="12329" max="12544" width="11.25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.25" style="1"/>
    <col min="12582" max="12582" width="11.75" style="1" customWidth="1"/>
    <col min="12583" max="12583" width="11.25" style="1"/>
    <col min="12584" max="12584" width="12.75" style="1" bestFit="1" customWidth="1"/>
    <col min="12585" max="12800" width="11.25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.25" style="1"/>
    <col min="12838" max="12838" width="11.75" style="1" customWidth="1"/>
    <col min="12839" max="12839" width="11.25" style="1"/>
    <col min="12840" max="12840" width="12.75" style="1" bestFit="1" customWidth="1"/>
    <col min="12841" max="13056" width="11.25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.25" style="1"/>
    <col min="13094" max="13094" width="11.75" style="1" customWidth="1"/>
    <col min="13095" max="13095" width="11.25" style="1"/>
    <col min="13096" max="13096" width="12.75" style="1" bestFit="1" customWidth="1"/>
    <col min="13097" max="13312" width="11.25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.25" style="1"/>
    <col min="13350" max="13350" width="11.75" style="1" customWidth="1"/>
    <col min="13351" max="13351" width="11.25" style="1"/>
    <col min="13352" max="13352" width="12.75" style="1" bestFit="1" customWidth="1"/>
    <col min="13353" max="13568" width="11.25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.25" style="1"/>
    <col min="13606" max="13606" width="11.75" style="1" customWidth="1"/>
    <col min="13607" max="13607" width="11.25" style="1"/>
    <col min="13608" max="13608" width="12.75" style="1" bestFit="1" customWidth="1"/>
    <col min="13609" max="13824" width="11.25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.25" style="1"/>
    <col min="13862" max="13862" width="11.75" style="1" customWidth="1"/>
    <col min="13863" max="13863" width="11.25" style="1"/>
    <col min="13864" max="13864" width="12.75" style="1" bestFit="1" customWidth="1"/>
    <col min="13865" max="14080" width="11.25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.25" style="1"/>
    <col min="14118" max="14118" width="11.75" style="1" customWidth="1"/>
    <col min="14119" max="14119" width="11.25" style="1"/>
    <col min="14120" max="14120" width="12.75" style="1" bestFit="1" customWidth="1"/>
    <col min="14121" max="14336" width="11.25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.25" style="1"/>
    <col min="14374" max="14374" width="11.75" style="1" customWidth="1"/>
    <col min="14375" max="14375" width="11.25" style="1"/>
    <col min="14376" max="14376" width="12.75" style="1" bestFit="1" customWidth="1"/>
    <col min="14377" max="14592" width="11.25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.25" style="1"/>
    <col min="14630" max="14630" width="11.75" style="1" customWidth="1"/>
    <col min="14631" max="14631" width="11.25" style="1"/>
    <col min="14632" max="14632" width="12.75" style="1" bestFit="1" customWidth="1"/>
    <col min="14633" max="14848" width="11.25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.25" style="1"/>
    <col min="14886" max="14886" width="11.75" style="1" customWidth="1"/>
    <col min="14887" max="14887" width="11.25" style="1"/>
    <col min="14888" max="14888" width="12.75" style="1" bestFit="1" customWidth="1"/>
    <col min="14889" max="15104" width="11.25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.25" style="1"/>
    <col min="15142" max="15142" width="11.75" style="1" customWidth="1"/>
    <col min="15143" max="15143" width="11.25" style="1"/>
    <col min="15144" max="15144" width="12.75" style="1" bestFit="1" customWidth="1"/>
    <col min="15145" max="15360" width="11.25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.25" style="1"/>
    <col min="15398" max="15398" width="11.75" style="1" customWidth="1"/>
    <col min="15399" max="15399" width="11.25" style="1"/>
    <col min="15400" max="15400" width="12.75" style="1" bestFit="1" customWidth="1"/>
    <col min="15401" max="15616" width="11.25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.25" style="1"/>
    <col min="15654" max="15654" width="11.75" style="1" customWidth="1"/>
    <col min="15655" max="15655" width="11.25" style="1"/>
    <col min="15656" max="15656" width="12.75" style="1" bestFit="1" customWidth="1"/>
    <col min="15657" max="15872" width="11.25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.25" style="1"/>
    <col min="15910" max="15910" width="11.75" style="1" customWidth="1"/>
    <col min="15911" max="15911" width="11.25" style="1"/>
    <col min="15912" max="15912" width="12.75" style="1" bestFit="1" customWidth="1"/>
    <col min="15913" max="16128" width="11.25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.25" style="1"/>
    <col min="16166" max="16166" width="11.75" style="1" customWidth="1"/>
    <col min="16167" max="16167" width="11.25" style="1"/>
    <col min="16168" max="16168" width="12.75" style="1" bestFit="1" customWidth="1"/>
    <col min="16169" max="16384" width="11.25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42</v>
      </c>
      <c r="B9" s="507"/>
      <c r="C9" s="507"/>
      <c r="D9" s="507"/>
      <c r="E9" s="507"/>
      <c r="F9" s="507"/>
      <c r="G9" s="507"/>
      <c r="H9" s="508" t="s">
        <v>17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Adecuación'!C8</f>
        <v>DESMONTES (VENTANAS)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0" t="s">
        <v>391</v>
      </c>
      <c r="AJ13" s="271"/>
      <c r="AK13" s="272"/>
      <c r="AL13" s="272"/>
      <c r="AM13" s="273"/>
      <c r="AN13" s="274">
        <v>23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5"/>
      <c r="AJ14" s="276"/>
      <c r="AK14" s="277"/>
      <c r="AL14" s="277"/>
      <c r="AM14" s="273"/>
      <c r="AN14" s="274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/>
      <c r="AJ16" s="276"/>
      <c r="AK16" s="277"/>
      <c r="AL16" s="277"/>
      <c r="AM16" s="273"/>
      <c r="AN16" s="274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/>
      <c r="AJ17" s="276"/>
      <c r="AK17" s="277"/>
      <c r="AL17" s="277"/>
      <c r="AM17" s="273"/>
      <c r="AN17" s="274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/>
      <c r="AJ18" s="276"/>
      <c r="AK18" s="277"/>
      <c r="AL18" s="277"/>
      <c r="AM18" s="273"/>
      <c r="AN18" s="274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75"/>
      <c r="AJ19" s="276"/>
      <c r="AK19" s="276"/>
      <c r="AL19" s="277"/>
      <c r="AM19" s="277"/>
      <c r="AN19" s="274"/>
    </row>
    <row r="20" spans="1:41" ht="33.6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75"/>
      <c r="AJ20" s="276"/>
      <c r="AK20" s="276"/>
      <c r="AL20" s="277"/>
      <c r="AM20" s="277"/>
      <c r="AN20" s="274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75"/>
      <c r="AJ21" s="276"/>
      <c r="AK21" s="277"/>
      <c r="AL21" s="277"/>
      <c r="AM21" s="273"/>
      <c r="AN21" s="274"/>
    </row>
    <row r="22" spans="1:41" ht="33.6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75"/>
      <c r="AJ22" s="276"/>
      <c r="AK22" s="276"/>
      <c r="AL22" s="277"/>
      <c r="AM22" s="277"/>
      <c r="AN22" s="274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.75" customHeight="1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36.75" customHeight="1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35.2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2"/>
      <c r="AH33" s="503"/>
      <c r="AI33" s="28"/>
      <c r="AJ33" s="12"/>
      <c r="AK33" s="13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2"/>
      <c r="AH34" s="503"/>
      <c r="AI34" s="28"/>
      <c r="AJ34" s="12"/>
      <c r="AK34" s="13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2"/>
      <c r="AH35" s="503"/>
      <c r="AI35" s="28"/>
      <c r="AJ35" s="12"/>
      <c r="AK35" s="13"/>
      <c r="AL35" s="13"/>
      <c r="AM35" s="13"/>
      <c r="AN35" s="15"/>
    </row>
    <row r="36" spans="1:40" ht="16.5" customHeight="1" thickBot="1" x14ac:dyDescent="0.25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24"/>
      <c r="AH36" s="525"/>
      <c r="AI36" s="18"/>
      <c r="AJ36" s="19"/>
      <c r="AK36" s="19"/>
      <c r="AL36" s="19"/>
      <c r="AM36" s="19"/>
      <c r="AN36" s="20"/>
    </row>
    <row r="37" spans="1:40" ht="1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44" t="s">
        <v>31</v>
      </c>
      <c r="AH37" s="545"/>
      <c r="AI37" s="545"/>
      <c r="AJ37" s="545"/>
      <c r="AK37" s="545"/>
      <c r="AL37" s="545"/>
      <c r="AM37" s="546"/>
      <c r="AN37" s="21">
        <f>SUM(AN12:AN36)</f>
        <v>23</v>
      </c>
    </row>
    <row r="38" spans="1:40" ht="1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47"/>
      <c r="AH38" s="548"/>
      <c r="AI38" s="548"/>
      <c r="AJ38" s="548"/>
      <c r="AK38" s="548"/>
      <c r="AL38" s="548"/>
      <c r="AM38" s="549"/>
      <c r="AN38" s="22"/>
    </row>
    <row r="39" spans="1:40" ht="18.75" thickBot="1" x14ac:dyDescent="0.3">
      <c r="A39" s="490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2"/>
      <c r="AG39" s="521" t="s">
        <v>32</v>
      </c>
      <c r="AH39" s="522"/>
      <c r="AI39" s="522"/>
      <c r="AJ39" s="522"/>
      <c r="AK39" s="522"/>
      <c r="AL39" s="522"/>
      <c r="AM39" s="523"/>
      <c r="AN39" s="312">
        <f>ROUND(SUM(AN37:AN38),2)</f>
        <v>23</v>
      </c>
    </row>
    <row r="40" spans="1:40" ht="15.75" customHeight="1" x14ac:dyDescent="0.2">
      <c r="A40" s="33"/>
      <c r="B40" s="24"/>
      <c r="C40" s="34"/>
      <c r="D40" s="34"/>
      <c r="E40" s="34"/>
      <c r="F40" s="34"/>
      <c r="G40" s="34"/>
      <c r="H40" s="35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  <c r="AG40" s="309"/>
      <c r="AH40" s="309"/>
      <c r="AI40" s="25"/>
      <c r="AJ40" s="36"/>
      <c r="AK40" s="35"/>
      <c r="AL40" s="34"/>
      <c r="AM40" s="34"/>
      <c r="AN40" s="37"/>
    </row>
    <row r="41" spans="1:40" ht="15.75" customHeight="1" x14ac:dyDescent="0.2">
      <c r="A41" s="23"/>
      <c r="B41" s="293"/>
      <c r="C41" s="294"/>
      <c r="D41" s="294"/>
      <c r="E41" s="294"/>
      <c r="F41" s="294"/>
      <c r="G41" s="294"/>
      <c r="H41" s="295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J41" s="297"/>
      <c r="AK41" s="296"/>
      <c r="AL41" s="294"/>
      <c r="AM41" s="294"/>
      <c r="AN41" s="26"/>
    </row>
    <row r="42" spans="1:40" ht="15.75" customHeight="1" x14ac:dyDescent="0.2">
      <c r="A42" s="23"/>
      <c r="B42" s="293"/>
      <c r="C42" s="294"/>
      <c r="D42" s="294"/>
      <c r="E42" s="294"/>
      <c r="F42" s="294"/>
      <c r="G42" s="294"/>
      <c r="H42" s="295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296"/>
      <c r="AJ42" s="297"/>
      <c r="AK42" s="295"/>
      <c r="AL42" s="294"/>
      <c r="AM42" s="294"/>
      <c r="AN42" s="26"/>
    </row>
    <row r="43" spans="1:40" ht="15" customHeight="1" x14ac:dyDescent="0.2">
      <c r="A43" s="23"/>
      <c r="B43" s="293"/>
      <c r="C43" s="294"/>
      <c r="D43" s="294"/>
      <c r="E43" s="294"/>
      <c r="F43" s="294"/>
      <c r="G43" s="294"/>
      <c r="H43" s="295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297"/>
      <c r="AJ43" s="297"/>
      <c r="AK43" s="295"/>
      <c r="AL43" s="294"/>
      <c r="AM43" s="294"/>
      <c r="AN43" s="26"/>
    </row>
    <row r="44" spans="1:40" ht="13.15" customHeight="1" x14ac:dyDescent="0.2">
      <c r="A44" s="23"/>
      <c r="B44" s="293"/>
      <c r="C44" s="294"/>
      <c r="D44" s="294"/>
      <c r="E44" s="294"/>
      <c r="F44" s="294"/>
      <c r="G44" s="294"/>
      <c r="H44" s="295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  <c r="AG44" s="305"/>
      <c r="AH44" s="305"/>
      <c r="AI44" s="296"/>
      <c r="AJ44" s="297"/>
      <c r="AK44" s="295"/>
      <c r="AL44" s="294"/>
      <c r="AM44" s="294"/>
      <c r="AN44" s="26"/>
    </row>
    <row r="45" spans="1:40" ht="13.15" customHeight="1" x14ac:dyDescent="0.2">
      <c r="A45" s="23"/>
      <c r="B45" s="293"/>
      <c r="C45" s="294"/>
      <c r="D45" s="294"/>
      <c r="E45" s="294"/>
      <c r="F45" s="294"/>
      <c r="G45" s="294"/>
      <c r="H45" s="295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  <c r="AG45" s="305"/>
      <c r="AH45" s="305"/>
      <c r="AI45" s="539"/>
      <c r="AJ45" s="539"/>
      <c r="AK45" s="539"/>
      <c r="AL45" s="539"/>
      <c r="AM45" s="539"/>
      <c r="AN45" s="540"/>
    </row>
    <row r="46" spans="1:40" ht="13.15" customHeight="1" x14ac:dyDescent="0.2">
      <c r="A46" s="541"/>
      <c r="B46" s="542"/>
      <c r="C46" s="542"/>
      <c r="D46" s="542"/>
      <c r="E46" s="542"/>
      <c r="F46" s="542"/>
      <c r="G46" s="542"/>
      <c r="H46" s="542"/>
      <c r="I46" s="542"/>
      <c r="J46" s="542"/>
      <c r="K46" s="542"/>
      <c r="L46" s="542"/>
      <c r="M46" s="542"/>
      <c r="N46" s="542"/>
      <c r="O46" s="542"/>
      <c r="P46" s="542"/>
      <c r="Q46" s="542"/>
      <c r="R46" s="542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  <c r="AG46" s="305"/>
      <c r="AH46" s="305"/>
      <c r="AI46" s="539" t="s">
        <v>396</v>
      </c>
      <c r="AJ46" s="539"/>
      <c r="AK46" s="539"/>
      <c r="AL46" s="539"/>
      <c r="AM46" s="539"/>
      <c r="AN46" s="540"/>
    </row>
    <row r="47" spans="1:40" ht="12.75" customHeight="1" x14ac:dyDescent="0.2">
      <c r="A47" s="541"/>
      <c r="B47" s="542"/>
      <c r="C47" s="542"/>
      <c r="D47" s="542"/>
      <c r="E47" s="542"/>
      <c r="F47" s="542"/>
      <c r="G47" s="542"/>
      <c r="H47" s="542"/>
      <c r="I47" s="542"/>
      <c r="J47" s="542"/>
      <c r="K47" s="542"/>
      <c r="L47" s="542"/>
      <c r="M47" s="542"/>
      <c r="N47" s="542"/>
      <c r="O47" s="542"/>
      <c r="P47" s="542"/>
      <c r="Q47" s="542"/>
      <c r="R47" s="542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539" t="s">
        <v>409</v>
      </c>
      <c r="AJ47" s="539"/>
      <c r="AK47" s="539"/>
      <c r="AL47" s="539"/>
      <c r="AM47" s="539"/>
      <c r="AN47" s="540"/>
    </row>
    <row r="48" spans="1:40" ht="13.5" customHeight="1" thickBot="1" x14ac:dyDescent="0.25">
      <c r="A48" s="532"/>
      <c r="B48" s="533"/>
      <c r="C48" s="533"/>
      <c r="D48" s="533"/>
      <c r="E48" s="533"/>
      <c r="F48" s="533"/>
      <c r="G48" s="533"/>
      <c r="H48" s="533"/>
      <c r="I48" s="533"/>
      <c r="J48" s="533"/>
      <c r="K48" s="533"/>
      <c r="L48" s="533"/>
      <c r="M48" s="533"/>
      <c r="N48" s="533"/>
      <c r="O48" s="533"/>
      <c r="P48" s="533"/>
      <c r="Q48" s="533"/>
      <c r="R48" s="533"/>
      <c r="S48" s="311"/>
      <c r="T48" s="311"/>
      <c r="U48" s="311"/>
      <c r="V48" s="311"/>
      <c r="W48" s="311"/>
      <c r="X48" s="311"/>
      <c r="Y48" s="311"/>
      <c r="Z48" s="311"/>
      <c r="AA48" s="311"/>
      <c r="AB48" s="311"/>
      <c r="AC48" s="311"/>
      <c r="AD48" s="311"/>
      <c r="AE48" s="311"/>
      <c r="AF48" s="311"/>
      <c r="AG48" s="311"/>
      <c r="AH48" s="311"/>
      <c r="AI48" s="536" t="s">
        <v>411</v>
      </c>
      <c r="AJ48" s="536"/>
      <c r="AK48" s="536"/>
      <c r="AL48" s="536"/>
      <c r="AM48" s="536"/>
      <c r="AN48" s="537"/>
    </row>
  </sheetData>
  <mergeCells count="74">
    <mergeCell ref="A48:R48"/>
    <mergeCell ref="AI48:AN48"/>
    <mergeCell ref="AI45:AN45"/>
    <mergeCell ref="A46:R46"/>
    <mergeCell ref="AI46:AN46"/>
    <mergeCell ref="A47:R47"/>
    <mergeCell ref="AI47:AN47"/>
    <mergeCell ref="AG39:AM39"/>
    <mergeCell ref="AG33:AH33"/>
    <mergeCell ref="AG34:AH34"/>
    <mergeCell ref="AG35:AH35"/>
    <mergeCell ref="AG36:AH36"/>
    <mergeCell ref="AG37:AM37"/>
    <mergeCell ref="AG38:AM38"/>
    <mergeCell ref="AG28:AH28"/>
    <mergeCell ref="AG29:AH29"/>
    <mergeCell ref="AG30:AH30"/>
    <mergeCell ref="AG31:AH31"/>
    <mergeCell ref="AG32:AH32"/>
    <mergeCell ref="AN10:AN11"/>
    <mergeCell ref="AG12:AH12"/>
    <mergeCell ref="AG13:AH13"/>
    <mergeCell ref="AG14:AH14"/>
    <mergeCell ref="AG15:AH15"/>
    <mergeCell ref="A9:G9"/>
    <mergeCell ref="H9:T9"/>
    <mergeCell ref="U9:AD9"/>
    <mergeCell ref="AE9:AI9"/>
    <mergeCell ref="AM9:AN9"/>
    <mergeCell ref="A10:AF39"/>
    <mergeCell ref="AG10:AH11"/>
    <mergeCell ref="AI10:AI11"/>
    <mergeCell ref="AJ10:AL10"/>
    <mergeCell ref="AM10:AM11"/>
    <mergeCell ref="AG22:AH22"/>
    <mergeCell ref="AG16:AH16"/>
    <mergeCell ref="AG17:AH17"/>
    <mergeCell ref="AG18:AH18"/>
    <mergeCell ref="AG19:AH19"/>
    <mergeCell ref="AG20:AH20"/>
    <mergeCell ref="AG21:AH21"/>
    <mergeCell ref="AG23:AH23"/>
    <mergeCell ref="AG24:AH24"/>
    <mergeCell ref="AG25:AH25"/>
    <mergeCell ref="AG26:AH26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2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AP45"/>
  <sheetViews>
    <sheetView view="pageBreakPreview" topLeftCell="A10" zoomScale="85" zoomScaleNormal="55" zoomScaleSheetLayoutView="85" workbookViewId="0">
      <selection activeCell="A10" sqref="A10:AF36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12.75" style="1" bestFit="1" customWidth="1"/>
    <col min="36" max="37" width="11" style="1"/>
    <col min="38" max="38" width="11.25" style="1" bestFit="1" customWidth="1"/>
    <col min="39" max="39" width="7.75" style="1" bestFit="1" customWidth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42</v>
      </c>
      <c r="B9" s="507"/>
      <c r="C9" s="507"/>
      <c r="D9" s="507"/>
      <c r="E9" s="507"/>
      <c r="F9" s="507"/>
      <c r="G9" s="507"/>
      <c r="H9" s="508" t="s">
        <v>17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Adecuación'!C9</f>
        <v>DESMONTE DE APARATOS SANITARIOS, LAVAMANOS Y LAVAPLATOS</v>
      </c>
      <c r="AF9" s="512"/>
      <c r="AG9" s="513"/>
      <c r="AH9" s="513"/>
      <c r="AI9" s="514"/>
      <c r="AJ9" s="284" t="s">
        <v>19</v>
      </c>
      <c r="AK9" s="9" t="s">
        <v>153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0" t="s">
        <v>373</v>
      </c>
      <c r="AJ13" s="271"/>
      <c r="AK13" s="272"/>
      <c r="AL13" s="272"/>
      <c r="AM13" s="273">
        <v>8</v>
      </c>
      <c r="AN13" s="274">
        <f>+AM13</f>
        <v>8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5" t="s">
        <v>374</v>
      </c>
      <c r="AJ14" s="276"/>
      <c r="AK14" s="277"/>
      <c r="AL14" s="277"/>
      <c r="AM14" s="273">
        <v>12</v>
      </c>
      <c r="AN14" s="274">
        <f t="shared" ref="AN14" si="0">+AM14</f>
        <v>12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/>
      <c r="AJ16" s="276"/>
      <c r="AK16" s="277"/>
      <c r="AL16" s="277"/>
      <c r="AM16" s="273"/>
      <c r="AN16" s="274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/>
      <c r="AJ17" s="276"/>
      <c r="AK17" s="277"/>
      <c r="AL17" s="277"/>
      <c r="AM17" s="273"/>
      <c r="AN17" s="274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/>
      <c r="AJ18" s="276"/>
      <c r="AK18" s="277"/>
      <c r="AL18" s="277"/>
      <c r="AM18" s="273"/>
      <c r="AN18" s="274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75"/>
      <c r="AJ19" s="276"/>
      <c r="AK19" s="276"/>
      <c r="AL19" s="277"/>
      <c r="AM19" s="277"/>
      <c r="AN19" s="274"/>
    </row>
    <row r="20" spans="1:41" ht="33.6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75"/>
      <c r="AJ20" s="276"/>
      <c r="AK20" s="276"/>
      <c r="AL20" s="277"/>
      <c r="AM20" s="277"/>
      <c r="AN20" s="274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75"/>
      <c r="AJ21" s="276"/>
      <c r="AK21" s="277"/>
      <c r="AL21" s="277"/>
      <c r="AM21" s="273"/>
      <c r="AN21" s="274"/>
    </row>
    <row r="22" spans="1:41" ht="33.6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75"/>
      <c r="AJ22" s="276"/>
      <c r="AK22" s="276"/>
      <c r="AL22" s="277"/>
      <c r="AM22" s="277"/>
      <c r="AN22" s="274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282"/>
      <c r="AH27" s="283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.75" customHeight="1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.75" customHeight="1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2"/>
      <c r="AH31" s="503"/>
      <c r="AI31" s="28"/>
      <c r="AJ31" s="12"/>
      <c r="AK31" s="13"/>
      <c r="AL31" s="13"/>
      <c r="AM31" s="13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2"/>
      <c r="AH32" s="503"/>
      <c r="AI32" s="28"/>
      <c r="AJ32" s="12"/>
      <c r="AK32" s="13"/>
      <c r="AL32" s="13"/>
      <c r="AM32" s="13"/>
      <c r="AN32" s="15"/>
    </row>
    <row r="33" spans="1:40" ht="16.5" customHeight="1" thickBot="1" x14ac:dyDescent="0.25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24"/>
      <c r="AH33" s="525"/>
      <c r="AI33" s="18"/>
      <c r="AJ33" s="19"/>
      <c r="AK33" s="19"/>
      <c r="AL33" s="19"/>
      <c r="AM33" s="19"/>
      <c r="AN33" s="20"/>
    </row>
    <row r="34" spans="1:40" ht="1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44" t="s">
        <v>31</v>
      </c>
      <c r="AH34" s="545"/>
      <c r="AI34" s="545"/>
      <c r="AJ34" s="545"/>
      <c r="AK34" s="545"/>
      <c r="AL34" s="545"/>
      <c r="AM34" s="546"/>
      <c r="AN34" s="21">
        <f>SUM(AN12:AN33)</f>
        <v>20</v>
      </c>
    </row>
    <row r="35" spans="1:40" ht="1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47"/>
      <c r="AH35" s="548"/>
      <c r="AI35" s="548"/>
      <c r="AJ35" s="548"/>
      <c r="AK35" s="548"/>
      <c r="AL35" s="548"/>
      <c r="AM35" s="549"/>
      <c r="AN35" s="22"/>
    </row>
    <row r="36" spans="1:40" ht="18.75" thickBot="1" x14ac:dyDescent="0.3">
      <c r="A36" s="490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3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2"/>
      <c r="AG36" s="521" t="s">
        <v>32</v>
      </c>
      <c r="AH36" s="522"/>
      <c r="AI36" s="522"/>
      <c r="AJ36" s="522"/>
      <c r="AK36" s="522"/>
      <c r="AL36" s="522"/>
      <c r="AM36" s="523"/>
      <c r="AN36" s="312">
        <f>ROUND(SUM(AN34:AN35),2)</f>
        <v>20</v>
      </c>
    </row>
    <row r="37" spans="1:40" ht="15.75" customHeight="1" x14ac:dyDescent="0.2">
      <c r="A37" s="33"/>
      <c r="B37" s="24"/>
      <c r="C37" s="34"/>
      <c r="D37" s="34"/>
      <c r="E37" s="34"/>
      <c r="F37" s="34"/>
      <c r="G37" s="34"/>
      <c r="H37" s="35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  <c r="AG37" s="309"/>
      <c r="AH37" s="309"/>
      <c r="AI37" s="25"/>
      <c r="AJ37" s="36"/>
      <c r="AK37" s="35"/>
      <c r="AL37" s="34"/>
      <c r="AM37" s="34"/>
      <c r="AN37" s="37"/>
    </row>
    <row r="38" spans="1:40" ht="15.75" customHeight="1" x14ac:dyDescent="0.2">
      <c r="A38" s="23"/>
      <c r="B38" s="293"/>
      <c r="C38" s="294"/>
      <c r="D38" s="294"/>
      <c r="E38" s="294"/>
      <c r="F38" s="294"/>
      <c r="G38" s="294"/>
      <c r="H38" s="295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296"/>
      <c r="AJ38" s="297"/>
      <c r="AK38" s="295"/>
      <c r="AL38" s="294"/>
      <c r="AM38" s="294"/>
      <c r="AN38" s="26"/>
    </row>
    <row r="39" spans="1:40" ht="15.75" customHeight="1" x14ac:dyDescent="0.2">
      <c r="A39" s="23"/>
      <c r="B39" s="293"/>
      <c r="C39" s="294"/>
      <c r="D39" s="294"/>
      <c r="E39" s="294"/>
      <c r="F39" s="294"/>
      <c r="G39" s="294"/>
      <c r="H39" s="295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296"/>
      <c r="AJ39" s="297"/>
      <c r="AK39" s="295"/>
      <c r="AL39" s="294"/>
      <c r="AM39" s="294"/>
      <c r="AN39" s="26"/>
    </row>
    <row r="40" spans="1:40" ht="15" customHeight="1" x14ac:dyDescent="0.2">
      <c r="A40" s="23"/>
      <c r="B40" s="293"/>
      <c r="C40" s="294"/>
      <c r="D40" s="294"/>
      <c r="E40" s="294"/>
      <c r="F40" s="294"/>
      <c r="G40" s="294"/>
      <c r="H40" s="295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  <c r="AG40" s="305"/>
      <c r="AH40" s="305"/>
      <c r="AI40" s="296"/>
      <c r="AJ40" s="297"/>
      <c r="AK40" s="295"/>
      <c r="AL40" s="294"/>
      <c r="AM40" s="294"/>
      <c r="AN40" s="26"/>
    </row>
    <row r="41" spans="1:40" ht="13.15" customHeight="1" x14ac:dyDescent="0.2">
      <c r="A41" s="23"/>
      <c r="B41" s="293"/>
      <c r="C41" s="294"/>
      <c r="D41" s="294"/>
      <c r="E41" s="294"/>
      <c r="F41" s="294"/>
      <c r="G41" s="294"/>
      <c r="H41" s="295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J41" s="297"/>
      <c r="AK41" s="296"/>
      <c r="AL41" s="294"/>
      <c r="AM41" s="294"/>
      <c r="AN41" s="26"/>
    </row>
    <row r="42" spans="1:40" ht="13.15" customHeight="1" x14ac:dyDescent="0.2">
      <c r="A42" s="23"/>
      <c r="B42" s="293"/>
      <c r="C42" s="294"/>
      <c r="D42" s="294"/>
      <c r="E42" s="294"/>
      <c r="F42" s="294"/>
      <c r="G42" s="294"/>
      <c r="H42" s="295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539"/>
      <c r="AJ42" s="539"/>
      <c r="AK42" s="539"/>
      <c r="AL42" s="539"/>
      <c r="AM42" s="539"/>
      <c r="AN42" s="540"/>
    </row>
    <row r="43" spans="1:40" ht="13.15" customHeight="1" x14ac:dyDescent="0.2">
      <c r="A43" s="541"/>
      <c r="B43" s="542"/>
      <c r="C43" s="542"/>
      <c r="D43" s="542"/>
      <c r="E43" s="542"/>
      <c r="F43" s="542"/>
      <c r="G43" s="542"/>
      <c r="H43" s="542"/>
      <c r="I43" s="542"/>
      <c r="J43" s="542"/>
      <c r="K43" s="542"/>
      <c r="L43" s="542"/>
      <c r="M43" s="542"/>
      <c r="N43" s="542"/>
      <c r="O43" s="542"/>
      <c r="P43" s="542"/>
      <c r="Q43" s="542"/>
      <c r="R43" s="542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292"/>
      <c r="AJ43" s="292"/>
      <c r="AK43" s="292"/>
      <c r="AL43" s="292"/>
      <c r="AM43" s="292"/>
      <c r="AN43" s="291"/>
    </row>
    <row r="44" spans="1:40" ht="12.75" customHeight="1" x14ac:dyDescent="0.2">
      <c r="A44" s="541"/>
      <c r="B44" s="542"/>
      <c r="C44" s="542"/>
      <c r="D44" s="542"/>
      <c r="E44" s="542"/>
      <c r="F44" s="542"/>
      <c r="G44" s="542"/>
      <c r="H44" s="542"/>
      <c r="I44" s="542"/>
      <c r="J44" s="542"/>
      <c r="K44" s="542"/>
      <c r="L44" s="542"/>
      <c r="M44" s="542"/>
      <c r="N44" s="542"/>
      <c r="O44" s="542"/>
      <c r="P44" s="542"/>
      <c r="Q44" s="542"/>
      <c r="R44" s="542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  <c r="AG44" s="305"/>
      <c r="AH44" s="305"/>
      <c r="AI44" s="539" t="s">
        <v>409</v>
      </c>
      <c r="AJ44" s="539"/>
      <c r="AK44" s="539"/>
      <c r="AL44" s="539"/>
      <c r="AM44" s="539"/>
      <c r="AN44" s="540"/>
    </row>
    <row r="45" spans="1:40" ht="13.5" customHeight="1" thickBot="1" x14ac:dyDescent="0.25">
      <c r="A45" s="532"/>
      <c r="B45" s="533"/>
      <c r="C45" s="533"/>
      <c r="D45" s="533"/>
      <c r="E45" s="533"/>
      <c r="F45" s="533"/>
      <c r="G45" s="533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311"/>
      <c r="T45" s="311"/>
      <c r="U45" s="311"/>
      <c r="V45" s="311"/>
      <c r="W45" s="311"/>
      <c r="X45" s="311"/>
      <c r="Y45" s="311"/>
      <c r="Z45" s="311"/>
      <c r="AA45" s="311"/>
      <c r="AB45" s="311"/>
      <c r="AC45" s="311"/>
      <c r="AD45" s="311"/>
      <c r="AE45" s="311"/>
      <c r="AF45" s="311"/>
      <c r="AG45" s="311"/>
      <c r="AH45" s="311"/>
      <c r="AI45" s="536" t="s">
        <v>411</v>
      </c>
      <c r="AJ45" s="536"/>
      <c r="AK45" s="536"/>
      <c r="AL45" s="536"/>
      <c r="AM45" s="536"/>
      <c r="AN45" s="537"/>
    </row>
  </sheetData>
  <mergeCells count="70">
    <mergeCell ref="A44:R44"/>
    <mergeCell ref="AI44:AN44"/>
    <mergeCell ref="A45:R45"/>
    <mergeCell ref="AI45:AN45"/>
    <mergeCell ref="AI42:AN42"/>
    <mergeCell ref="AG33:AH33"/>
    <mergeCell ref="AG34:AM34"/>
    <mergeCell ref="AG35:AM35"/>
    <mergeCell ref="AG36:AM36"/>
    <mergeCell ref="A43:R43"/>
    <mergeCell ref="A10:AF36"/>
    <mergeCell ref="AG22:AH22"/>
    <mergeCell ref="AG16:AH16"/>
    <mergeCell ref="AG17:AH17"/>
    <mergeCell ref="AG18:AH18"/>
    <mergeCell ref="AG19:AH19"/>
    <mergeCell ref="AG20:AH20"/>
    <mergeCell ref="AG21:AH21"/>
    <mergeCell ref="AG23:AH23"/>
    <mergeCell ref="AG24:AH24"/>
    <mergeCell ref="AG25:AH25"/>
    <mergeCell ref="AG26:AH26"/>
    <mergeCell ref="AG28:AH28"/>
    <mergeCell ref="AG29:AH29"/>
    <mergeCell ref="AG32:AH32"/>
    <mergeCell ref="AG31:AH31"/>
    <mergeCell ref="AG30:AH30"/>
    <mergeCell ref="AN10:AN11"/>
    <mergeCell ref="AG12:AH12"/>
    <mergeCell ref="AG13:AH13"/>
    <mergeCell ref="AG14:AH14"/>
    <mergeCell ref="AG15:AH15"/>
    <mergeCell ref="AG10:AH11"/>
    <mergeCell ref="AI10:AI11"/>
    <mergeCell ref="AJ10:AL10"/>
    <mergeCell ref="AM10:AM11"/>
    <mergeCell ref="A9:G9"/>
    <mergeCell ref="H9:T9"/>
    <mergeCell ref="U9:AD9"/>
    <mergeCell ref="AE9:AI9"/>
    <mergeCell ref="AM9:AN9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8" fitToWidth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AP49"/>
  <sheetViews>
    <sheetView view="pageBreakPreview" topLeftCell="A10" zoomScale="70" zoomScaleNormal="55" zoomScaleSheetLayoutView="70" workbookViewId="0">
      <selection activeCell="AI16" sqref="AI16:AN32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15.25" style="1" bestFit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42</v>
      </c>
      <c r="B9" s="507"/>
      <c r="C9" s="507"/>
      <c r="D9" s="507"/>
      <c r="E9" s="507"/>
      <c r="F9" s="507"/>
      <c r="G9" s="507"/>
      <c r="H9" s="508" t="s">
        <v>17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Adecuación'!C10</f>
        <v>DESMONTES (CIELO RASOS)</v>
      </c>
      <c r="AF9" s="512"/>
      <c r="AG9" s="513"/>
      <c r="AH9" s="513"/>
      <c r="AI9" s="514"/>
      <c r="AJ9" s="284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0"/>
      <c r="AJ13" s="271"/>
      <c r="AK13" s="272"/>
      <c r="AL13" s="272"/>
      <c r="AM13" s="273"/>
      <c r="AN13" s="274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5"/>
      <c r="AJ14" s="276"/>
      <c r="AK14" s="277"/>
      <c r="AL14" s="277"/>
      <c r="AM14" s="273"/>
      <c r="AN14" s="274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361" t="s">
        <v>434</v>
      </c>
      <c r="AJ16" s="362">
        <v>3.63</v>
      </c>
      <c r="AK16" s="363"/>
      <c r="AL16" s="363">
        <v>4.95</v>
      </c>
      <c r="AM16" s="363">
        <f>+AL16*AJ16</f>
        <v>17.968499999999999</v>
      </c>
      <c r="AN16" s="365">
        <f>+AM16+AM17</f>
        <v>76.239999999999995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364"/>
      <c r="AJ17" s="364">
        <v>7.65</v>
      </c>
      <c r="AK17" s="364"/>
      <c r="AL17" s="364">
        <v>7.6171895424836595</v>
      </c>
      <c r="AM17" s="364">
        <f>+AJ17*AL17</f>
        <v>58.271499999999996</v>
      </c>
      <c r="AN17" s="36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364"/>
      <c r="AJ18" s="364"/>
      <c r="AK18" s="364"/>
      <c r="AL18" s="364"/>
      <c r="AM18" s="364"/>
      <c r="AN18" s="365"/>
      <c r="AO18" s="27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361" t="s">
        <v>435</v>
      </c>
      <c r="AJ19" s="362">
        <v>2.1</v>
      </c>
      <c r="AK19" s="363"/>
      <c r="AL19" s="363">
        <v>6.1</v>
      </c>
      <c r="AM19" s="363">
        <f>+AL19*AJ19</f>
        <v>12.81</v>
      </c>
      <c r="AN19" s="365">
        <f>+AM20+AM19</f>
        <v>62.18</v>
      </c>
    </row>
    <row r="20" spans="1:41" ht="15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364"/>
      <c r="AJ20" s="364">
        <v>7.52</v>
      </c>
      <c r="AK20" s="364"/>
      <c r="AL20" s="364">
        <v>6.5651595744680851</v>
      </c>
      <c r="AM20" s="364">
        <f>+AL20*AJ20</f>
        <v>49.37</v>
      </c>
      <c r="AN20" s="36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364"/>
      <c r="AJ21" s="364"/>
      <c r="AK21" s="364"/>
      <c r="AL21" s="364"/>
      <c r="AM21" s="364"/>
      <c r="AN21" s="365"/>
      <c r="AO21" s="27"/>
    </row>
    <row r="22" spans="1:41" ht="30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361" t="s">
        <v>436</v>
      </c>
      <c r="AJ22" s="362">
        <v>5.05</v>
      </c>
      <c r="AK22" s="363"/>
      <c r="AL22" s="363">
        <v>9.42</v>
      </c>
      <c r="AM22" s="363">
        <f>+AL22*AJ22</f>
        <v>47.570999999999998</v>
      </c>
      <c r="AN22" s="365">
        <f>+AM22+AM23</f>
        <v>87.42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364"/>
      <c r="AJ23" s="364">
        <v>6.149537037037037</v>
      </c>
      <c r="AK23" s="364"/>
      <c r="AL23" s="364">
        <v>6.48</v>
      </c>
      <c r="AM23" s="364">
        <f>+AL23*AJ23</f>
        <v>39.849000000000004</v>
      </c>
      <c r="AN23" s="36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364"/>
      <c r="AJ24" s="364"/>
      <c r="AK24" s="364"/>
      <c r="AL24" s="364"/>
      <c r="AM24" s="364"/>
      <c r="AN24" s="365"/>
      <c r="AO24" s="27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361" t="s">
        <v>437</v>
      </c>
      <c r="AJ25" s="362">
        <v>2.6</v>
      </c>
      <c r="AK25" s="362"/>
      <c r="AL25" s="363">
        <v>7.53</v>
      </c>
      <c r="AM25" s="363">
        <f>+AL25*AJ25</f>
        <v>19.578000000000003</v>
      </c>
      <c r="AN25" s="365">
        <f>+AM26+AM25</f>
        <v>67.919999999999987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364"/>
      <c r="AJ26" s="364">
        <v>5.78</v>
      </c>
      <c r="AK26" s="364"/>
      <c r="AL26" s="364">
        <v>8.3636678200692014</v>
      </c>
      <c r="AM26" s="364">
        <f>+AL26*AJ26</f>
        <v>48.341999999999985</v>
      </c>
      <c r="AN26" s="36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282"/>
      <c r="AH27" s="283"/>
      <c r="AI27" s="364"/>
      <c r="AJ27" s="364"/>
      <c r="AK27" s="364"/>
      <c r="AL27" s="364"/>
      <c r="AM27" s="364"/>
      <c r="AN27" s="365"/>
      <c r="AO27" s="27"/>
    </row>
    <row r="28" spans="1:41" ht="30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361" t="s">
        <v>438</v>
      </c>
      <c r="AJ28" s="362">
        <v>4.3495192307692312</v>
      </c>
      <c r="AK28" s="362"/>
      <c r="AL28" s="363">
        <v>20.8</v>
      </c>
      <c r="AM28" s="364"/>
      <c r="AN28" s="368">
        <f>+AJ28*AL28</f>
        <v>90.470000000000013</v>
      </c>
      <c r="AO28" s="27"/>
    </row>
    <row r="29" spans="1:41" ht="30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361" t="s">
        <v>439</v>
      </c>
      <c r="AJ29" s="362">
        <v>10.458113207547168</v>
      </c>
      <c r="AK29" s="363"/>
      <c r="AL29" s="363">
        <v>5.3</v>
      </c>
      <c r="AM29" s="363">
        <f>+AL29*AJ29</f>
        <v>55.42799999999999</v>
      </c>
      <c r="AN29" s="365">
        <f>+AM29+AM30+AM31</f>
        <v>69.709999999999994</v>
      </c>
      <c r="AO29" s="27"/>
    </row>
    <row r="30" spans="1:41" ht="15.75" customHeight="1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364"/>
      <c r="AJ30" s="364">
        <v>3.23</v>
      </c>
      <c r="AK30" s="364"/>
      <c r="AL30" s="364">
        <v>3.4</v>
      </c>
      <c r="AM30" s="363">
        <f t="shared" ref="AM30:AM31" si="0">+AL30*AJ30</f>
        <v>10.981999999999999</v>
      </c>
      <c r="AN30" s="36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364"/>
      <c r="AJ31" s="364">
        <v>1.2</v>
      </c>
      <c r="AK31" s="364"/>
      <c r="AL31" s="364">
        <v>2.75</v>
      </c>
      <c r="AM31" s="363">
        <f t="shared" si="0"/>
        <v>3.3</v>
      </c>
      <c r="AN31" s="365"/>
    </row>
    <row r="32" spans="1:41" ht="30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361" t="s">
        <v>440</v>
      </c>
      <c r="AJ32" s="362">
        <v>6.73</v>
      </c>
      <c r="AK32" s="362"/>
      <c r="AL32" s="363">
        <v>5.1456166419019329</v>
      </c>
      <c r="AM32" s="364"/>
      <c r="AN32" s="368">
        <f>+AL32*AJ32</f>
        <v>34.63000000000001</v>
      </c>
    </row>
    <row r="33" spans="1:41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361"/>
      <c r="AJ33" s="366"/>
      <c r="AK33" s="367"/>
      <c r="AL33" s="367"/>
      <c r="AM33" s="367"/>
      <c r="AN33" s="367"/>
    </row>
    <row r="34" spans="1:41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358"/>
      <c r="AJ34" s="358"/>
      <c r="AK34" s="358"/>
      <c r="AL34" s="358"/>
      <c r="AM34" s="358"/>
      <c r="AN34" s="358"/>
      <c r="AO34" s="27"/>
    </row>
    <row r="35" spans="1:41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2"/>
      <c r="AL35" s="13"/>
      <c r="AM35" s="13"/>
      <c r="AN35" s="15"/>
    </row>
    <row r="36" spans="1:41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4"/>
      <c r="AH36" s="505"/>
      <c r="AI36" s="28"/>
      <c r="AJ36" s="12"/>
      <c r="AK36" s="13"/>
      <c r="AL36" s="13"/>
      <c r="AM36" s="14"/>
      <c r="AN36" s="15"/>
    </row>
    <row r="37" spans="1:41" ht="16.5" customHeight="1" thickBot="1" x14ac:dyDescent="0.25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24"/>
      <c r="AH37" s="525"/>
      <c r="AI37" s="18"/>
      <c r="AJ37" s="19"/>
      <c r="AK37" s="19"/>
      <c r="AL37" s="19"/>
      <c r="AM37" s="19"/>
      <c r="AN37" s="20"/>
    </row>
    <row r="38" spans="1:41" ht="1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44" t="s">
        <v>31</v>
      </c>
      <c r="AH38" s="545"/>
      <c r="AI38" s="545"/>
      <c r="AJ38" s="545"/>
      <c r="AK38" s="545"/>
      <c r="AL38" s="545"/>
      <c r="AM38" s="546"/>
      <c r="AN38" s="357">
        <f>SUM(AN12:AN37)</f>
        <v>488.57</v>
      </c>
    </row>
    <row r="39" spans="1:41" ht="1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47"/>
      <c r="AH39" s="548"/>
      <c r="AI39" s="548"/>
      <c r="AJ39" s="548"/>
      <c r="AK39" s="548"/>
      <c r="AL39" s="548"/>
      <c r="AM39" s="549"/>
      <c r="AN39" s="22"/>
    </row>
    <row r="40" spans="1:41" ht="18.75" thickBot="1" x14ac:dyDescent="0.3">
      <c r="A40" s="490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  <c r="X40" s="493"/>
      <c r="Y40" s="493"/>
      <c r="Z40" s="493"/>
      <c r="AA40" s="493"/>
      <c r="AB40" s="493"/>
      <c r="AC40" s="493"/>
      <c r="AD40" s="493"/>
      <c r="AE40" s="493"/>
      <c r="AF40" s="492"/>
      <c r="AG40" s="521" t="s">
        <v>32</v>
      </c>
      <c r="AH40" s="522"/>
      <c r="AI40" s="522"/>
      <c r="AJ40" s="522"/>
      <c r="AK40" s="522"/>
      <c r="AL40" s="522"/>
      <c r="AM40" s="523"/>
      <c r="AN40" s="312">
        <f>ROUND(SUM(AN38:AN39),2)</f>
        <v>488.57</v>
      </c>
    </row>
    <row r="41" spans="1:41" ht="15.75" customHeight="1" x14ac:dyDescent="0.2">
      <c r="A41" s="33"/>
      <c r="B41" s="24"/>
      <c r="C41" s="34"/>
      <c r="D41" s="34"/>
      <c r="E41" s="34"/>
      <c r="F41" s="34"/>
      <c r="G41" s="34"/>
      <c r="H41" s="35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J41" s="36"/>
      <c r="AK41" s="25"/>
      <c r="AL41" s="34"/>
      <c r="AM41" s="34"/>
      <c r="AN41" s="37"/>
    </row>
    <row r="42" spans="1:41" ht="15.75" customHeight="1" x14ac:dyDescent="0.2">
      <c r="A42" s="23"/>
      <c r="B42" s="293"/>
      <c r="C42" s="294"/>
      <c r="D42" s="294"/>
      <c r="E42" s="294"/>
      <c r="F42" s="294"/>
      <c r="G42" s="294"/>
      <c r="H42" s="295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296"/>
      <c r="AJ42" s="297"/>
      <c r="AK42" s="295"/>
      <c r="AL42" s="294"/>
      <c r="AM42" s="294"/>
      <c r="AN42" s="26"/>
    </row>
    <row r="43" spans="1:41" ht="15.75" customHeight="1" x14ac:dyDescent="0.2">
      <c r="A43" s="23"/>
      <c r="B43" s="293"/>
      <c r="C43" s="294"/>
      <c r="D43" s="294"/>
      <c r="E43" s="294"/>
      <c r="F43" s="294"/>
      <c r="G43" s="294"/>
      <c r="H43" s="295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297"/>
      <c r="AJ43" s="297"/>
      <c r="AK43" s="295"/>
      <c r="AL43" s="294"/>
      <c r="AM43" s="294"/>
      <c r="AN43" s="26"/>
    </row>
    <row r="44" spans="1:41" ht="15" customHeight="1" x14ac:dyDescent="0.2">
      <c r="A44" s="23"/>
      <c r="B44" s="293"/>
      <c r="C44" s="294"/>
      <c r="D44" s="294"/>
      <c r="E44" s="294"/>
      <c r="F44" s="294"/>
      <c r="G44" s="294"/>
      <c r="H44" s="295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  <c r="AG44" s="305"/>
      <c r="AH44" s="305"/>
      <c r="AI44" s="296"/>
      <c r="AJ44" s="297"/>
      <c r="AK44" s="295"/>
      <c r="AL44" s="294"/>
      <c r="AM44" s="294"/>
      <c r="AN44" s="26"/>
    </row>
    <row r="45" spans="1:41" ht="13.15" customHeight="1" x14ac:dyDescent="0.2">
      <c r="A45" s="23"/>
      <c r="B45" s="293"/>
      <c r="C45" s="294"/>
      <c r="D45" s="294"/>
      <c r="E45" s="294"/>
      <c r="F45" s="294"/>
      <c r="G45" s="294"/>
      <c r="H45" s="295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  <c r="AG45" s="305"/>
      <c r="AH45" s="305"/>
      <c r="AI45" s="296"/>
      <c r="AJ45" s="297"/>
      <c r="AK45" s="295"/>
      <c r="AL45" s="294"/>
      <c r="AM45" s="294"/>
      <c r="AN45" s="26"/>
    </row>
    <row r="46" spans="1:41" ht="13.15" customHeight="1" x14ac:dyDescent="0.2">
      <c r="A46" s="23"/>
      <c r="B46" s="293"/>
      <c r="C46" s="294"/>
      <c r="D46" s="294"/>
      <c r="E46" s="294"/>
      <c r="F46" s="294"/>
      <c r="G46" s="294"/>
      <c r="H46" s="295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  <c r="AG46" s="305"/>
      <c r="AH46" s="305"/>
      <c r="AI46" s="539"/>
      <c r="AJ46" s="539"/>
      <c r="AK46" s="539"/>
      <c r="AL46" s="539"/>
      <c r="AM46" s="539"/>
      <c r="AN46" s="540"/>
    </row>
    <row r="47" spans="1:41" ht="13.15" customHeight="1" x14ac:dyDescent="0.2">
      <c r="A47" s="541"/>
      <c r="B47" s="542"/>
      <c r="C47" s="542"/>
      <c r="D47" s="542"/>
      <c r="E47" s="542"/>
      <c r="F47" s="542"/>
      <c r="G47" s="542"/>
      <c r="H47" s="542"/>
      <c r="I47" s="542"/>
      <c r="J47" s="542"/>
      <c r="K47" s="542"/>
      <c r="L47" s="542"/>
      <c r="M47" s="542"/>
      <c r="N47" s="542"/>
      <c r="O47" s="542"/>
      <c r="P47" s="542"/>
      <c r="Q47" s="542"/>
      <c r="R47" s="542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539" t="s">
        <v>396</v>
      </c>
      <c r="AJ47" s="539"/>
      <c r="AK47" s="539"/>
      <c r="AL47" s="539"/>
      <c r="AM47" s="539"/>
      <c r="AN47" s="540"/>
    </row>
    <row r="48" spans="1:41" ht="12.75" customHeight="1" x14ac:dyDescent="0.2">
      <c r="A48" s="541"/>
      <c r="B48" s="542"/>
      <c r="C48" s="542"/>
      <c r="D48" s="542"/>
      <c r="E48" s="542"/>
      <c r="F48" s="542"/>
      <c r="G48" s="542"/>
      <c r="H48" s="542"/>
      <c r="I48" s="542"/>
      <c r="J48" s="542"/>
      <c r="K48" s="542"/>
      <c r="L48" s="542"/>
      <c r="M48" s="542"/>
      <c r="N48" s="542"/>
      <c r="O48" s="542"/>
      <c r="P48" s="542"/>
      <c r="Q48" s="542"/>
      <c r="R48" s="542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539" t="s">
        <v>409</v>
      </c>
      <c r="AJ48" s="539"/>
      <c r="AK48" s="539"/>
      <c r="AL48" s="539"/>
      <c r="AM48" s="539"/>
      <c r="AN48" s="540"/>
    </row>
    <row r="49" spans="1:40" ht="13.5" customHeight="1" thickBot="1" x14ac:dyDescent="0.25">
      <c r="A49" s="532"/>
      <c r="B49" s="533"/>
      <c r="C49" s="533"/>
      <c r="D49" s="533"/>
      <c r="E49" s="533"/>
      <c r="F49" s="533"/>
      <c r="G49" s="533"/>
      <c r="H49" s="533"/>
      <c r="I49" s="533"/>
      <c r="J49" s="533"/>
      <c r="K49" s="533"/>
      <c r="L49" s="533"/>
      <c r="M49" s="533"/>
      <c r="N49" s="533"/>
      <c r="O49" s="533"/>
      <c r="P49" s="533"/>
      <c r="Q49" s="533"/>
      <c r="R49" s="533"/>
      <c r="S49" s="311"/>
      <c r="T49" s="311"/>
      <c r="U49" s="311"/>
      <c r="V49" s="311"/>
      <c r="W49" s="311"/>
      <c r="X49" s="311"/>
      <c r="Y49" s="311"/>
      <c r="Z49" s="311"/>
      <c r="AA49" s="311"/>
      <c r="AB49" s="311"/>
      <c r="AC49" s="311"/>
      <c r="AD49" s="311"/>
      <c r="AE49" s="311"/>
      <c r="AF49" s="311"/>
      <c r="AG49" s="311"/>
      <c r="AH49" s="311"/>
      <c r="AI49" s="536" t="s">
        <v>411</v>
      </c>
      <c r="AJ49" s="536"/>
      <c r="AK49" s="536"/>
      <c r="AL49" s="536"/>
      <c r="AM49" s="536"/>
      <c r="AN49" s="537"/>
    </row>
  </sheetData>
  <mergeCells count="75">
    <mergeCell ref="A47:R47"/>
    <mergeCell ref="AI47:AN47"/>
    <mergeCell ref="A48:R48"/>
    <mergeCell ref="AI48:AN48"/>
    <mergeCell ref="A49:R49"/>
    <mergeCell ref="AI49:AN49"/>
    <mergeCell ref="AG37:AH37"/>
    <mergeCell ref="AG38:AM38"/>
    <mergeCell ref="AG39:AM39"/>
    <mergeCell ref="AG40:AM40"/>
    <mergeCell ref="AI46:AN46"/>
    <mergeCell ref="AG36:AH36"/>
    <mergeCell ref="AG30:AH30"/>
    <mergeCell ref="AG31:AH31"/>
    <mergeCell ref="AG32:AH32"/>
    <mergeCell ref="AG33:AH33"/>
    <mergeCell ref="AG34:AH34"/>
    <mergeCell ref="AG35:AH3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M9:AN9"/>
    <mergeCell ref="A10:AF40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4" fitToWidth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AP43"/>
  <sheetViews>
    <sheetView view="pageBreakPreview" topLeftCell="A10" zoomScale="70" zoomScaleNormal="55" zoomScaleSheetLayoutView="70" workbookViewId="0">
      <selection activeCell="A10" sqref="A10:AF34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625" style="1" customWidth="1"/>
    <col min="35" max="35" width="12.75" style="1" bestFit="1" customWidth="1"/>
    <col min="36" max="36" width="7.5" style="1" bestFit="1" customWidth="1"/>
    <col min="37" max="37" width="5.5" style="1" bestFit="1" customWidth="1"/>
    <col min="38" max="38" width="11.25" style="1" bestFit="1" customWidth="1"/>
    <col min="39" max="39" width="5.625" style="1" bestFit="1" customWidth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42</v>
      </c>
      <c r="B9" s="507"/>
      <c r="C9" s="507"/>
      <c r="D9" s="507"/>
      <c r="E9" s="507"/>
      <c r="F9" s="507"/>
      <c r="G9" s="507"/>
      <c r="H9" s="508" t="s">
        <v>17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Adecuación'!C11</f>
        <v>DESMONTES (PUERTAS)</v>
      </c>
      <c r="AF9" s="512"/>
      <c r="AG9" s="513"/>
      <c r="AH9" s="513"/>
      <c r="AI9" s="514"/>
      <c r="AJ9" s="284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0" t="s">
        <v>390</v>
      </c>
      <c r="AJ13" s="271"/>
      <c r="AK13" s="272"/>
      <c r="AL13" s="272"/>
      <c r="AM13" s="273"/>
      <c r="AN13" s="274"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5"/>
      <c r="AJ14" s="276"/>
      <c r="AK14" s="277"/>
      <c r="AL14" s="277"/>
      <c r="AM14" s="273"/>
      <c r="AN14" s="274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>
        <v>0</v>
      </c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/>
      <c r="AJ16" s="276"/>
      <c r="AK16" s="277"/>
      <c r="AL16" s="277"/>
      <c r="AM16" s="273"/>
      <c r="AN16" s="274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/>
      <c r="AJ17" s="276"/>
      <c r="AK17" s="277"/>
      <c r="AL17" s="277"/>
      <c r="AM17" s="273"/>
      <c r="AN17" s="274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/>
      <c r="AJ18" s="276"/>
      <c r="AK18" s="277"/>
      <c r="AL18" s="277"/>
      <c r="AM18" s="273"/>
      <c r="AN18" s="274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75"/>
      <c r="AJ19" s="276"/>
      <c r="AK19" s="276"/>
      <c r="AL19" s="277"/>
      <c r="AM19" s="277"/>
      <c r="AN19" s="274"/>
    </row>
    <row r="20" spans="1:41" ht="33.6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75"/>
      <c r="AJ20" s="276"/>
      <c r="AK20" s="276"/>
      <c r="AL20" s="277"/>
      <c r="AM20" s="277"/>
      <c r="AN20" s="274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75"/>
      <c r="AJ21" s="276"/>
      <c r="AK21" s="277"/>
      <c r="AL21" s="277"/>
      <c r="AM21" s="273"/>
      <c r="AN21" s="274"/>
    </row>
    <row r="22" spans="1:41" ht="33.6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75"/>
      <c r="AJ22" s="276"/>
      <c r="AK22" s="276"/>
      <c r="AL22" s="277"/>
      <c r="AM22" s="277"/>
      <c r="AN22" s="274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282"/>
      <c r="AH27" s="283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.75" customHeight="1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6.5" customHeight="1" thickBot="1" x14ac:dyDescent="0.25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24"/>
      <c r="AH31" s="525"/>
      <c r="AI31" s="18"/>
      <c r="AJ31" s="19"/>
      <c r="AK31" s="19"/>
      <c r="AL31" s="19"/>
      <c r="AM31" s="19"/>
      <c r="AN31" s="20"/>
    </row>
    <row r="32" spans="1:41" ht="1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44" t="s">
        <v>31</v>
      </c>
      <c r="AH32" s="545"/>
      <c r="AI32" s="545"/>
      <c r="AJ32" s="545"/>
      <c r="AK32" s="545"/>
      <c r="AL32" s="545"/>
      <c r="AM32" s="546"/>
      <c r="AN32" s="21">
        <f>SUM(AN12:AN31)</f>
        <v>2</v>
      </c>
    </row>
    <row r="33" spans="1:40" ht="1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47"/>
      <c r="AH33" s="548"/>
      <c r="AI33" s="548"/>
      <c r="AJ33" s="548"/>
      <c r="AK33" s="548"/>
      <c r="AL33" s="548"/>
      <c r="AM33" s="549"/>
      <c r="AN33" s="22"/>
    </row>
    <row r="34" spans="1:40" ht="18.75" thickBot="1" x14ac:dyDescent="0.3">
      <c r="A34" s="490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3"/>
      <c r="T34" s="493"/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2"/>
      <c r="AG34" s="521" t="s">
        <v>32</v>
      </c>
      <c r="AH34" s="522"/>
      <c r="AI34" s="522"/>
      <c r="AJ34" s="522"/>
      <c r="AK34" s="522"/>
      <c r="AL34" s="522"/>
      <c r="AM34" s="523"/>
      <c r="AN34" s="312">
        <f>ROUND(SUM(AN32:AN33),2)</f>
        <v>2</v>
      </c>
    </row>
    <row r="35" spans="1:40" ht="15.75" customHeight="1" x14ac:dyDescent="0.2">
      <c r="A35" s="33"/>
      <c r="B35" s="24"/>
      <c r="C35" s="34"/>
      <c r="D35" s="34"/>
      <c r="E35" s="34"/>
      <c r="F35" s="34"/>
      <c r="G35" s="34"/>
      <c r="H35" s="35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  <c r="AG35" s="309"/>
      <c r="AH35" s="309"/>
      <c r="AI35" s="25"/>
      <c r="AJ35" s="36"/>
      <c r="AK35" s="35"/>
      <c r="AL35" s="34"/>
      <c r="AM35" s="34"/>
      <c r="AN35" s="37"/>
    </row>
    <row r="36" spans="1:40" ht="15.75" customHeight="1" x14ac:dyDescent="0.2">
      <c r="A36" s="23"/>
      <c r="B36" s="293"/>
      <c r="C36" s="294"/>
      <c r="D36" s="294"/>
      <c r="E36" s="294"/>
      <c r="F36" s="294"/>
      <c r="G36" s="294"/>
      <c r="H36" s="295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  <c r="AG36" s="305"/>
      <c r="AH36" s="305"/>
      <c r="AI36" s="296"/>
      <c r="AJ36" s="297"/>
      <c r="AK36" s="295"/>
      <c r="AL36" s="294"/>
      <c r="AM36" s="294"/>
      <c r="AN36" s="26"/>
    </row>
    <row r="37" spans="1:40" ht="15.75" customHeight="1" x14ac:dyDescent="0.2">
      <c r="A37" s="23"/>
      <c r="B37" s="293"/>
      <c r="C37" s="294"/>
      <c r="D37" s="294"/>
      <c r="E37" s="294"/>
      <c r="F37" s="294"/>
      <c r="G37" s="294"/>
      <c r="H37" s="295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296"/>
      <c r="AJ37" s="297"/>
      <c r="AK37" s="295"/>
      <c r="AL37" s="294"/>
      <c r="AM37" s="294"/>
      <c r="AN37" s="26"/>
    </row>
    <row r="38" spans="1:40" ht="15" customHeight="1" x14ac:dyDescent="0.2">
      <c r="A38" s="23"/>
      <c r="B38" s="293"/>
      <c r="C38" s="294"/>
      <c r="D38" s="294"/>
      <c r="E38" s="294"/>
      <c r="F38" s="294"/>
      <c r="G38" s="294"/>
      <c r="H38" s="295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296"/>
      <c r="AJ38" s="297"/>
      <c r="AK38" s="295"/>
      <c r="AL38" s="294"/>
      <c r="AM38" s="294"/>
      <c r="AN38" s="26"/>
    </row>
    <row r="39" spans="1:40" ht="13.15" customHeight="1" x14ac:dyDescent="0.2">
      <c r="A39" s="23"/>
      <c r="B39" s="293"/>
      <c r="C39" s="294"/>
      <c r="D39" s="294"/>
      <c r="E39" s="294"/>
      <c r="F39" s="294"/>
      <c r="G39" s="294"/>
      <c r="H39" s="295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296"/>
      <c r="AJ39" s="297"/>
      <c r="AK39" s="295"/>
      <c r="AL39" s="294"/>
      <c r="AM39" s="294"/>
      <c r="AN39" s="26"/>
    </row>
    <row r="40" spans="1:40" ht="13.15" customHeight="1" x14ac:dyDescent="0.2">
      <c r="A40" s="23"/>
      <c r="B40" s="293"/>
      <c r="C40" s="294"/>
      <c r="D40" s="294"/>
      <c r="E40" s="294"/>
      <c r="F40" s="294"/>
      <c r="G40" s="294"/>
      <c r="H40" s="295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  <c r="AG40" s="305"/>
      <c r="AH40" s="305"/>
      <c r="AI40" s="314"/>
      <c r="AJ40" s="314"/>
      <c r="AK40" s="314"/>
      <c r="AL40" s="314"/>
      <c r="AM40" s="314"/>
      <c r="AN40" s="313"/>
    </row>
    <row r="41" spans="1:40" ht="13.15" customHeight="1" x14ac:dyDescent="0.2">
      <c r="A41" s="306"/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I41" s="294"/>
      <c r="AJ41" s="314"/>
      <c r="AK41" s="314" t="s">
        <v>396</v>
      </c>
      <c r="AL41" s="314"/>
      <c r="AM41" s="314"/>
      <c r="AN41" s="313"/>
    </row>
    <row r="42" spans="1:40" ht="12.75" customHeight="1" x14ac:dyDescent="0.2">
      <c r="A42" s="306"/>
      <c r="B42" s="310"/>
      <c r="C42" s="310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314" t="s">
        <v>398</v>
      </c>
      <c r="AJ42" s="314"/>
      <c r="AK42" s="314"/>
      <c r="AL42" s="314"/>
      <c r="AM42" s="314"/>
      <c r="AN42" s="313"/>
    </row>
    <row r="43" spans="1:40" ht="13.5" customHeight="1" thickBot="1" x14ac:dyDescent="0.25">
      <c r="A43" s="307"/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  <c r="AG43" s="311"/>
      <c r="AH43" s="311"/>
      <c r="AI43" s="326"/>
      <c r="AJ43" s="327" t="s">
        <v>412</v>
      </c>
      <c r="AK43" s="327"/>
      <c r="AL43" s="327"/>
      <c r="AM43" s="327"/>
      <c r="AN43" s="328"/>
    </row>
  </sheetData>
  <mergeCells count="62">
    <mergeCell ref="AG31:AH31"/>
    <mergeCell ref="AG32:AM32"/>
    <mergeCell ref="AG33:AM33"/>
    <mergeCell ref="AG34:AM34"/>
    <mergeCell ref="A10:AF34"/>
    <mergeCell ref="AG30:AH30"/>
    <mergeCell ref="AG23:AH23"/>
    <mergeCell ref="AG24:AH24"/>
    <mergeCell ref="AG25:AH25"/>
    <mergeCell ref="AG26:AH26"/>
    <mergeCell ref="AG28:AH28"/>
    <mergeCell ref="AG29:AH29"/>
    <mergeCell ref="AG22:AH22"/>
    <mergeCell ref="AG16:AH16"/>
    <mergeCell ref="AG17:AH17"/>
    <mergeCell ref="AG18:AH18"/>
    <mergeCell ref="AN10:AN11"/>
    <mergeCell ref="AG12:AH12"/>
    <mergeCell ref="AG13:AH13"/>
    <mergeCell ref="AG14:AH14"/>
    <mergeCell ref="AG15:AH15"/>
    <mergeCell ref="AG10:AH11"/>
    <mergeCell ref="AI10:AI11"/>
    <mergeCell ref="AJ10:AL10"/>
    <mergeCell ref="AM10:AM11"/>
    <mergeCell ref="AG19:AH19"/>
    <mergeCell ref="AG20:AH20"/>
    <mergeCell ref="AG21:AH21"/>
    <mergeCell ref="A9:G9"/>
    <mergeCell ref="H9:T9"/>
    <mergeCell ref="U9:AD9"/>
    <mergeCell ref="AE9:AI9"/>
    <mergeCell ref="AM9:AN9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60" fitToWidth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AP54"/>
  <sheetViews>
    <sheetView view="pageBreakPreview" topLeftCell="D10" zoomScale="70" zoomScaleNormal="55" zoomScaleSheetLayoutView="70" workbookViewId="0">
      <selection activeCell="AO16" sqref="AO16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.25" style="1"/>
    <col min="38" max="38" width="11.75" style="1" customWidth="1"/>
    <col min="39" max="39" width="11.25" style="1"/>
    <col min="40" max="40" width="12.75" style="1" bestFit="1" customWidth="1"/>
    <col min="41" max="41" width="13.375" style="1" bestFit="1" customWidth="1"/>
    <col min="42" max="256" width="11.25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.25" style="1"/>
    <col min="294" max="294" width="11.75" style="1" customWidth="1"/>
    <col min="295" max="295" width="11.25" style="1"/>
    <col min="296" max="296" width="12.75" style="1" bestFit="1" customWidth="1"/>
    <col min="297" max="512" width="11.25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.25" style="1"/>
    <col min="550" max="550" width="11.75" style="1" customWidth="1"/>
    <col min="551" max="551" width="11.25" style="1"/>
    <col min="552" max="552" width="12.75" style="1" bestFit="1" customWidth="1"/>
    <col min="553" max="768" width="11.25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.25" style="1"/>
    <col min="806" max="806" width="11.75" style="1" customWidth="1"/>
    <col min="807" max="807" width="11.25" style="1"/>
    <col min="808" max="808" width="12.75" style="1" bestFit="1" customWidth="1"/>
    <col min="809" max="1024" width="11.25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.25" style="1"/>
    <col min="1062" max="1062" width="11.75" style="1" customWidth="1"/>
    <col min="1063" max="1063" width="11.25" style="1"/>
    <col min="1064" max="1064" width="12.75" style="1" bestFit="1" customWidth="1"/>
    <col min="1065" max="1280" width="11.25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.25" style="1"/>
    <col min="1318" max="1318" width="11.75" style="1" customWidth="1"/>
    <col min="1319" max="1319" width="11.25" style="1"/>
    <col min="1320" max="1320" width="12.75" style="1" bestFit="1" customWidth="1"/>
    <col min="1321" max="1536" width="11.25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.25" style="1"/>
    <col min="1574" max="1574" width="11.75" style="1" customWidth="1"/>
    <col min="1575" max="1575" width="11.25" style="1"/>
    <col min="1576" max="1576" width="12.75" style="1" bestFit="1" customWidth="1"/>
    <col min="1577" max="1792" width="11.25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.25" style="1"/>
    <col min="1830" max="1830" width="11.75" style="1" customWidth="1"/>
    <col min="1831" max="1831" width="11.25" style="1"/>
    <col min="1832" max="1832" width="12.75" style="1" bestFit="1" customWidth="1"/>
    <col min="1833" max="2048" width="11.25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.25" style="1"/>
    <col min="2086" max="2086" width="11.75" style="1" customWidth="1"/>
    <col min="2087" max="2087" width="11.25" style="1"/>
    <col min="2088" max="2088" width="12.75" style="1" bestFit="1" customWidth="1"/>
    <col min="2089" max="2304" width="11.25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.25" style="1"/>
    <col min="2342" max="2342" width="11.75" style="1" customWidth="1"/>
    <col min="2343" max="2343" width="11.25" style="1"/>
    <col min="2344" max="2344" width="12.75" style="1" bestFit="1" customWidth="1"/>
    <col min="2345" max="2560" width="11.25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.25" style="1"/>
    <col min="2598" max="2598" width="11.75" style="1" customWidth="1"/>
    <col min="2599" max="2599" width="11.25" style="1"/>
    <col min="2600" max="2600" width="12.75" style="1" bestFit="1" customWidth="1"/>
    <col min="2601" max="2816" width="11.25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.25" style="1"/>
    <col min="2854" max="2854" width="11.75" style="1" customWidth="1"/>
    <col min="2855" max="2855" width="11.25" style="1"/>
    <col min="2856" max="2856" width="12.75" style="1" bestFit="1" customWidth="1"/>
    <col min="2857" max="3072" width="11.25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.25" style="1"/>
    <col min="3110" max="3110" width="11.75" style="1" customWidth="1"/>
    <col min="3111" max="3111" width="11.25" style="1"/>
    <col min="3112" max="3112" width="12.75" style="1" bestFit="1" customWidth="1"/>
    <col min="3113" max="3328" width="11.25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.25" style="1"/>
    <col min="3366" max="3366" width="11.75" style="1" customWidth="1"/>
    <col min="3367" max="3367" width="11.25" style="1"/>
    <col min="3368" max="3368" width="12.75" style="1" bestFit="1" customWidth="1"/>
    <col min="3369" max="3584" width="11.25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.25" style="1"/>
    <col min="3622" max="3622" width="11.75" style="1" customWidth="1"/>
    <col min="3623" max="3623" width="11.25" style="1"/>
    <col min="3624" max="3624" width="12.75" style="1" bestFit="1" customWidth="1"/>
    <col min="3625" max="3840" width="11.25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.25" style="1"/>
    <col min="3878" max="3878" width="11.75" style="1" customWidth="1"/>
    <col min="3879" max="3879" width="11.25" style="1"/>
    <col min="3880" max="3880" width="12.75" style="1" bestFit="1" customWidth="1"/>
    <col min="3881" max="4096" width="11.25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.25" style="1"/>
    <col min="4134" max="4134" width="11.75" style="1" customWidth="1"/>
    <col min="4135" max="4135" width="11.25" style="1"/>
    <col min="4136" max="4136" width="12.75" style="1" bestFit="1" customWidth="1"/>
    <col min="4137" max="4352" width="11.25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.25" style="1"/>
    <col min="4390" max="4390" width="11.75" style="1" customWidth="1"/>
    <col min="4391" max="4391" width="11.25" style="1"/>
    <col min="4392" max="4392" width="12.75" style="1" bestFit="1" customWidth="1"/>
    <col min="4393" max="4608" width="11.25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.25" style="1"/>
    <col min="4646" max="4646" width="11.75" style="1" customWidth="1"/>
    <col min="4647" max="4647" width="11.25" style="1"/>
    <col min="4648" max="4648" width="12.75" style="1" bestFit="1" customWidth="1"/>
    <col min="4649" max="4864" width="11.25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.25" style="1"/>
    <col min="4902" max="4902" width="11.75" style="1" customWidth="1"/>
    <col min="4903" max="4903" width="11.25" style="1"/>
    <col min="4904" max="4904" width="12.75" style="1" bestFit="1" customWidth="1"/>
    <col min="4905" max="5120" width="11.25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.25" style="1"/>
    <col min="5158" max="5158" width="11.75" style="1" customWidth="1"/>
    <col min="5159" max="5159" width="11.25" style="1"/>
    <col min="5160" max="5160" width="12.75" style="1" bestFit="1" customWidth="1"/>
    <col min="5161" max="5376" width="11.25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.25" style="1"/>
    <col min="5414" max="5414" width="11.75" style="1" customWidth="1"/>
    <col min="5415" max="5415" width="11.25" style="1"/>
    <col min="5416" max="5416" width="12.75" style="1" bestFit="1" customWidth="1"/>
    <col min="5417" max="5632" width="11.25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.25" style="1"/>
    <col min="5670" max="5670" width="11.75" style="1" customWidth="1"/>
    <col min="5671" max="5671" width="11.25" style="1"/>
    <col min="5672" max="5672" width="12.75" style="1" bestFit="1" customWidth="1"/>
    <col min="5673" max="5888" width="11.25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.25" style="1"/>
    <col min="5926" max="5926" width="11.75" style="1" customWidth="1"/>
    <col min="5927" max="5927" width="11.25" style="1"/>
    <col min="5928" max="5928" width="12.75" style="1" bestFit="1" customWidth="1"/>
    <col min="5929" max="6144" width="11.25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.25" style="1"/>
    <col min="6182" max="6182" width="11.75" style="1" customWidth="1"/>
    <col min="6183" max="6183" width="11.25" style="1"/>
    <col min="6184" max="6184" width="12.75" style="1" bestFit="1" customWidth="1"/>
    <col min="6185" max="6400" width="11.25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.25" style="1"/>
    <col min="6438" max="6438" width="11.75" style="1" customWidth="1"/>
    <col min="6439" max="6439" width="11.25" style="1"/>
    <col min="6440" max="6440" width="12.75" style="1" bestFit="1" customWidth="1"/>
    <col min="6441" max="6656" width="11.25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.25" style="1"/>
    <col min="6694" max="6694" width="11.75" style="1" customWidth="1"/>
    <col min="6695" max="6695" width="11.25" style="1"/>
    <col min="6696" max="6696" width="12.75" style="1" bestFit="1" customWidth="1"/>
    <col min="6697" max="6912" width="11.25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.25" style="1"/>
    <col min="6950" max="6950" width="11.75" style="1" customWidth="1"/>
    <col min="6951" max="6951" width="11.25" style="1"/>
    <col min="6952" max="6952" width="12.75" style="1" bestFit="1" customWidth="1"/>
    <col min="6953" max="7168" width="11.25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.25" style="1"/>
    <col min="7206" max="7206" width="11.75" style="1" customWidth="1"/>
    <col min="7207" max="7207" width="11.25" style="1"/>
    <col min="7208" max="7208" width="12.75" style="1" bestFit="1" customWidth="1"/>
    <col min="7209" max="7424" width="11.25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.25" style="1"/>
    <col min="7462" max="7462" width="11.75" style="1" customWidth="1"/>
    <col min="7463" max="7463" width="11.25" style="1"/>
    <col min="7464" max="7464" width="12.75" style="1" bestFit="1" customWidth="1"/>
    <col min="7465" max="7680" width="11.25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.25" style="1"/>
    <col min="7718" max="7718" width="11.75" style="1" customWidth="1"/>
    <col min="7719" max="7719" width="11.25" style="1"/>
    <col min="7720" max="7720" width="12.75" style="1" bestFit="1" customWidth="1"/>
    <col min="7721" max="7936" width="11.25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.25" style="1"/>
    <col min="7974" max="7974" width="11.75" style="1" customWidth="1"/>
    <col min="7975" max="7975" width="11.25" style="1"/>
    <col min="7976" max="7976" width="12.75" style="1" bestFit="1" customWidth="1"/>
    <col min="7977" max="8192" width="11.25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.25" style="1"/>
    <col min="8230" max="8230" width="11.75" style="1" customWidth="1"/>
    <col min="8231" max="8231" width="11.25" style="1"/>
    <col min="8232" max="8232" width="12.75" style="1" bestFit="1" customWidth="1"/>
    <col min="8233" max="8448" width="11.25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.25" style="1"/>
    <col min="8486" max="8486" width="11.75" style="1" customWidth="1"/>
    <col min="8487" max="8487" width="11.25" style="1"/>
    <col min="8488" max="8488" width="12.75" style="1" bestFit="1" customWidth="1"/>
    <col min="8489" max="8704" width="11.25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.25" style="1"/>
    <col min="8742" max="8742" width="11.75" style="1" customWidth="1"/>
    <col min="8743" max="8743" width="11.25" style="1"/>
    <col min="8744" max="8744" width="12.75" style="1" bestFit="1" customWidth="1"/>
    <col min="8745" max="8960" width="11.25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.25" style="1"/>
    <col min="8998" max="8998" width="11.75" style="1" customWidth="1"/>
    <col min="8999" max="8999" width="11.25" style="1"/>
    <col min="9000" max="9000" width="12.75" style="1" bestFit="1" customWidth="1"/>
    <col min="9001" max="9216" width="11.25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.25" style="1"/>
    <col min="9254" max="9254" width="11.75" style="1" customWidth="1"/>
    <col min="9255" max="9255" width="11.25" style="1"/>
    <col min="9256" max="9256" width="12.75" style="1" bestFit="1" customWidth="1"/>
    <col min="9257" max="9472" width="11.25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.25" style="1"/>
    <col min="9510" max="9510" width="11.75" style="1" customWidth="1"/>
    <col min="9511" max="9511" width="11.25" style="1"/>
    <col min="9512" max="9512" width="12.75" style="1" bestFit="1" customWidth="1"/>
    <col min="9513" max="9728" width="11.25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.25" style="1"/>
    <col min="9766" max="9766" width="11.75" style="1" customWidth="1"/>
    <col min="9767" max="9767" width="11.25" style="1"/>
    <col min="9768" max="9768" width="12.75" style="1" bestFit="1" customWidth="1"/>
    <col min="9769" max="9984" width="11.25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.25" style="1"/>
    <col min="10022" max="10022" width="11.75" style="1" customWidth="1"/>
    <col min="10023" max="10023" width="11.25" style="1"/>
    <col min="10024" max="10024" width="12.75" style="1" bestFit="1" customWidth="1"/>
    <col min="10025" max="10240" width="11.25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.25" style="1"/>
    <col min="10278" max="10278" width="11.75" style="1" customWidth="1"/>
    <col min="10279" max="10279" width="11.25" style="1"/>
    <col min="10280" max="10280" width="12.75" style="1" bestFit="1" customWidth="1"/>
    <col min="10281" max="10496" width="11.25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.25" style="1"/>
    <col min="10534" max="10534" width="11.75" style="1" customWidth="1"/>
    <col min="10535" max="10535" width="11.25" style="1"/>
    <col min="10536" max="10536" width="12.75" style="1" bestFit="1" customWidth="1"/>
    <col min="10537" max="10752" width="11.25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.25" style="1"/>
    <col min="10790" max="10790" width="11.75" style="1" customWidth="1"/>
    <col min="10791" max="10791" width="11.25" style="1"/>
    <col min="10792" max="10792" width="12.75" style="1" bestFit="1" customWidth="1"/>
    <col min="10793" max="11008" width="11.25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.25" style="1"/>
    <col min="11046" max="11046" width="11.75" style="1" customWidth="1"/>
    <col min="11047" max="11047" width="11.25" style="1"/>
    <col min="11048" max="11048" width="12.75" style="1" bestFit="1" customWidth="1"/>
    <col min="11049" max="11264" width="11.25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.25" style="1"/>
    <col min="11302" max="11302" width="11.75" style="1" customWidth="1"/>
    <col min="11303" max="11303" width="11.25" style="1"/>
    <col min="11304" max="11304" width="12.75" style="1" bestFit="1" customWidth="1"/>
    <col min="11305" max="11520" width="11.25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.25" style="1"/>
    <col min="11558" max="11558" width="11.75" style="1" customWidth="1"/>
    <col min="11559" max="11559" width="11.25" style="1"/>
    <col min="11560" max="11560" width="12.75" style="1" bestFit="1" customWidth="1"/>
    <col min="11561" max="11776" width="11.25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.25" style="1"/>
    <col min="11814" max="11814" width="11.75" style="1" customWidth="1"/>
    <col min="11815" max="11815" width="11.25" style="1"/>
    <col min="11816" max="11816" width="12.75" style="1" bestFit="1" customWidth="1"/>
    <col min="11817" max="12032" width="11.25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.25" style="1"/>
    <col min="12070" max="12070" width="11.75" style="1" customWidth="1"/>
    <col min="12071" max="12071" width="11.25" style="1"/>
    <col min="12072" max="12072" width="12.75" style="1" bestFit="1" customWidth="1"/>
    <col min="12073" max="12288" width="11.25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.25" style="1"/>
    <col min="12326" max="12326" width="11.75" style="1" customWidth="1"/>
    <col min="12327" max="12327" width="11.25" style="1"/>
    <col min="12328" max="12328" width="12.75" style="1" bestFit="1" customWidth="1"/>
    <col min="12329" max="12544" width="11.25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.25" style="1"/>
    <col min="12582" max="12582" width="11.75" style="1" customWidth="1"/>
    <col min="12583" max="12583" width="11.25" style="1"/>
    <col min="12584" max="12584" width="12.75" style="1" bestFit="1" customWidth="1"/>
    <col min="12585" max="12800" width="11.25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.25" style="1"/>
    <col min="12838" max="12838" width="11.75" style="1" customWidth="1"/>
    <col min="12839" max="12839" width="11.25" style="1"/>
    <col min="12840" max="12840" width="12.75" style="1" bestFit="1" customWidth="1"/>
    <col min="12841" max="13056" width="11.25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.25" style="1"/>
    <col min="13094" max="13094" width="11.75" style="1" customWidth="1"/>
    <col min="13095" max="13095" width="11.25" style="1"/>
    <col min="13096" max="13096" width="12.75" style="1" bestFit="1" customWidth="1"/>
    <col min="13097" max="13312" width="11.25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.25" style="1"/>
    <col min="13350" max="13350" width="11.75" style="1" customWidth="1"/>
    <col min="13351" max="13351" width="11.25" style="1"/>
    <col min="13352" max="13352" width="12.75" style="1" bestFit="1" customWidth="1"/>
    <col min="13353" max="13568" width="11.25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.25" style="1"/>
    <col min="13606" max="13606" width="11.75" style="1" customWidth="1"/>
    <col min="13607" max="13607" width="11.25" style="1"/>
    <col min="13608" max="13608" width="12.75" style="1" bestFit="1" customWidth="1"/>
    <col min="13609" max="13824" width="11.25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.25" style="1"/>
    <col min="13862" max="13862" width="11.75" style="1" customWidth="1"/>
    <col min="13863" max="13863" width="11.25" style="1"/>
    <col min="13864" max="13864" width="12.75" style="1" bestFit="1" customWidth="1"/>
    <col min="13865" max="14080" width="11.25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.25" style="1"/>
    <col min="14118" max="14118" width="11.75" style="1" customWidth="1"/>
    <col min="14119" max="14119" width="11.25" style="1"/>
    <col min="14120" max="14120" width="12.75" style="1" bestFit="1" customWidth="1"/>
    <col min="14121" max="14336" width="11.25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.25" style="1"/>
    <col min="14374" max="14374" width="11.75" style="1" customWidth="1"/>
    <col min="14375" max="14375" width="11.25" style="1"/>
    <col min="14376" max="14376" width="12.75" style="1" bestFit="1" customWidth="1"/>
    <col min="14377" max="14592" width="11.25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.25" style="1"/>
    <col min="14630" max="14630" width="11.75" style="1" customWidth="1"/>
    <col min="14631" max="14631" width="11.25" style="1"/>
    <col min="14632" max="14632" width="12.75" style="1" bestFit="1" customWidth="1"/>
    <col min="14633" max="14848" width="11.25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.25" style="1"/>
    <col min="14886" max="14886" width="11.75" style="1" customWidth="1"/>
    <col min="14887" max="14887" width="11.25" style="1"/>
    <col min="14888" max="14888" width="12.75" style="1" bestFit="1" customWidth="1"/>
    <col min="14889" max="15104" width="11.25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.25" style="1"/>
    <col min="15142" max="15142" width="11.75" style="1" customWidth="1"/>
    <col min="15143" max="15143" width="11.25" style="1"/>
    <col min="15144" max="15144" width="12.75" style="1" bestFit="1" customWidth="1"/>
    <col min="15145" max="15360" width="11.25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.25" style="1"/>
    <col min="15398" max="15398" width="11.75" style="1" customWidth="1"/>
    <col min="15399" max="15399" width="11.25" style="1"/>
    <col min="15400" max="15400" width="12.75" style="1" bestFit="1" customWidth="1"/>
    <col min="15401" max="15616" width="11.25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.25" style="1"/>
    <col min="15654" max="15654" width="11.75" style="1" customWidth="1"/>
    <col min="15655" max="15655" width="11.25" style="1"/>
    <col min="15656" max="15656" width="12.75" style="1" bestFit="1" customWidth="1"/>
    <col min="15657" max="15872" width="11.25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.25" style="1"/>
    <col min="15910" max="15910" width="11.75" style="1" customWidth="1"/>
    <col min="15911" max="15911" width="11.25" style="1"/>
    <col min="15912" max="15912" width="12.75" style="1" bestFit="1" customWidth="1"/>
    <col min="15913" max="16128" width="11.25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.25" style="1"/>
    <col min="16166" max="16166" width="11.75" style="1" customWidth="1"/>
    <col min="16167" max="16167" width="11.25" style="1"/>
    <col min="16168" max="16168" width="12.75" style="1" bestFit="1" customWidth="1"/>
    <col min="16169" max="16384" width="11.25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37</v>
      </c>
      <c r="B9" s="507"/>
      <c r="C9" s="507"/>
      <c r="D9" s="507"/>
      <c r="E9" s="507"/>
      <c r="F9" s="507"/>
      <c r="G9" s="507"/>
      <c r="H9" s="508" t="s">
        <v>38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Adecuación'!C13</f>
        <v>RAMPA EN CONCRETO 3000 PSI; E=0,10mts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40</v>
      </c>
      <c r="AJ13" s="12">
        <v>1.2001389750317943</v>
      </c>
      <c r="AK13" s="12"/>
      <c r="AL13" s="13">
        <v>1.8</v>
      </c>
      <c r="AM13" s="13"/>
      <c r="AN13" s="15">
        <f>+AJ13*AL13</f>
        <v>2.1602501550572297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2"/>
      <c r="AL14" s="13"/>
      <c r="AM14" s="13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2"/>
      <c r="AL15" s="13"/>
      <c r="AM15" s="13"/>
      <c r="AN15" s="15"/>
      <c r="AO15" s="1">
        <v>2.1602501550572302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  <c r="AO16" s="639">
        <f>+AN13-AO15</f>
        <v>0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  <c r="AO19" s="640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2.1602501550572297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2.16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53:R53"/>
    <mergeCell ref="AI53:AN53"/>
    <mergeCell ref="A54:R54"/>
    <mergeCell ref="AI54:AN54"/>
    <mergeCell ref="AG42:AH42"/>
    <mergeCell ref="AG44:AM44"/>
    <mergeCell ref="AG45:AM45"/>
    <mergeCell ref="AI51:AN51"/>
    <mergeCell ref="A52:R52"/>
    <mergeCell ref="AI52:AN52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honeticPr fontId="18" type="noConversion"/>
  <printOptions horizontalCentered="1"/>
  <pageMargins left="0.31496062992125984" right="0.31496062992125984" top="0.74803149606299213" bottom="0.74803149606299213" header="0.31496062992125984" footer="0.31496062992125984"/>
  <pageSetup paperSize="122" scale="5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I35" sqref="AI3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41</v>
      </c>
      <c r="B9" s="507"/>
      <c r="C9" s="507"/>
      <c r="D9" s="507"/>
      <c r="E9" s="507"/>
      <c r="F9" s="507"/>
      <c r="G9" s="507"/>
      <c r="H9" s="508" t="s">
        <v>44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Adecuación'!C15</f>
        <v>CUBIERTA EN TEJA ARQUITECTONICA ACESCO O SIMILAR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361" t="s">
        <v>434</v>
      </c>
      <c r="AJ13" s="362">
        <v>3.63</v>
      </c>
      <c r="AK13" s="363"/>
      <c r="AL13" s="363">
        <v>4.95</v>
      </c>
      <c r="AM13" s="363">
        <f>+AL13*AJ13</f>
        <v>17.968499999999999</v>
      </c>
      <c r="AN13" s="365">
        <f>+AM13+AM14</f>
        <v>76.239999999999995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364"/>
      <c r="AJ14" s="364">
        <v>7.65</v>
      </c>
      <c r="AK14" s="364"/>
      <c r="AL14" s="364">
        <v>7.6171895424836595</v>
      </c>
      <c r="AM14" s="364">
        <f>+AJ14*AL14</f>
        <v>58.271499999999996</v>
      </c>
      <c r="AN14" s="36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364"/>
      <c r="AJ15" s="364"/>
      <c r="AK15" s="364"/>
      <c r="AL15" s="364"/>
      <c r="AM15" s="364"/>
      <c r="AN15" s="36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361" t="s">
        <v>435</v>
      </c>
      <c r="AJ16" s="362">
        <v>2.1</v>
      </c>
      <c r="AK16" s="363"/>
      <c r="AL16" s="363">
        <v>6.1</v>
      </c>
      <c r="AM16" s="363">
        <f>+AL16*AJ16</f>
        <v>12.81</v>
      </c>
      <c r="AN16" s="365">
        <f>+AM17+AM16</f>
        <v>62.18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364"/>
      <c r="AJ17" s="364">
        <v>7.52</v>
      </c>
      <c r="AK17" s="364"/>
      <c r="AL17" s="364">
        <v>6.5651595744680851</v>
      </c>
      <c r="AM17" s="364">
        <f>+AL17*AJ17</f>
        <v>49.37</v>
      </c>
      <c r="AN17" s="36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364"/>
      <c r="AJ18" s="364"/>
      <c r="AK18" s="364"/>
      <c r="AL18" s="364"/>
      <c r="AM18" s="364"/>
      <c r="AN18" s="36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361" t="s">
        <v>436</v>
      </c>
      <c r="AJ19" s="362">
        <v>5.05</v>
      </c>
      <c r="AK19" s="363"/>
      <c r="AL19" s="363">
        <v>9.42</v>
      </c>
      <c r="AM19" s="363">
        <f>+AL19*AJ19</f>
        <v>47.570999999999998</v>
      </c>
      <c r="AN19" s="365">
        <f>+AM19+AM20</f>
        <v>87.42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364"/>
      <c r="AJ20" s="364">
        <v>6.149537037037037</v>
      </c>
      <c r="AK20" s="364"/>
      <c r="AL20" s="364">
        <v>6.48</v>
      </c>
      <c r="AM20" s="364">
        <f>+AL20*AJ20</f>
        <v>39.849000000000004</v>
      </c>
      <c r="AN20" s="36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364"/>
      <c r="AJ21" s="364"/>
      <c r="AK21" s="364"/>
      <c r="AL21" s="364"/>
      <c r="AM21" s="364"/>
      <c r="AN21" s="36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361" t="s">
        <v>437</v>
      </c>
      <c r="AJ22" s="362">
        <v>2.6</v>
      </c>
      <c r="AK22" s="362"/>
      <c r="AL22" s="363">
        <v>7.53</v>
      </c>
      <c r="AM22" s="363">
        <f>+AL22*AJ22</f>
        <v>19.578000000000003</v>
      </c>
      <c r="AN22" s="365">
        <f>+AM23+AM22</f>
        <v>67.919999999999987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364"/>
      <c r="AJ23" s="364">
        <v>5.78</v>
      </c>
      <c r="AK23" s="364"/>
      <c r="AL23" s="364">
        <v>8.3636678200692014</v>
      </c>
      <c r="AM23" s="364">
        <f>+AL23*AJ23</f>
        <v>48.341999999999985</v>
      </c>
      <c r="AN23" s="36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364"/>
      <c r="AJ24" s="364"/>
      <c r="AK24" s="364"/>
      <c r="AL24" s="364"/>
      <c r="AM24" s="364"/>
      <c r="AN24" s="36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361" t="s">
        <v>438</v>
      </c>
      <c r="AJ25" s="362">
        <v>4.3495192307692312</v>
      </c>
      <c r="AK25" s="362"/>
      <c r="AL25" s="363">
        <v>20.8</v>
      </c>
      <c r="AM25" s="364"/>
      <c r="AN25" s="368">
        <f>+AJ25*AL25</f>
        <v>90.470000000000013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361" t="s">
        <v>439</v>
      </c>
      <c r="AJ26" s="362">
        <v>10.458113207547168</v>
      </c>
      <c r="AK26" s="363"/>
      <c r="AL26" s="363">
        <v>5.3</v>
      </c>
      <c r="AM26" s="363">
        <f>+AL26*AJ26</f>
        <v>55.42799999999999</v>
      </c>
      <c r="AN26" s="365">
        <f>+AM26+AM27+AM28</f>
        <v>69.709999999999994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364"/>
      <c r="AJ27" s="364">
        <v>3.23</v>
      </c>
      <c r="AK27" s="364"/>
      <c r="AL27" s="364">
        <v>3.4</v>
      </c>
      <c r="AM27" s="363">
        <f t="shared" ref="AM27:AM28" si="0">+AL27*AJ27</f>
        <v>10.981999999999999</v>
      </c>
      <c r="AN27" s="36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364"/>
      <c r="AJ28" s="364">
        <v>1.2</v>
      </c>
      <c r="AK28" s="364"/>
      <c r="AL28" s="364">
        <v>2.75</v>
      </c>
      <c r="AM28" s="363">
        <f t="shared" si="0"/>
        <v>3.3</v>
      </c>
      <c r="AN28" s="36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361" t="s">
        <v>440</v>
      </c>
      <c r="AJ29" s="362">
        <v>6.73</v>
      </c>
      <c r="AK29" s="362"/>
      <c r="AL29" s="363">
        <v>5.1456166419019329</v>
      </c>
      <c r="AM29" s="364"/>
      <c r="AN29" s="368">
        <f>+AL29*AJ29</f>
        <v>34.63000000000001</v>
      </c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2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2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2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2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2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2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2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75" t="s">
        <v>375</v>
      </c>
      <c r="AJ39" s="276">
        <v>11.033510526315794</v>
      </c>
      <c r="AK39" s="277"/>
      <c r="AL39" s="277">
        <v>8.6</v>
      </c>
      <c r="AM39" s="273"/>
      <c r="AN39" s="274">
        <f>+AL39*AJ39</f>
        <v>94.888190526315825</v>
      </c>
    </row>
    <row r="40" spans="1:42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2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2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2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583.45819052631578</v>
      </c>
    </row>
    <row r="44" spans="1:42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2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583.46</v>
      </c>
      <c r="AO45" s="356">
        <v>583.46</v>
      </c>
      <c r="AP45" s="356">
        <f>+AN45-AO45</f>
        <v>0</v>
      </c>
    </row>
    <row r="46" spans="1:42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2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2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</sheetPr>
  <dimension ref="A1:AP55"/>
  <sheetViews>
    <sheetView view="pageBreakPreview" topLeftCell="A7" zoomScale="55" zoomScaleNormal="55" zoomScaleSheetLayoutView="55" workbookViewId="0">
      <selection activeCell="AP27" sqref="AP27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2.2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46</v>
      </c>
      <c r="B9" s="507"/>
      <c r="C9" s="507"/>
      <c r="D9" s="507"/>
      <c r="E9" s="507"/>
      <c r="F9" s="507"/>
      <c r="G9" s="507"/>
      <c r="H9" s="508" t="s">
        <v>44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Adecuación'!C16</f>
        <v>IMPERMEABILIZACION DE PLACA EN MANTO EDIL 3 MM STANDAR INCL. IMPRIMANTE Y PINTURA BITUMINOSA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33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5" t="s">
        <v>376</v>
      </c>
      <c r="AJ14" s="276">
        <v>27.18</v>
      </c>
      <c r="AK14" s="277"/>
      <c r="AL14" s="277">
        <v>2.15</v>
      </c>
      <c r="AM14" s="273">
        <f>+AL14*AJ14</f>
        <v>58.436999999999998</v>
      </c>
      <c r="AN14" s="273">
        <f>+SUM(AM14:AM22)</f>
        <v>183.25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>
        <v>2.85</v>
      </c>
      <c r="AK15" s="13"/>
      <c r="AL15" s="13">
        <v>0.65</v>
      </c>
      <c r="AM15" s="273">
        <f t="shared" ref="AM15:AM22" si="0">+AL15*AJ15</f>
        <v>1.8525</v>
      </c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>
        <v>3.18</v>
      </c>
      <c r="AK16" s="13"/>
      <c r="AL16" s="13">
        <v>0.5</v>
      </c>
      <c r="AM16" s="273">
        <f t="shared" si="0"/>
        <v>1.59</v>
      </c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>
        <v>2.75</v>
      </c>
      <c r="AK17" s="13"/>
      <c r="AL17" s="13">
        <v>2</v>
      </c>
      <c r="AM17" s="273">
        <f t="shared" si="0"/>
        <v>5.5</v>
      </c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273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3">
        <v>2.6</v>
      </c>
      <c r="AK19" s="13"/>
      <c r="AL19" s="13">
        <v>8.1</v>
      </c>
      <c r="AM19" s="273">
        <f t="shared" si="0"/>
        <v>21.06</v>
      </c>
      <c r="AN19" s="15"/>
    </row>
    <row r="20" spans="1:41" ht="15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>
        <v>14.322049999999994</v>
      </c>
      <c r="AK20" s="13"/>
      <c r="AL20" s="13">
        <v>2</v>
      </c>
      <c r="AM20" s="273">
        <f t="shared" si="0"/>
        <v>28.644099999999987</v>
      </c>
      <c r="AN20" s="15"/>
      <c r="AO20" s="27">
        <f>+AN14-AM35</f>
        <v>183.25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>
        <v>3.18</v>
      </c>
      <c r="AK21" s="13"/>
      <c r="AL21" s="13">
        <v>6.48</v>
      </c>
      <c r="AM21" s="273">
        <f t="shared" si="0"/>
        <v>20.606400000000001</v>
      </c>
      <c r="AN21" s="15"/>
    </row>
    <row r="22" spans="1:41" ht="15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>
        <v>2</v>
      </c>
      <c r="AK22" s="13"/>
      <c r="AL22" s="13">
        <v>22.78</v>
      </c>
      <c r="AM22" s="273">
        <f t="shared" si="0"/>
        <v>45.56</v>
      </c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273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273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273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273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273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273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273"/>
      <c r="AN29" s="15"/>
    </row>
    <row r="30" spans="1:41" ht="15.75" customHeight="1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273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273"/>
      <c r="AN31" s="15"/>
    </row>
    <row r="32" spans="1:41" ht="15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2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4"/>
      <c r="AH36" s="505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3"/>
      <c r="AL37" s="13"/>
      <c r="AM37" s="14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28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17"/>
      <c r="AJ39" s="12"/>
      <c r="AK39" s="12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5.75" customHeight="1" x14ac:dyDescent="0.2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02"/>
      <c r="AH42" s="503"/>
      <c r="AI42" s="28"/>
      <c r="AJ42" s="12"/>
      <c r="AK42" s="13"/>
      <c r="AL42" s="13"/>
      <c r="AM42" s="13"/>
      <c r="AN42" s="15"/>
    </row>
    <row r="43" spans="1:40" ht="16.5" customHeight="1" thickBot="1" x14ac:dyDescent="0.25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24"/>
      <c r="AH43" s="525"/>
      <c r="AI43" s="325"/>
      <c r="AJ43" s="19"/>
      <c r="AK43" s="19"/>
      <c r="AL43" s="19"/>
      <c r="AM43" s="19"/>
      <c r="AN43" s="20"/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4" t="s">
        <v>31</v>
      </c>
      <c r="AH44" s="545"/>
      <c r="AI44" s="545"/>
      <c r="AJ44" s="545"/>
      <c r="AK44" s="545"/>
      <c r="AL44" s="545"/>
      <c r="AM44" s="546"/>
      <c r="AN44" s="21">
        <f>SUM(AN12:AN43)</f>
        <v>183.25</v>
      </c>
    </row>
    <row r="45" spans="1:40" ht="15" customHeight="1" x14ac:dyDescent="0.2">
      <c r="A45" s="490"/>
      <c r="B45" s="491"/>
      <c r="C45" s="491"/>
      <c r="D45" s="491"/>
      <c r="E45" s="491"/>
      <c r="F45" s="491"/>
      <c r="G45" s="491"/>
      <c r="H45" s="491"/>
      <c r="I45" s="491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1"/>
      <c r="AF45" s="492"/>
      <c r="AG45" s="547"/>
      <c r="AH45" s="548"/>
      <c r="AI45" s="548"/>
      <c r="AJ45" s="548"/>
      <c r="AK45" s="548"/>
      <c r="AL45" s="548"/>
      <c r="AM45" s="549"/>
      <c r="AN45" s="22"/>
    </row>
    <row r="46" spans="1:40" ht="18.75" thickBot="1" x14ac:dyDescent="0.3">
      <c r="A46" s="490"/>
      <c r="B46" s="493"/>
      <c r="C46" s="493"/>
      <c r="D46" s="493"/>
      <c r="E46" s="493"/>
      <c r="F46" s="493"/>
      <c r="G46" s="493"/>
      <c r="H46" s="493"/>
      <c r="I46" s="493"/>
      <c r="J46" s="493"/>
      <c r="K46" s="493"/>
      <c r="L46" s="493"/>
      <c r="M46" s="493"/>
      <c r="N46" s="493"/>
      <c r="O46" s="493"/>
      <c r="P46" s="493"/>
      <c r="Q46" s="493"/>
      <c r="R46" s="493"/>
      <c r="S46" s="493"/>
      <c r="T46" s="493"/>
      <c r="U46" s="493"/>
      <c r="V46" s="493"/>
      <c r="W46" s="493"/>
      <c r="X46" s="493"/>
      <c r="Y46" s="493"/>
      <c r="Z46" s="493"/>
      <c r="AA46" s="493"/>
      <c r="AB46" s="493"/>
      <c r="AC46" s="493"/>
      <c r="AD46" s="493"/>
      <c r="AE46" s="493"/>
      <c r="AF46" s="492"/>
      <c r="AG46" s="521" t="s">
        <v>32</v>
      </c>
      <c r="AH46" s="522"/>
      <c r="AI46" s="522"/>
      <c r="AJ46" s="522"/>
      <c r="AK46" s="522"/>
      <c r="AL46" s="522"/>
      <c r="AM46" s="523"/>
      <c r="AN46" s="312">
        <f>ROUND(SUM(AN44:AN45),2)</f>
        <v>183.25</v>
      </c>
    </row>
    <row r="47" spans="1:40" ht="15.75" customHeight="1" x14ac:dyDescent="0.2">
      <c r="A47" s="33"/>
      <c r="B47" s="24"/>
      <c r="C47" s="34"/>
      <c r="D47" s="34"/>
      <c r="E47" s="34"/>
      <c r="F47" s="34"/>
      <c r="G47" s="34"/>
      <c r="H47" s="35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09"/>
      <c r="AE47" s="309"/>
      <c r="AF47" s="309"/>
      <c r="AG47" s="309"/>
      <c r="AH47" s="309"/>
      <c r="AI47" s="25"/>
      <c r="AJ47" s="36"/>
      <c r="AK47" s="35"/>
      <c r="AL47" s="34"/>
      <c r="AM47" s="34"/>
      <c r="AN47" s="37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.7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296"/>
      <c r="AJ51" s="297"/>
      <c r="AK51" s="295"/>
      <c r="AL51" s="294"/>
      <c r="AM51" s="294"/>
      <c r="AN51" s="26"/>
    </row>
    <row r="52" spans="1:40" ht="13.15" customHeight="1" x14ac:dyDescent="0.2">
      <c r="A52" s="23"/>
      <c r="B52" s="293"/>
      <c r="C52" s="294"/>
      <c r="D52" s="294"/>
      <c r="E52" s="294"/>
      <c r="F52" s="294"/>
      <c r="G52" s="294"/>
      <c r="H52" s="295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/>
      <c r="AJ52" s="539"/>
      <c r="AK52" s="539"/>
      <c r="AL52" s="539"/>
      <c r="AM52" s="539"/>
      <c r="AN52" s="540"/>
    </row>
    <row r="53" spans="1:40" ht="13.1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396</v>
      </c>
      <c r="AJ53" s="539"/>
      <c r="AK53" s="539"/>
      <c r="AL53" s="539"/>
      <c r="AM53" s="539"/>
      <c r="AN53" s="540"/>
    </row>
    <row r="54" spans="1:40" ht="12.75" customHeight="1" x14ac:dyDescent="0.2">
      <c r="A54" s="541"/>
      <c r="B54" s="542"/>
      <c r="C54" s="542"/>
      <c r="D54" s="542"/>
      <c r="E54" s="542"/>
      <c r="F54" s="542"/>
      <c r="G54" s="542"/>
      <c r="H54" s="542"/>
      <c r="I54" s="542"/>
      <c r="J54" s="542"/>
      <c r="K54" s="542"/>
      <c r="L54" s="542"/>
      <c r="M54" s="542"/>
      <c r="N54" s="542"/>
      <c r="O54" s="542"/>
      <c r="P54" s="542"/>
      <c r="Q54" s="542"/>
      <c r="R54" s="542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G54" s="305"/>
      <c r="AH54" s="305"/>
      <c r="AI54" s="539" t="s">
        <v>409</v>
      </c>
      <c r="AJ54" s="539"/>
      <c r="AK54" s="539"/>
      <c r="AL54" s="539"/>
      <c r="AM54" s="539"/>
      <c r="AN54" s="540"/>
    </row>
    <row r="55" spans="1:40" ht="13.5" customHeight="1" thickBot="1" x14ac:dyDescent="0.25">
      <c r="A55" s="532"/>
      <c r="B55" s="533"/>
      <c r="C55" s="533"/>
      <c r="D55" s="533"/>
      <c r="E55" s="533"/>
      <c r="F55" s="533"/>
      <c r="G55" s="533"/>
      <c r="H55" s="533"/>
      <c r="I55" s="533"/>
      <c r="J55" s="533"/>
      <c r="K55" s="533"/>
      <c r="L55" s="533"/>
      <c r="M55" s="533"/>
      <c r="N55" s="533"/>
      <c r="O55" s="533"/>
      <c r="P55" s="533"/>
      <c r="Q55" s="533"/>
      <c r="R55" s="533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1"/>
      <c r="AE55" s="311"/>
      <c r="AF55" s="311"/>
      <c r="AG55" s="311"/>
      <c r="AH55" s="311"/>
      <c r="AI55" s="536" t="s">
        <v>411</v>
      </c>
      <c r="AJ55" s="536"/>
      <c r="AK55" s="536"/>
      <c r="AL55" s="536"/>
      <c r="AM55" s="536"/>
      <c r="AN55" s="537"/>
    </row>
  </sheetData>
  <mergeCells count="81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6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I52:AN52"/>
    <mergeCell ref="AG42:AH42"/>
    <mergeCell ref="AG43:AH43"/>
    <mergeCell ref="AG44:AM44"/>
    <mergeCell ref="AG45:AM45"/>
    <mergeCell ref="AG46:AM46"/>
    <mergeCell ref="A53:R53"/>
    <mergeCell ref="AI53:AN53"/>
    <mergeCell ref="A54:R54"/>
    <mergeCell ref="AI54:AN54"/>
    <mergeCell ref="A55:R55"/>
    <mergeCell ref="AI55:AN55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0.59999389629810485"/>
  </sheetPr>
  <dimension ref="A1:AP54"/>
  <sheetViews>
    <sheetView view="pageBreakPreview" topLeftCell="A7" zoomScale="55" zoomScaleNormal="55" zoomScaleSheetLayoutView="55" workbookViewId="0">
      <selection activeCell="AM13" sqref="AM13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47</v>
      </c>
      <c r="B9" s="507"/>
      <c r="C9" s="507"/>
      <c r="D9" s="507"/>
      <c r="E9" s="507"/>
      <c r="F9" s="507"/>
      <c r="G9" s="507"/>
      <c r="H9" s="508" t="s">
        <v>44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Adecuación'!C17</f>
        <v>MEDIACAÑA EN MORTERO 1:4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5" t="s">
        <v>376</v>
      </c>
      <c r="AJ13" s="276"/>
      <c r="AK13" s="277">
        <v>0.5</v>
      </c>
      <c r="AL13" s="277">
        <v>2.15</v>
      </c>
      <c r="AM13" s="273"/>
      <c r="AN13" s="274">
        <f>+AL13</f>
        <v>2.15</v>
      </c>
      <c r="AO13" s="1">
        <v>151.9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>
        <v>7.23</v>
      </c>
      <c r="AM14" s="273"/>
      <c r="AN14" s="274">
        <f t="shared" ref="AN14:AN35" si="0">+AL14</f>
        <v>7.23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>
        <v>2.85</v>
      </c>
      <c r="AM15" s="273"/>
      <c r="AN15" s="274">
        <f t="shared" si="0"/>
        <v>2.85</v>
      </c>
      <c r="AO15" s="27">
        <f>+AO13-AL36</f>
        <v>151.9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>
        <v>0.5</v>
      </c>
      <c r="AM16" s="273"/>
      <c r="AN16" s="274">
        <f t="shared" si="0"/>
        <v>0.5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>
        <v>11.6</v>
      </c>
      <c r="AM17" s="273"/>
      <c r="AN17" s="274">
        <f t="shared" si="0"/>
        <v>11.6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3"/>
      <c r="AK18" s="13"/>
      <c r="AL18" s="13">
        <v>13.96</v>
      </c>
      <c r="AM18" s="273"/>
      <c r="AN18" s="274">
        <f t="shared" si="0"/>
        <v>13.96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>
        <v>2.6</v>
      </c>
      <c r="AM19" s="273"/>
      <c r="AN19" s="274">
        <f t="shared" si="0"/>
        <v>2.6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>
        <v>2</v>
      </c>
      <c r="AM20" s="273"/>
      <c r="AN20" s="274">
        <f t="shared" si="0"/>
        <v>2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>
        <v>2.75</v>
      </c>
      <c r="AM21" s="273"/>
      <c r="AN21" s="274">
        <f t="shared" si="0"/>
        <v>2.75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276">
        <v>3.18</v>
      </c>
      <c r="AM22" s="14"/>
      <c r="AN22" s="274">
        <f t="shared" si="0"/>
        <v>3.18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2">
        <v>0.5</v>
      </c>
      <c r="AM23" s="14"/>
      <c r="AN23" s="274">
        <f t="shared" si="0"/>
        <v>0.5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2">
        <v>5.05</v>
      </c>
      <c r="AM24" s="14"/>
      <c r="AN24" s="274">
        <f t="shared" si="0"/>
        <v>5.05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2">
        <v>22.78</v>
      </c>
      <c r="AM25" s="14"/>
      <c r="AN25" s="274">
        <f t="shared" si="0"/>
        <v>22.78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2">
        <v>16.05</v>
      </c>
      <c r="AM26" s="14"/>
      <c r="AN26" s="274">
        <f t="shared" si="0"/>
        <v>16.05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>
        <v>2</v>
      </c>
      <c r="AM27" s="14"/>
      <c r="AN27" s="274">
        <f t="shared" si="0"/>
        <v>2</v>
      </c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2">
        <v>3.18</v>
      </c>
      <c r="AM28" s="14"/>
      <c r="AN28" s="274">
        <f t="shared" si="0"/>
        <v>3.18</v>
      </c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2">
        <v>6.45</v>
      </c>
      <c r="AM29" s="14"/>
      <c r="AN29" s="274">
        <f t="shared" si="0"/>
        <v>6.45</v>
      </c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2">
        <v>6.48</v>
      </c>
      <c r="AM30" s="14"/>
      <c r="AN30" s="274">
        <f t="shared" si="0"/>
        <v>6.48</v>
      </c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>
        <v>9.57</v>
      </c>
      <c r="AM31" s="14"/>
      <c r="AN31" s="274">
        <f t="shared" si="0"/>
        <v>9.57</v>
      </c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>
        <v>8.1</v>
      </c>
      <c r="AM32" s="14"/>
      <c r="AN32" s="274">
        <f t="shared" si="0"/>
        <v>8.1</v>
      </c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>
        <v>2</v>
      </c>
      <c r="AM33" s="13"/>
      <c r="AN33" s="274">
        <f t="shared" si="0"/>
        <v>2</v>
      </c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>
        <v>11.139999999999969</v>
      </c>
      <c r="AM34" s="13"/>
      <c r="AN34" s="274">
        <f t="shared" si="0"/>
        <v>11.139999999999969</v>
      </c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>
        <v>9.7799999999999994</v>
      </c>
      <c r="AM35" s="14"/>
      <c r="AN35" s="274">
        <f t="shared" si="0"/>
        <v>9.7799999999999994</v>
      </c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151.89999999999998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151.9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8" tint="0.59999389629810485"/>
  </sheetPr>
  <dimension ref="A1:AP54"/>
  <sheetViews>
    <sheetView view="pageBreakPreview" topLeftCell="A8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131</v>
      </c>
      <c r="B9" s="507"/>
      <c r="C9" s="507"/>
      <c r="D9" s="507"/>
      <c r="E9" s="507"/>
      <c r="F9" s="507"/>
      <c r="G9" s="507"/>
      <c r="H9" s="508" t="s">
        <v>132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>
        <f>+'P. Adecuación'!C44</f>
        <v>0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445</v>
      </c>
      <c r="AJ13" s="12"/>
      <c r="AK13" s="13"/>
      <c r="AL13" s="13"/>
      <c r="AM13" s="14">
        <v>24</v>
      </c>
      <c r="AN13" s="15">
        <f>+AM13</f>
        <v>24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24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24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52:R52"/>
    <mergeCell ref="AI52:AN52"/>
    <mergeCell ref="A53:R53"/>
    <mergeCell ref="AI53:AN53"/>
    <mergeCell ref="A54:R54"/>
    <mergeCell ref="AI54:AN54"/>
    <mergeCell ref="AG42:AH42"/>
    <mergeCell ref="AG43:AM43"/>
    <mergeCell ref="AG44:AM44"/>
    <mergeCell ref="AG45:AM45"/>
    <mergeCell ref="AI51:AN51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0.59999389629810485"/>
  </sheetPr>
  <dimension ref="A1:AP62"/>
  <sheetViews>
    <sheetView view="pageBreakPreview" topLeftCell="A7" zoomScale="60" zoomScaleNormal="55" workbookViewId="0">
      <selection activeCell="AI40" sqref="AI40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41" width="11" style="1"/>
    <col min="42" max="42" width="24.25" style="1" bestFit="1" customWidth="1"/>
    <col min="43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146</v>
      </c>
      <c r="B9" s="507"/>
      <c r="C9" s="507"/>
      <c r="D9" s="507"/>
      <c r="E9" s="507"/>
      <c r="F9" s="507"/>
      <c r="G9" s="507"/>
      <c r="H9" s="508" t="s">
        <v>49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Adecuación'!C20</f>
        <v>PAÑETE LISO MUROS  1:4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5" t="s">
        <v>377</v>
      </c>
      <c r="AJ13" s="276">
        <v>27.18</v>
      </c>
      <c r="AK13" s="277"/>
      <c r="AL13" s="277">
        <v>2.15</v>
      </c>
      <c r="AM13" s="273">
        <f>+AL13*AJ13</f>
        <v>58.436999999999998</v>
      </c>
      <c r="AN13" s="274">
        <f>+AM13</f>
        <v>58.436999999999998</v>
      </c>
      <c r="AO13" s="1">
        <v>183.25</v>
      </c>
    </row>
    <row r="14" spans="1:42" ht="15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J14" s="12">
        <v>2.85</v>
      </c>
      <c r="AK14" s="13"/>
      <c r="AL14" s="13">
        <v>0.65</v>
      </c>
      <c r="AM14" s="273">
        <f t="shared" ref="AM14:AM21" si="0">+AL14*AJ14</f>
        <v>1.8525</v>
      </c>
      <c r="AN14" s="274">
        <f t="shared" ref="AN14:AN21" si="1">+AM14</f>
        <v>1.8525</v>
      </c>
      <c r="AO14" s="1">
        <v>299.2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>
        <v>3.18</v>
      </c>
      <c r="AK15" s="13"/>
      <c r="AL15" s="13">
        <v>0.5</v>
      </c>
      <c r="AM15" s="273">
        <f t="shared" si="0"/>
        <v>1.59</v>
      </c>
      <c r="AN15" s="274">
        <f t="shared" si="1"/>
        <v>1.59</v>
      </c>
      <c r="AO15" s="1">
        <f>SUM(AO13:AO14)</f>
        <v>482.45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>
        <v>2.75</v>
      </c>
      <c r="AK16" s="13"/>
      <c r="AL16" s="13">
        <v>2</v>
      </c>
      <c r="AM16" s="273">
        <f t="shared" si="0"/>
        <v>5.5</v>
      </c>
      <c r="AN16" s="274">
        <f t="shared" si="1"/>
        <v>5.5</v>
      </c>
    </row>
    <row r="17" spans="1:42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273"/>
      <c r="AN17" s="274"/>
      <c r="AO17" s="27">
        <f>+AO14-AM46</f>
        <v>299.2</v>
      </c>
    </row>
    <row r="18" spans="1:42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3">
        <v>2.6</v>
      </c>
      <c r="AK18" s="13"/>
      <c r="AL18" s="13">
        <v>8.1</v>
      </c>
      <c r="AM18" s="273">
        <f t="shared" si="0"/>
        <v>21.06</v>
      </c>
      <c r="AN18" s="274">
        <f t="shared" si="1"/>
        <v>21.06</v>
      </c>
    </row>
    <row r="19" spans="1:42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>
        <v>14.322049999999994</v>
      </c>
      <c r="AK19" s="13"/>
      <c r="AL19" s="13">
        <v>2</v>
      </c>
      <c r="AM19" s="273">
        <f t="shared" si="0"/>
        <v>28.644099999999987</v>
      </c>
      <c r="AN19" s="274">
        <f t="shared" si="1"/>
        <v>28.644099999999987</v>
      </c>
    </row>
    <row r="20" spans="1:42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>
        <v>3.18</v>
      </c>
      <c r="AK20" s="13"/>
      <c r="AL20" s="13">
        <v>6.48</v>
      </c>
      <c r="AM20" s="273">
        <f t="shared" si="0"/>
        <v>20.606400000000001</v>
      </c>
      <c r="AN20" s="274">
        <f t="shared" si="1"/>
        <v>20.606400000000001</v>
      </c>
    </row>
    <row r="21" spans="1:42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>
        <v>2</v>
      </c>
      <c r="AK21" s="13"/>
      <c r="AL21" s="13">
        <v>22.78</v>
      </c>
      <c r="AM21" s="273">
        <f t="shared" si="0"/>
        <v>45.56</v>
      </c>
      <c r="AN21" s="274">
        <f t="shared" si="1"/>
        <v>45.56</v>
      </c>
    </row>
    <row r="22" spans="1:42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2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 t="s">
        <v>378</v>
      </c>
      <c r="AJ23" s="12"/>
      <c r="AK23" s="13">
        <v>1.97</v>
      </c>
      <c r="AL23" s="277">
        <v>2.15</v>
      </c>
      <c r="AM23" s="14">
        <f>+AL23*AK23</f>
        <v>4.2355</v>
      </c>
      <c r="AN23" s="15">
        <f>+AM23</f>
        <v>4.2355</v>
      </c>
    </row>
    <row r="24" spans="1:42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>
        <v>1.97</v>
      </c>
      <c r="AL24" s="13">
        <v>7.23</v>
      </c>
      <c r="AM24" s="14">
        <f t="shared" ref="AM24:AM45" si="2">+AL24*AK24</f>
        <v>14.2431</v>
      </c>
      <c r="AN24" s="15">
        <f t="shared" ref="AN24:AN45" si="3">+AM24</f>
        <v>14.2431</v>
      </c>
    </row>
    <row r="25" spans="1:42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>
        <v>1.97</v>
      </c>
      <c r="AL25" s="13">
        <v>2.85</v>
      </c>
      <c r="AM25" s="14">
        <f t="shared" si="2"/>
        <v>5.6145000000000005</v>
      </c>
      <c r="AN25" s="15">
        <f t="shared" si="3"/>
        <v>5.6145000000000005</v>
      </c>
    </row>
    <row r="26" spans="1:42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>
        <v>1.97</v>
      </c>
      <c r="AL26" s="13">
        <v>0.5</v>
      </c>
      <c r="AM26" s="14">
        <f t="shared" si="2"/>
        <v>0.98499999999999999</v>
      </c>
      <c r="AN26" s="15">
        <f t="shared" si="3"/>
        <v>0.98499999999999999</v>
      </c>
    </row>
    <row r="27" spans="1:42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>
        <v>1.97</v>
      </c>
      <c r="AL27" s="13">
        <v>11.6</v>
      </c>
      <c r="AM27" s="14">
        <f t="shared" si="2"/>
        <v>22.852</v>
      </c>
      <c r="AN27" s="15">
        <f t="shared" si="3"/>
        <v>22.852</v>
      </c>
    </row>
    <row r="28" spans="1:42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>
        <v>1.97</v>
      </c>
      <c r="AL28" s="13">
        <v>13.96</v>
      </c>
      <c r="AM28" s="14">
        <f t="shared" si="2"/>
        <v>27.501200000000001</v>
      </c>
      <c r="AN28" s="15">
        <f t="shared" si="3"/>
        <v>27.501200000000001</v>
      </c>
    </row>
    <row r="29" spans="1:42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>
        <v>1.97</v>
      </c>
      <c r="AL29" s="13">
        <v>2.6</v>
      </c>
      <c r="AM29" s="14">
        <f t="shared" si="2"/>
        <v>5.1219999999999999</v>
      </c>
      <c r="AN29" s="15">
        <f t="shared" si="3"/>
        <v>5.1219999999999999</v>
      </c>
      <c r="AP29" s="373" t="e">
        <f>+AO14/AM46</f>
        <v>#DIV/0!</v>
      </c>
    </row>
    <row r="30" spans="1:42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>
        <v>1.97</v>
      </c>
      <c r="AL30" s="13">
        <v>2</v>
      </c>
      <c r="AM30" s="14">
        <f t="shared" si="2"/>
        <v>3.94</v>
      </c>
      <c r="AN30" s="15">
        <f t="shared" si="3"/>
        <v>3.94</v>
      </c>
    </row>
    <row r="31" spans="1:42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>
        <v>1.97</v>
      </c>
      <c r="AL31" s="13">
        <v>2.75</v>
      </c>
      <c r="AM31" s="14">
        <f t="shared" si="2"/>
        <v>5.4174999999999995</v>
      </c>
      <c r="AN31" s="15">
        <f t="shared" si="3"/>
        <v>5.4174999999999995</v>
      </c>
    </row>
    <row r="32" spans="1:42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>
        <v>1.97</v>
      </c>
      <c r="AL32" s="276">
        <v>3.18</v>
      </c>
      <c r="AM32" s="14">
        <f t="shared" si="2"/>
        <v>6.2646000000000006</v>
      </c>
      <c r="AN32" s="15">
        <f t="shared" si="3"/>
        <v>6.2646000000000006</v>
      </c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>
        <v>1.97</v>
      </c>
      <c r="AL33" s="12">
        <v>0.5</v>
      </c>
      <c r="AM33" s="14">
        <f t="shared" si="2"/>
        <v>0.98499999999999999</v>
      </c>
      <c r="AN33" s="15">
        <f t="shared" si="3"/>
        <v>0.98499999999999999</v>
      </c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3">
        <v>1.97</v>
      </c>
      <c r="AL34" s="12">
        <v>5.05</v>
      </c>
      <c r="AM34" s="14">
        <f t="shared" si="2"/>
        <v>9.9484999999999992</v>
      </c>
      <c r="AN34" s="15">
        <f t="shared" si="3"/>
        <v>9.9484999999999992</v>
      </c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>
        <v>1.97</v>
      </c>
      <c r="AL35" s="12">
        <v>22.78</v>
      </c>
      <c r="AM35" s="14">
        <f t="shared" si="2"/>
        <v>44.876600000000003</v>
      </c>
      <c r="AN35" s="15">
        <f t="shared" si="3"/>
        <v>44.876600000000003</v>
      </c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>
        <v>1.97</v>
      </c>
      <c r="AL36" s="12">
        <v>16.05</v>
      </c>
      <c r="AM36" s="14">
        <f t="shared" si="2"/>
        <v>31.618500000000001</v>
      </c>
      <c r="AN36" s="15">
        <f t="shared" si="3"/>
        <v>31.618500000000001</v>
      </c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3">
        <v>1.97</v>
      </c>
      <c r="AL37" s="13">
        <v>2</v>
      </c>
      <c r="AM37" s="14">
        <f t="shared" si="2"/>
        <v>3.94</v>
      </c>
      <c r="AN37" s="15">
        <f t="shared" si="3"/>
        <v>3.94</v>
      </c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3">
        <v>1.97</v>
      </c>
      <c r="AL38" s="12">
        <v>3.18</v>
      </c>
      <c r="AM38" s="14">
        <f t="shared" si="2"/>
        <v>6.2646000000000006</v>
      </c>
      <c r="AN38" s="15">
        <f t="shared" si="3"/>
        <v>6.2646000000000006</v>
      </c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>
        <v>1.97</v>
      </c>
      <c r="AL39" s="12">
        <v>6.45</v>
      </c>
      <c r="AM39" s="14">
        <f t="shared" si="2"/>
        <v>12.7065</v>
      </c>
      <c r="AN39" s="15">
        <f t="shared" si="3"/>
        <v>12.7065</v>
      </c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>
        <v>1.97</v>
      </c>
      <c r="AL40" s="12">
        <v>6.48</v>
      </c>
      <c r="AM40" s="14">
        <f t="shared" si="2"/>
        <v>12.765600000000001</v>
      </c>
      <c r="AN40" s="15">
        <f t="shared" si="3"/>
        <v>12.765600000000001</v>
      </c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369"/>
      <c r="AH41" s="370"/>
      <c r="AI41" s="371"/>
      <c r="AJ41" s="359"/>
      <c r="AK41" s="13">
        <v>1.97</v>
      </c>
      <c r="AL41" s="13">
        <v>9.57</v>
      </c>
      <c r="AM41" s="14">
        <f t="shared" si="2"/>
        <v>18.852900000000002</v>
      </c>
      <c r="AN41" s="15">
        <f t="shared" si="3"/>
        <v>18.852900000000002</v>
      </c>
    </row>
    <row r="42" spans="1:40" ht="15.75" customHeight="1" x14ac:dyDescent="0.2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369"/>
      <c r="AH42" s="370"/>
      <c r="AI42" s="371"/>
      <c r="AJ42" s="359"/>
      <c r="AK42" s="13">
        <v>1.97</v>
      </c>
      <c r="AL42" s="13">
        <v>8.1</v>
      </c>
      <c r="AM42" s="14">
        <f t="shared" si="2"/>
        <v>15.956999999999999</v>
      </c>
      <c r="AN42" s="15">
        <f t="shared" si="3"/>
        <v>15.956999999999999</v>
      </c>
    </row>
    <row r="43" spans="1:40" ht="15.7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369"/>
      <c r="AH43" s="370"/>
      <c r="AI43" s="371"/>
      <c r="AJ43" s="359"/>
      <c r="AK43" s="13">
        <v>1.97</v>
      </c>
      <c r="AL43" s="13">
        <v>2</v>
      </c>
      <c r="AM43" s="14">
        <f t="shared" si="2"/>
        <v>3.94</v>
      </c>
      <c r="AN43" s="15">
        <f t="shared" si="3"/>
        <v>3.94</v>
      </c>
    </row>
    <row r="44" spans="1:40" ht="15.7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369"/>
      <c r="AH44" s="370"/>
      <c r="AI44" s="371"/>
      <c r="AJ44" s="359"/>
      <c r="AK44" s="13">
        <v>1.97</v>
      </c>
      <c r="AL44" s="13">
        <v>11.139999999999969</v>
      </c>
      <c r="AM44" s="14">
        <f t="shared" si="2"/>
        <v>21.945799999999938</v>
      </c>
      <c r="AN44" s="15">
        <f t="shared" si="3"/>
        <v>21.945799999999938</v>
      </c>
    </row>
    <row r="45" spans="1:40" ht="15.75" customHeight="1" x14ac:dyDescent="0.2">
      <c r="A45" s="490"/>
      <c r="B45" s="491"/>
      <c r="C45" s="491"/>
      <c r="D45" s="491"/>
      <c r="E45" s="491"/>
      <c r="F45" s="491"/>
      <c r="G45" s="491"/>
      <c r="H45" s="491"/>
      <c r="I45" s="491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1"/>
      <c r="AF45" s="492"/>
      <c r="AG45" s="369"/>
      <c r="AH45" s="370"/>
      <c r="AI45" s="371"/>
      <c r="AJ45" s="359"/>
      <c r="AK45" s="13">
        <v>1.9656032719836387</v>
      </c>
      <c r="AL45" s="13">
        <v>9.7799999999999994</v>
      </c>
      <c r="AM45" s="14">
        <f t="shared" si="2"/>
        <v>19.223599999999987</v>
      </c>
      <c r="AN45" s="15">
        <f t="shared" si="3"/>
        <v>19.223599999999987</v>
      </c>
    </row>
    <row r="46" spans="1:40" ht="15.75" customHeight="1" x14ac:dyDescent="0.2">
      <c r="A46" s="490"/>
      <c r="B46" s="491"/>
      <c r="C46" s="491"/>
      <c r="D46" s="491"/>
      <c r="E46" s="491"/>
      <c r="F46" s="491"/>
      <c r="G46" s="491"/>
      <c r="H46" s="491"/>
      <c r="I46" s="491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1"/>
      <c r="AF46" s="492"/>
      <c r="AG46" s="369"/>
      <c r="AH46" s="370"/>
      <c r="AI46" s="371"/>
      <c r="AJ46" s="359"/>
      <c r="AK46" s="360"/>
      <c r="AL46" s="360"/>
      <c r="AM46" s="360"/>
      <c r="AN46" s="372"/>
    </row>
    <row r="47" spans="1:40" ht="15.75" customHeight="1" x14ac:dyDescent="0.2">
      <c r="A47" s="490"/>
      <c r="B47" s="491"/>
      <c r="C47" s="491"/>
      <c r="D47" s="491"/>
      <c r="E47" s="491"/>
      <c r="F47" s="491"/>
      <c r="G47" s="491"/>
      <c r="H47" s="491"/>
      <c r="I47" s="491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1"/>
      <c r="AF47" s="492"/>
      <c r="AG47" s="369"/>
      <c r="AH47" s="370"/>
      <c r="AI47" s="371"/>
      <c r="AJ47" s="359"/>
      <c r="AK47" s="360"/>
      <c r="AL47" s="360"/>
      <c r="AM47" s="360"/>
      <c r="AN47" s="372"/>
    </row>
    <row r="48" spans="1:40" ht="15.75" customHeight="1" x14ac:dyDescent="0.2">
      <c r="A48" s="490"/>
      <c r="B48" s="491"/>
      <c r="C48" s="491"/>
      <c r="D48" s="491"/>
      <c r="E48" s="491"/>
      <c r="F48" s="491"/>
      <c r="G48" s="491"/>
      <c r="H48" s="491"/>
      <c r="I48" s="491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1"/>
      <c r="AF48" s="492"/>
      <c r="AG48" s="369"/>
      <c r="AH48" s="370"/>
      <c r="AI48" s="371"/>
      <c r="AJ48" s="359"/>
      <c r="AK48" s="360"/>
      <c r="AL48" s="360"/>
      <c r="AM48" s="360"/>
      <c r="AN48" s="372"/>
    </row>
    <row r="49" spans="1:40" ht="15.75" customHeight="1" x14ac:dyDescent="0.2">
      <c r="A49" s="490"/>
      <c r="B49" s="491"/>
      <c r="C49" s="491"/>
      <c r="D49" s="491"/>
      <c r="E49" s="491"/>
      <c r="F49" s="491"/>
      <c r="G49" s="491"/>
      <c r="H49" s="491"/>
      <c r="I49" s="491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1"/>
      <c r="AF49" s="492"/>
      <c r="AG49" s="502"/>
      <c r="AH49" s="503"/>
      <c r="AJ49" s="12"/>
      <c r="AK49" s="28"/>
      <c r="AL49" s="13"/>
      <c r="AM49" s="13"/>
      <c r="AN49" s="15"/>
    </row>
    <row r="50" spans="1:40" ht="16.5" customHeight="1" thickBot="1" x14ac:dyDescent="0.25">
      <c r="A50" s="490"/>
      <c r="B50" s="491"/>
      <c r="C50" s="491"/>
      <c r="D50" s="491"/>
      <c r="E50" s="491"/>
      <c r="F50" s="491"/>
      <c r="G50" s="491"/>
      <c r="H50" s="491"/>
      <c r="I50" s="491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1"/>
      <c r="AF50" s="492"/>
      <c r="AG50" s="524"/>
      <c r="AH50" s="525"/>
      <c r="AI50" s="18"/>
      <c r="AJ50" s="19"/>
      <c r="AK50" s="19"/>
      <c r="AL50" s="19"/>
      <c r="AM50" s="19"/>
      <c r="AN50" s="20"/>
    </row>
    <row r="51" spans="1:40" ht="15" customHeight="1" x14ac:dyDescent="0.2">
      <c r="A51" s="490"/>
      <c r="B51" s="491"/>
      <c r="C51" s="491"/>
      <c r="D51" s="491"/>
      <c r="E51" s="491"/>
      <c r="F51" s="491"/>
      <c r="G51" s="491"/>
      <c r="H51" s="491"/>
      <c r="I51" s="491"/>
      <c r="J51" s="491"/>
      <c r="K51" s="491"/>
      <c r="L51" s="491"/>
      <c r="M51" s="491"/>
      <c r="N51" s="491"/>
      <c r="O51" s="491"/>
      <c r="P51" s="491"/>
      <c r="Q51" s="491"/>
      <c r="R51" s="491"/>
      <c r="S51" s="491"/>
      <c r="T51" s="491"/>
      <c r="U51" s="491"/>
      <c r="V51" s="491"/>
      <c r="W51" s="491"/>
      <c r="X51" s="491"/>
      <c r="Y51" s="491"/>
      <c r="Z51" s="491"/>
      <c r="AA51" s="491"/>
      <c r="AB51" s="491"/>
      <c r="AC51" s="491"/>
      <c r="AD51" s="491"/>
      <c r="AE51" s="491"/>
      <c r="AF51" s="492"/>
      <c r="AG51" s="288" t="s">
        <v>31</v>
      </c>
      <c r="AH51" s="289"/>
      <c r="AI51" s="289"/>
      <c r="AJ51" s="289"/>
      <c r="AK51" s="289"/>
      <c r="AL51" s="289"/>
      <c r="AM51" s="290"/>
      <c r="AN51" s="21">
        <f>SUM(AN12:AN50)</f>
        <v>482.44999999999993</v>
      </c>
    </row>
    <row r="52" spans="1:40" ht="15" customHeight="1" x14ac:dyDescent="0.2">
      <c r="A52" s="490"/>
      <c r="B52" s="491"/>
      <c r="C52" s="491"/>
      <c r="D52" s="491"/>
      <c r="E52" s="491"/>
      <c r="F52" s="491"/>
      <c r="G52" s="491"/>
      <c r="H52" s="491"/>
      <c r="I52" s="491"/>
      <c r="J52" s="491"/>
      <c r="K52" s="491"/>
      <c r="L52" s="491"/>
      <c r="M52" s="491"/>
      <c r="N52" s="491"/>
      <c r="O52" s="491"/>
      <c r="P52" s="491"/>
      <c r="Q52" s="491"/>
      <c r="R52" s="491"/>
      <c r="S52" s="491"/>
      <c r="T52" s="491"/>
      <c r="U52" s="491"/>
      <c r="V52" s="491"/>
      <c r="W52" s="491"/>
      <c r="X52" s="491"/>
      <c r="Y52" s="491"/>
      <c r="Z52" s="491"/>
      <c r="AA52" s="491"/>
      <c r="AB52" s="491"/>
      <c r="AC52" s="491"/>
      <c r="AD52" s="491"/>
      <c r="AE52" s="491"/>
      <c r="AF52" s="492"/>
      <c r="AG52" s="547"/>
      <c r="AH52" s="548"/>
      <c r="AI52" s="548"/>
      <c r="AJ52" s="548"/>
      <c r="AK52" s="548"/>
      <c r="AL52" s="548"/>
      <c r="AM52" s="549"/>
      <c r="AN52" s="22"/>
    </row>
    <row r="53" spans="1:40" ht="18.75" thickBot="1" x14ac:dyDescent="0.3">
      <c r="A53" s="490"/>
      <c r="B53" s="493"/>
      <c r="C53" s="493"/>
      <c r="D53" s="493"/>
      <c r="E53" s="493"/>
      <c r="F53" s="493"/>
      <c r="G53" s="493"/>
      <c r="H53" s="493"/>
      <c r="I53" s="493"/>
      <c r="J53" s="493"/>
      <c r="K53" s="493"/>
      <c r="L53" s="493"/>
      <c r="M53" s="493"/>
      <c r="N53" s="493"/>
      <c r="O53" s="493"/>
      <c r="P53" s="493"/>
      <c r="Q53" s="493"/>
      <c r="R53" s="493"/>
      <c r="S53" s="493"/>
      <c r="T53" s="493"/>
      <c r="U53" s="493"/>
      <c r="V53" s="493"/>
      <c r="W53" s="493"/>
      <c r="X53" s="493"/>
      <c r="Y53" s="493"/>
      <c r="Z53" s="493"/>
      <c r="AA53" s="493"/>
      <c r="AB53" s="493"/>
      <c r="AC53" s="493"/>
      <c r="AD53" s="493"/>
      <c r="AE53" s="493"/>
      <c r="AF53" s="492"/>
      <c r="AG53" s="521" t="s">
        <v>32</v>
      </c>
      <c r="AH53" s="522"/>
      <c r="AI53" s="522"/>
      <c r="AJ53" s="522"/>
      <c r="AK53" s="522"/>
      <c r="AL53" s="522"/>
      <c r="AM53" s="523"/>
      <c r="AN53" s="312">
        <f>ROUND(SUM(AN51:AN52),2)</f>
        <v>482.45</v>
      </c>
    </row>
    <row r="54" spans="1:40" ht="15.75" customHeight="1" x14ac:dyDescent="0.2">
      <c r="A54" s="33"/>
      <c r="B54" s="24"/>
      <c r="C54" s="34"/>
      <c r="D54" s="34"/>
      <c r="E54" s="34"/>
      <c r="F54" s="34"/>
      <c r="G54" s="34"/>
      <c r="H54" s="35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25"/>
      <c r="AJ54" s="36"/>
      <c r="AK54" s="35"/>
      <c r="AL54" s="34"/>
      <c r="AM54" s="34"/>
      <c r="AN54" s="37"/>
    </row>
    <row r="55" spans="1:40" ht="15.75" customHeight="1" x14ac:dyDescent="0.2">
      <c r="A55" s="23"/>
      <c r="B55" s="293"/>
      <c r="C55" s="294"/>
      <c r="D55" s="294"/>
      <c r="E55" s="294"/>
      <c r="F55" s="294"/>
      <c r="G55" s="294"/>
      <c r="H55" s="295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G55" s="305"/>
      <c r="AH55" s="305"/>
      <c r="AI55" s="296"/>
      <c r="AJ55" s="297"/>
      <c r="AK55" s="295"/>
      <c r="AL55" s="294"/>
      <c r="AM55" s="294"/>
      <c r="AN55" s="26"/>
    </row>
    <row r="56" spans="1:40" ht="15.75" customHeight="1" x14ac:dyDescent="0.2">
      <c r="A56" s="23"/>
      <c r="B56" s="293"/>
      <c r="C56" s="294"/>
      <c r="D56" s="294"/>
      <c r="E56" s="294"/>
      <c r="F56" s="294"/>
      <c r="G56" s="294"/>
      <c r="H56" s="295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G56" s="305"/>
      <c r="AH56" s="305"/>
      <c r="AI56" s="296"/>
      <c r="AJ56" s="297"/>
      <c r="AK56" s="295"/>
      <c r="AL56" s="294"/>
      <c r="AM56" s="294"/>
      <c r="AN56" s="26"/>
    </row>
    <row r="57" spans="1:40" ht="15" customHeight="1" x14ac:dyDescent="0.2">
      <c r="A57" s="23"/>
      <c r="B57" s="293"/>
      <c r="C57" s="294"/>
      <c r="D57" s="294"/>
      <c r="E57" s="294"/>
      <c r="F57" s="294"/>
      <c r="G57" s="294"/>
      <c r="H57" s="295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G57" s="305"/>
      <c r="AH57" s="305"/>
      <c r="AI57" s="296"/>
      <c r="AJ57" s="297"/>
      <c r="AK57" s="295"/>
      <c r="AL57" s="294"/>
      <c r="AM57" s="294"/>
      <c r="AN57" s="26"/>
    </row>
    <row r="58" spans="1:40" ht="13.15" customHeight="1" x14ac:dyDescent="0.2">
      <c r="A58" s="23"/>
      <c r="B58" s="293"/>
      <c r="C58" s="294"/>
      <c r="D58" s="294"/>
      <c r="E58" s="294"/>
      <c r="F58" s="294"/>
      <c r="G58" s="294"/>
      <c r="H58" s="295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G58" s="305"/>
      <c r="AH58" s="305"/>
      <c r="AI58" s="296"/>
      <c r="AJ58" s="297"/>
      <c r="AK58" s="295"/>
      <c r="AL58" s="294"/>
      <c r="AM58" s="294"/>
      <c r="AN58" s="26"/>
    </row>
    <row r="59" spans="1:40" ht="13.15" customHeight="1" x14ac:dyDescent="0.2">
      <c r="A59" s="23"/>
      <c r="B59" s="293"/>
      <c r="C59" s="294"/>
      <c r="D59" s="294"/>
      <c r="E59" s="294"/>
      <c r="F59" s="294"/>
      <c r="G59" s="294"/>
      <c r="H59" s="295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  <c r="AG59" s="305"/>
      <c r="AH59" s="305"/>
      <c r="AI59" s="539"/>
      <c r="AJ59" s="539"/>
      <c r="AK59" s="539"/>
      <c r="AL59" s="539"/>
      <c r="AM59" s="539"/>
      <c r="AN59" s="540"/>
    </row>
    <row r="60" spans="1:40" ht="13.15" customHeight="1" x14ac:dyDescent="0.2">
      <c r="A60" s="541"/>
      <c r="B60" s="542"/>
      <c r="C60" s="542"/>
      <c r="D60" s="542"/>
      <c r="E60" s="542"/>
      <c r="F60" s="542"/>
      <c r="G60" s="542"/>
      <c r="H60" s="542"/>
      <c r="I60" s="542"/>
      <c r="J60" s="542"/>
      <c r="K60" s="542"/>
      <c r="L60" s="542"/>
      <c r="M60" s="542"/>
      <c r="N60" s="542"/>
      <c r="O60" s="542"/>
      <c r="P60" s="542"/>
      <c r="Q60" s="542"/>
      <c r="R60" s="542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  <c r="AG60" s="305"/>
      <c r="AH60" s="305"/>
      <c r="AI60" s="539" t="s">
        <v>396</v>
      </c>
      <c r="AJ60" s="539"/>
      <c r="AK60" s="539"/>
      <c r="AL60" s="539"/>
      <c r="AM60" s="539"/>
      <c r="AN60" s="540"/>
    </row>
    <row r="61" spans="1:40" ht="12.75" customHeight="1" x14ac:dyDescent="0.2">
      <c r="A61" s="541"/>
      <c r="B61" s="542"/>
      <c r="C61" s="542"/>
      <c r="D61" s="542"/>
      <c r="E61" s="542"/>
      <c r="F61" s="542"/>
      <c r="G61" s="542"/>
      <c r="H61" s="542"/>
      <c r="I61" s="542"/>
      <c r="J61" s="542"/>
      <c r="K61" s="542"/>
      <c r="L61" s="542"/>
      <c r="M61" s="542"/>
      <c r="N61" s="542"/>
      <c r="O61" s="542"/>
      <c r="P61" s="542"/>
      <c r="Q61" s="542"/>
      <c r="R61" s="542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  <c r="AG61" s="305"/>
      <c r="AH61" s="305"/>
      <c r="AI61" s="539" t="s">
        <v>409</v>
      </c>
      <c r="AJ61" s="539"/>
      <c r="AK61" s="539"/>
      <c r="AL61" s="539"/>
      <c r="AM61" s="539"/>
      <c r="AN61" s="540"/>
    </row>
    <row r="62" spans="1:40" ht="13.5" customHeight="1" thickBot="1" x14ac:dyDescent="0.25">
      <c r="A62" s="532"/>
      <c r="B62" s="533"/>
      <c r="C62" s="533"/>
      <c r="D62" s="533"/>
      <c r="E62" s="533"/>
      <c r="F62" s="533"/>
      <c r="G62" s="533"/>
      <c r="H62" s="533"/>
      <c r="I62" s="533"/>
      <c r="J62" s="533"/>
      <c r="K62" s="533"/>
      <c r="L62" s="533"/>
      <c r="M62" s="533"/>
      <c r="N62" s="533"/>
      <c r="O62" s="533"/>
      <c r="P62" s="533"/>
      <c r="Q62" s="533"/>
      <c r="R62" s="533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1"/>
      <c r="AE62" s="311"/>
      <c r="AF62" s="311"/>
      <c r="AG62" s="311"/>
      <c r="AH62" s="311"/>
      <c r="AI62" s="536" t="s">
        <v>411</v>
      </c>
      <c r="AJ62" s="536"/>
      <c r="AK62" s="536"/>
      <c r="AL62" s="536"/>
      <c r="AM62" s="536"/>
      <c r="AN62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53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50:AH50"/>
    <mergeCell ref="AG52:AM52"/>
    <mergeCell ref="AG53:AM53"/>
    <mergeCell ref="AI59:AN59"/>
    <mergeCell ref="AG49:AH49"/>
    <mergeCell ref="A60:R60"/>
    <mergeCell ref="AI60:AN60"/>
    <mergeCell ref="A61:R61"/>
    <mergeCell ref="AI61:AN61"/>
    <mergeCell ref="A62:R62"/>
    <mergeCell ref="AI62:AN62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148</v>
      </c>
      <c r="B9" s="507"/>
      <c r="C9" s="507"/>
      <c r="D9" s="507"/>
      <c r="E9" s="507"/>
      <c r="F9" s="507"/>
      <c r="G9" s="507"/>
      <c r="H9" s="508" t="s">
        <v>49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Adecuación'!C21</f>
        <v>PAÑETE IMPERMEABILIZADO 1:3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52</v>
      </c>
      <c r="AJ13" s="12"/>
      <c r="AK13" s="13"/>
      <c r="AL13" s="13"/>
      <c r="AM13" s="14"/>
      <c r="AN13" s="15">
        <f>11.78+11.71</f>
        <v>23.490000000000002</v>
      </c>
    </row>
    <row r="14" spans="1:42" ht="15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>
        <f t="shared" ref="AN14:AN21" si="0">+AK14*AL14</f>
        <v>0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>
        <f t="shared" si="0"/>
        <v>0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53</v>
      </c>
      <c r="AJ16" s="12"/>
      <c r="AK16" s="13"/>
      <c r="AL16" s="13"/>
      <c r="AM16" s="14"/>
      <c r="AN16" s="15">
        <f>5.9+2.4+10.15</f>
        <v>18.450000000000003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>
        <f t="shared" si="0"/>
        <v>0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54</v>
      </c>
      <c r="AJ19" s="12"/>
      <c r="AK19" s="13"/>
      <c r="AL19" s="13"/>
      <c r="AM19" s="14"/>
      <c r="AN19" s="15">
        <v>15.2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>
        <f t="shared" si="0"/>
        <v>0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>
        <f t="shared" si="0"/>
        <v>0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 t="s">
        <v>55</v>
      </c>
      <c r="AJ22" s="12"/>
      <c r="AK22" s="13"/>
      <c r="AL22" s="13"/>
      <c r="AM22" s="14"/>
      <c r="AN22" s="15">
        <v>24.39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>
        <f t="shared" ref="AN23:AN24" si="1">+AK23*AL23</f>
        <v>0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>
        <f t="shared" si="1"/>
        <v>0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81.53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81.53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honeticPr fontId="18" type="noConversion"/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0.59999389629810485"/>
  </sheetPr>
  <dimension ref="A1:AP54"/>
  <sheetViews>
    <sheetView view="pageBreakPreview" topLeftCell="A13" zoomScale="60" zoomScaleNormal="55" workbookViewId="0">
      <selection activeCell="AE9" sqref="AE9:AI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150</v>
      </c>
      <c r="B9" s="507"/>
      <c r="C9" s="507"/>
      <c r="D9" s="507"/>
      <c r="E9" s="507"/>
      <c r="F9" s="507"/>
      <c r="G9" s="507"/>
      <c r="H9" s="508" t="s">
        <v>49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Adecuación'!C22</f>
        <v>FILOS Y DILATACIONES EN PAÑETES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57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58</v>
      </c>
      <c r="AJ13" s="12"/>
      <c r="AK13" s="13"/>
      <c r="AL13" s="13">
        <v>2.2000000000000002</v>
      </c>
      <c r="AM13" s="274">
        <v>159.78</v>
      </c>
      <c r="AN13" s="15">
        <f>+AM13*AL13</f>
        <v>351.51600000000002</v>
      </c>
    </row>
    <row r="14" spans="1:42" ht="15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59</v>
      </c>
      <c r="AJ14" s="12"/>
      <c r="AK14" s="13"/>
      <c r="AL14" s="13">
        <v>2.2000000000000002</v>
      </c>
      <c r="AM14" s="15">
        <f>374*0.8</f>
        <v>299.2</v>
      </c>
      <c r="AN14" s="15">
        <f>+AM14*AL14</f>
        <v>658.24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 t="s">
        <v>379</v>
      </c>
      <c r="AJ15" s="12"/>
      <c r="AK15" s="13"/>
      <c r="AL15" s="13">
        <v>4</v>
      </c>
      <c r="AM15" s="14">
        <f>+'4.2'!$AN$45</f>
        <v>81.53</v>
      </c>
      <c r="AN15" s="15">
        <f>+AM15*AL15</f>
        <v>326.12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1335.8760000000002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1335.88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0.59999389629810485"/>
  </sheetPr>
  <dimension ref="A1:AP54"/>
  <sheetViews>
    <sheetView view="pageBreakPreview" topLeftCell="A12" zoomScale="60" zoomScaleNormal="55" workbookViewId="0">
      <selection activeCell="AL37" sqref="AL37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151</v>
      </c>
      <c r="B9" s="507"/>
      <c r="C9" s="507"/>
      <c r="D9" s="507"/>
      <c r="E9" s="507"/>
      <c r="F9" s="507"/>
      <c r="G9" s="507"/>
      <c r="H9" s="508" t="s">
        <v>49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Adecuación'!C23</f>
        <v>ESTUCO Y VINILO TRES MANOS EN MUROS (COLOR)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61</v>
      </c>
      <c r="AJ13" s="12"/>
      <c r="AK13" s="13">
        <v>1.5760000000000001</v>
      </c>
      <c r="AL13" s="277">
        <v>2.15</v>
      </c>
      <c r="AM13" s="14">
        <f>+AL13*AK13</f>
        <v>3.3883999999999999</v>
      </c>
      <c r="AN13" s="15">
        <f>+AM13</f>
        <v>3.3883999999999999</v>
      </c>
    </row>
    <row r="14" spans="1:42" ht="15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>
        <v>1.5760000000000001</v>
      </c>
      <c r="AL14" s="13">
        <v>7.23</v>
      </c>
      <c r="AM14" s="14">
        <f t="shared" ref="AM14:AM35" si="0">+AL14*AK14</f>
        <v>11.394480000000001</v>
      </c>
      <c r="AN14" s="15">
        <f t="shared" ref="AN14:AN35" si="1">+AM14</f>
        <v>11.394480000000001</v>
      </c>
      <c r="AO14" s="1">
        <v>239.36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>
        <v>1.5760000000000001</v>
      </c>
      <c r="AL15" s="13">
        <v>2.85</v>
      </c>
      <c r="AM15" s="14">
        <f t="shared" si="0"/>
        <v>4.4916</v>
      </c>
      <c r="AN15" s="15">
        <f t="shared" si="1"/>
        <v>4.4916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>
        <v>1.5760000000000001</v>
      </c>
      <c r="AL16" s="13">
        <v>0.5</v>
      </c>
      <c r="AM16" s="14">
        <f t="shared" si="0"/>
        <v>0.78800000000000003</v>
      </c>
      <c r="AN16" s="15">
        <f t="shared" si="1"/>
        <v>0.78800000000000003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>
        <v>1.5760000000000001</v>
      </c>
      <c r="AL17" s="13">
        <v>11.6</v>
      </c>
      <c r="AM17" s="14">
        <f t="shared" si="0"/>
        <v>18.281600000000001</v>
      </c>
      <c r="AN17" s="15">
        <f t="shared" si="1"/>
        <v>18.281600000000001</v>
      </c>
      <c r="AO17" s="27">
        <f>+AO14-AN37</f>
        <v>239.36</v>
      </c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>
        <v>1.5760000000000001</v>
      </c>
      <c r="AL18" s="13">
        <v>13.96</v>
      </c>
      <c r="AM18" s="14">
        <f t="shared" si="0"/>
        <v>22.000960000000003</v>
      </c>
      <c r="AN18" s="15">
        <f t="shared" si="1"/>
        <v>22.000960000000003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>
        <v>1.5760000000000001</v>
      </c>
      <c r="AL19" s="13">
        <v>2.6</v>
      </c>
      <c r="AM19" s="14">
        <f t="shared" si="0"/>
        <v>4.0975999999999999</v>
      </c>
      <c r="AN19" s="15">
        <f t="shared" si="1"/>
        <v>4.0975999999999999</v>
      </c>
      <c r="AO19" s="27" t="e">
        <f>+AO14/AL37</f>
        <v>#DIV/0!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>
        <v>1.5760000000000001</v>
      </c>
      <c r="AL20" s="13">
        <v>2</v>
      </c>
      <c r="AM20" s="14">
        <f t="shared" si="0"/>
        <v>3.1520000000000001</v>
      </c>
      <c r="AN20" s="15">
        <f t="shared" si="1"/>
        <v>3.1520000000000001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>
        <v>1.5760000000000001</v>
      </c>
      <c r="AL21" s="13">
        <v>2.75</v>
      </c>
      <c r="AM21" s="14">
        <f t="shared" si="0"/>
        <v>4.3340000000000005</v>
      </c>
      <c r="AN21" s="15">
        <f t="shared" si="1"/>
        <v>4.3340000000000005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>
        <v>1.5760000000000001</v>
      </c>
      <c r="AL22" s="276">
        <v>3.18</v>
      </c>
      <c r="AM22" s="14">
        <f t="shared" si="0"/>
        <v>5.0116800000000001</v>
      </c>
      <c r="AN22" s="15">
        <f t="shared" si="1"/>
        <v>5.0116800000000001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>
        <v>1.5760000000000001</v>
      </c>
      <c r="AL23" s="12">
        <v>0.5</v>
      </c>
      <c r="AM23" s="14">
        <f t="shared" si="0"/>
        <v>0.78800000000000003</v>
      </c>
      <c r="AN23" s="15">
        <f t="shared" si="1"/>
        <v>0.78800000000000003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>
        <v>1.5760000000000001</v>
      </c>
      <c r="AL24" s="12">
        <v>5.05</v>
      </c>
      <c r="AM24" s="14">
        <f t="shared" si="0"/>
        <v>7.9588000000000001</v>
      </c>
      <c r="AN24" s="15">
        <f t="shared" si="1"/>
        <v>7.9588000000000001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>
        <v>1.5760000000000001</v>
      </c>
      <c r="AL25" s="12">
        <v>22.78</v>
      </c>
      <c r="AM25" s="14">
        <f t="shared" si="0"/>
        <v>35.90128</v>
      </c>
      <c r="AN25" s="15">
        <f t="shared" si="1"/>
        <v>35.90128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>
        <v>1.5760000000000001</v>
      </c>
      <c r="AL26" s="12">
        <v>16.05</v>
      </c>
      <c r="AM26" s="14">
        <f t="shared" si="0"/>
        <v>25.294800000000002</v>
      </c>
      <c r="AN26" s="15">
        <f t="shared" si="1"/>
        <v>25.294800000000002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>
        <v>1.5823350000000214</v>
      </c>
      <c r="AL27" s="13">
        <v>2</v>
      </c>
      <c r="AM27" s="14">
        <f t="shared" si="0"/>
        <v>3.1646700000000427</v>
      </c>
      <c r="AN27" s="15">
        <f t="shared" si="1"/>
        <v>3.1646700000000427</v>
      </c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>
        <v>1.5760000000000001</v>
      </c>
      <c r="AL28" s="12">
        <v>3.18</v>
      </c>
      <c r="AM28" s="14">
        <f t="shared" si="0"/>
        <v>5.0116800000000001</v>
      </c>
      <c r="AN28" s="15">
        <f t="shared" si="1"/>
        <v>5.0116800000000001</v>
      </c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>
        <v>1.5760000000000001</v>
      </c>
      <c r="AL29" s="12">
        <v>6.45</v>
      </c>
      <c r="AM29" s="14">
        <f t="shared" si="0"/>
        <v>10.1652</v>
      </c>
      <c r="AN29" s="15">
        <f t="shared" si="1"/>
        <v>10.1652</v>
      </c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>
        <v>1.575</v>
      </c>
      <c r="AL30" s="12">
        <v>6.48</v>
      </c>
      <c r="AM30" s="14">
        <f t="shared" si="0"/>
        <v>10.206</v>
      </c>
      <c r="AN30" s="15">
        <f t="shared" si="1"/>
        <v>10.206</v>
      </c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>
        <v>1.575</v>
      </c>
      <c r="AL31" s="13">
        <v>9.57</v>
      </c>
      <c r="AM31" s="14">
        <f t="shared" si="0"/>
        <v>15.072749999999999</v>
      </c>
      <c r="AN31" s="15">
        <f t="shared" si="1"/>
        <v>15.072749999999999</v>
      </c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>
        <v>1.575</v>
      </c>
      <c r="AL32" s="13">
        <v>8.1</v>
      </c>
      <c r="AM32" s="14">
        <f t="shared" si="0"/>
        <v>12.757499999999999</v>
      </c>
      <c r="AN32" s="15">
        <f t="shared" si="1"/>
        <v>12.757499999999999</v>
      </c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>
        <v>1.575</v>
      </c>
      <c r="AL33" s="13">
        <v>2</v>
      </c>
      <c r="AM33" s="14">
        <f t="shared" si="0"/>
        <v>3.15</v>
      </c>
      <c r="AN33" s="15">
        <f t="shared" si="1"/>
        <v>3.15</v>
      </c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3">
        <v>1.575</v>
      </c>
      <c r="AL34" s="13">
        <v>11.139999999999969</v>
      </c>
      <c r="AM34" s="14">
        <f t="shared" si="0"/>
        <v>17.545499999999951</v>
      </c>
      <c r="AN34" s="15">
        <f t="shared" si="1"/>
        <v>17.545499999999951</v>
      </c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>
        <v>1.575</v>
      </c>
      <c r="AL35" s="13">
        <v>9.7799999999999994</v>
      </c>
      <c r="AM35" s="14">
        <f t="shared" si="0"/>
        <v>15.403499999999999</v>
      </c>
      <c r="AN35" s="15">
        <f t="shared" si="1"/>
        <v>15.403499999999999</v>
      </c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5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239.35999999999999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239.36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honeticPr fontId="18" type="noConversion"/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152</v>
      </c>
      <c r="B9" s="507"/>
      <c r="C9" s="507"/>
      <c r="D9" s="507"/>
      <c r="E9" s="507"/>
      <c r="F9" s="507"/>
      <c r="G9" s="507"/>
      <c r="H9" s="508" t="s">
        <v>49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Adecuación'!C24</f>
        <v>PINTURA FACHADA EN VINILO PARA EXTERIORES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52</v>
      </c>
      <c r="AJ13" s="12"/>
      <c r="AK13" s="13"/>
      <c r="AL13" s="13"/>
      <c r="AM13" s="14"/>
      <c r="AN13" s="15">
        <f>11.78+11.71</f>
        <v>23.490000000000002</v>
      </c>
    </row>
    <row r="14" spans="1:42" ht="15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>
        <f t="shared" ref="AN14:AN21" si="0">+AK14*AL14</f>
        <v>0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>
        <f t="shared" si="0"/>
        <v>0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53</v>
      </c>
      <c r="AJ16" s="12"/>
      <c r="AK16" s="13"/>
      <c r="AL16" s="13"/>
      <c r="AM16" s="14"/>
      <c r="AN16" s="15">
        <f>5.9+2.4+10.15</f>
        <v>18.450000000000003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>
        <f t="shared" si="0"/>
        <v>0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54</v>
      </c>
      <c r="AJ19" s="12"/>
      <c r="AK19" s="13"/>
      <c r="AL19" s="13"/>
      <c r="AM19" s="14"/>
      <c r="AN19" s="15">
        <v>15.2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>
        <f t="shared" si="0"/>
        <v>0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>
        <f t="shared" si="0"/>
        <v>0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 t="s">
        <v>55</v>
      </c>
      <c r="AJ22" s="12"/>
      <c r="AK22" s="13"/>
      <c r="AL22" s="13"/>
      <c r="AM22" s="14"/>
      <c r="AN22" s="15">
        <v>24.39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81.53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81.53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0.59999389629810485"/>
  </sheetPr>
  <dimension ref="A1:AP54"/>
  <sheetViews>
    <sheetView view="pageBreakPreview" topLeftCell="A11" zoomScale="60" zoomScaleNormal="55" workbookViewId="0">
      <selection activeCell="AK25" sqref="AK2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63</v>
      </c>
      <c r="B9" s="507"/>
      <c r="C9" s="507"/>
      <c r="D9" s="507"/>
      <c r="E9" s="507"/>
      <c r="F9" s="507"/>
      <c r="G9" s="507"/>
      <c r="H9" s="508" t="s">
        <v>64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Adecuación'!C26</f>
        <v>ALISTADO PISO 1:5 E=0.04 M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35.2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461</v>
      </c>
      <c r="AJ13" s="12">
        <v>3.65</v>
      </c>
      <c r="AK13" s="13"/>
      <c r="AL13" s="12">
        <v>6.45</v>
      </c>
      <c r="AM13" s="14"/>
      <c r="AN13" s="15">
        <f>+AL13*AJ13</f>
        <v>23.5425</v>
      </c>
    </row>
    <row r="14" spans="1:42" ht="35.2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462</v>
      </c>
      <c r="AJ14" s="12">
        <v>3.43</v>
      </c>
      <c r="AK14" s="13"/>
      <c r="AL14" s="12">
        <v>6.45</v>
      </c>
      <c r="AM14" s="14"/>
      <c r="AN14" s="15">
        <f t="shared" ref="AN14:AN25" si="0">+AL14*AJ14</f>
        <v>22.1235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 t="s">
        <v>463</v>
      </c>
      <c r="AJ15" s="12">
        <v>5.73</v>
      </c>
      <c r="AK15" s="13"/>
      <c r="AL15" s="12">
        <v>6.45</v>
      </c>
      <c r="AM15" s="14"/>
      <c r="AN15" s="15">
        <f t="shared" si="0"/>
        <v>36.958500000000001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464</v>
      </c>
      <c r="AJ16" s="12">
        <v>8.08</v>
      </c>
      <c r="AK16" s="13"/>
      <c r="AL16" s="13">
        <v>4.22</v>
      </c>
      <c r="AM16" s="14"/>
      <c r="AN16" s="15">
        <f t="shared" si="0"/>
        <v>34.0976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465</v>
      </c>
      <c r="AJ17" s="12">
        <v>1.84</v>
      </c>
      <c r="AK17" s="13"/>
      <c r="AL17" s="13">
        <v>6</v>
      </c>
      <c r="AM17" s="14"/>
      <c r="AN17" s="15">
        <f t="shared" si="0"/>
        <v>11.040000000000001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466</v>
      </c>
      <c r="AJ18" s="12">
        <v>3.7</v>
      </c>
      <c r="AK18" s="13"/>
      <c r="AL18" s="13">
        <f>+(1.1*0.72)+(2.25*2.3)+(3.7*3.65)</f>
        <v>19.472000000000001</v>
      </c>
      <c r="AM18" s="14"/>
      <c r="AN18" s="15">
        <f t="shared" si="0"/>
        <v>72.046400000000006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467</v>
      </c>
      <c r="AJ19" s="12">
        <v>3.18</v>
      </c>
      <c r="AK19" s="13"/>
      <c r="AL19" s="13">
        <v>3.15</v>
      </c>
      <c r="AM19" s="14"/>
      <c r="AN19" s="15">
        <f t="shared" si="0"/>
        <v>10.016999999999999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 t="s">
        <v>468</v>
      </c>
      <c r="AJ20" s="12">
        <v>4.75</v>
      </c>
      <c r="AK20" s="13"/>
      <c r="AL20" s="13">
        <v>5.85</v>
      </c>
      <c r="AM20" s="14"/>
      <c r="AN20" s="15">
        <f t="shared" si="0"/>
        <v>27.787499999999998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 t="s">
        <v>469</v>
      </c>
      <c r="AJ21" s="12">
        <f>5.05+4.75</f>
        <v>9.8000000000000007</v>
      </c>
      <c r="AK21" s="13"/>
      <c r="AL21" s="13">
        <v>3.6</v>
      </c>
      <c r="AM21" s="14"/>
      <c r="AN21" s="15">
        <f t="shared" si="0"/>
        <v>35.28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 t="s">
        <v>470</v>
      </c>
      <c r="AJ22" s="12">
        <v>8.86</v>
      </c>
      <c r="AK22" s="13"/>
      <c r="AL22" s="13">
        <v>1.2</v>
      </c>
      <c r="AM22" s="14"/>
      <c r="AN22" s="15">
        <f t="shared" si="0"/>
        <v>10.632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 t="s">
        <v>471</v>
      </c>
      <c r="AJ23" s="12">
        <v>7.23</v>
      </c>
      <c r="AK23" s="13"/>
      <c r="AL23" s="13">
        <v>6.1</v>
      </c>
      <c r="AM23" s="14"/>
      <c r="AN23" s="15">
        <f t="shared" si="0"/>
        <v>44.103000000000002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 t="s">
        <v>472</v>
      </c>
      <c r="AJ24" s="12">
        <v>13.52</v>
      </c>
      <c r="AK24" s="13"/>
      <c r="AL24" s="13">
        <v>2</v>
      </c>
      <c r="AM24" s="14"/>
      <c r="AN24" s="15">
        <f t="shared" si="0"/>
        <v>27.04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 t="s">
        <v>473</v>
      </c>
      <c r="AJ25" s="12">
        <f>6.83+1.13</f>
        <v>7.96</v>
      </c>
      <c r="AK25" s="13"/>
      <c r="AL25" s="13">
        <v>3.2288944723618065</v>
      </c>
      <c r="AM25" s="14"/>
      <c r="AN25" s="15">
        <f t="shared" si="0"/>
        <v>25.70199999999998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380.37000000000006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380.37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411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0.59999389629810485"/>
  </sheetPr>
  <dimension ref="A1:AP54"/>
  <sheetViews>
    <sheetView view="pageBreakPreview" topLeftCell="A9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66</v>
      </c>
      <c r="B9" s="507"/>
      <c r="C9" s="507"/>
      <c r="D9" s="507"/>
      <c r="E9" s="507"/>
      <c r="F9" s="507"/>
      <c r="G9" s="507"/>
      <c r="H9" s="508" t="s">
        <v>64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Adecuación'!C27</f>
        <v xml:space="preserve">SUMINISTRO E INSTALACIÓN DE BALDOSIN 20 X 20 CM LINEA INSTITUCIONAL O SIMILAR BLANCO 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380</v>
      </c>
      <c r="AJ13" s="12">
        <v>1.2</v>
      </c>
      <c r="AK13" s="13"/>
      <c r="AL13" s="13">
        <v>2.08</v>
      </c>
      <c r="AM13" s="14"/>
      <c r="AN13" s="15">
        <f>+PRODUCT(AJ13:AM13)</f>
        <v>2.496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381</v>
      </c>
      <c r="AJ14" s="12">
        <v>1.7</v>
      </c>
      <c r="AK14" s="13"/>
      <c r="AL14" s="13">
        <v>1.65</v>
      </c>
      <c r="AM14" s="14"/>
      <c r="AN14" s="15">
        <f>+PRODUCT(AJ14:AM14)</f>
        <v>2.8049999999999997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5.3010000000000002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5.3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honeticPr fontId="18" type="noConversion"/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0.59999389629810485"/>
  </sheetPr>
  <dimension ref="A1:AP54"/>
  <sheetViews>
    <sheetView view="pageBreakPreview" topLeftCell="A10" zoomScale="60" zoomScaleNormal="55" workbookViewId="0">
      <selection activeCell="AJ33" sqref="AJ33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68</v>
      </c>
      <c r="B9" s="507"/>
      <c r="C9" s="507"/>
      <c r="D9" s="507"/>
      <c r="E9" s="507"/>
      <c r="F9" s="507"/>
      <c r="G9" s="507"/>
      <c r="H9" s="508" t="s">
        <v>64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Adecuación'!C28</f>
        <v>GUARDAESCOBA MEDIA CAÑA EN GRANITO PULIDO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5" t="s">
        <v>377</v>
      </c>
      <c r="AJ13" s="276"/>
      <c r="AK13" s="277"/>
      <c r="AL13" s="277">
        <v>2.15</v>
      </c>
      <c r="AM13" s="273"/>
      <c r="AN13" s="274">
        <f>+AL13</f>
        <v>2.15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>
        <v>7.23</v>
      </c>
      <c r="AM14" s="273"/>
      <c r="AN14" s="274">
        <f t="shared" ref="AN14:AN35" si="0">+AL14</f>
        <v>7.23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>
        <v>2.85</v>
      </c>
      <c r="AM15" s="273"/>
      <c r="AN15" s="274">
        <f t="shared" si="0"/>
        <v>2.85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>
        <v>0.5</v>
      </c>
      <c r="AM16" s="273"/>
      <c r="AN16" s="274">
        <f t="shared" si="0"/>
        <v>0.5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>
        <v>11.6</v>
      </c>
      <c r="AM17" s="273"/>
      <c r="AN17" s="274">
        <f t="shared" si="0"/>
        <v>11.6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>
        <v>13.96</v>
      </c>
      <c r="AM18" s="273"/>
      <c r="AN18" s="274">
        <f t="shared" si="0"/>
        <v>13.96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>
        <v>2.6</v>
      </c>
      <c r="AM19" s="273"/>
      <c r="AN19" s="274">
        <f t="shared" si="0"/>
        <v>2.6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>
        <v>2</v>
      </c>
      <c r="AM20" s="273"/>
      <c r="AN20" s="274">
        <f t="shared" si="0"/>
        <v>2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>
        <v>2.75</v>
      </c>
      <c r="AM21" s="273"/>
      <c r="AN21" s="274">
        <f t="shared" si="0"/>
        <v>2.75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276">
        <v>3.18</v>
      </c>
      <c r="AM22" s="14"/>
      <c r="AN22" s="274">
        <f t="shared" si="0"/>
        <v>3.18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2">
        <v>0.5</v>
      </c>
      <c r="AM23" s="14"/>
      <c r="AN23" s="274">
        <f t="shared" si="0"/>
        <v>0.5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2">
        <v>5.05</v>
      </c>
      <c r="AM24" s="14"/>
      <c r="AN24" s="274">
        <f t="shared" si="0"/>
        <v>5.05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2">
        <v>22.78</v>
      </c>
      <c r="AM25" s="14"/>
      <c r="AN25" s="274">
        <f t="shared" si="0"/>
        <v>22.78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2">
        <v>16.05</v>
      </c>
      <c r="AM26" s="14"/>
      <c r="AN26" s="274">
        <f t="shared" si="0"/>
        <v>16.05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>
        <v>2</v>
      </c>
      <c r="AM27" s="14"/>
      <c r="AN27" s="274">
        <f t="shared" si="0"/>
        <v>2</v>
      </c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2">
        <v>3.18</v>
      </c>
      <c r="AM28" s="14"/>
      <c r="AN28" s="274">
        <f t="shared" si="0"/>
        <v>3.18</v>
      </c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2">
        <v>6.45</v>
      </c>
      <c r="AM29" s="14"/>
      <c r="AN29" s="274">
        <f t="shared" si="0"/>
        <v>6.45</v>
      </c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2">
        <v>6.48</v>
      </c>
      <c r="AM30" s="14"/>
      <c r="AN30" s="274">
        <f t="shared" si="0"/>
        <v>6.48</v>
      </c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>
        <v>9.57</v>
      </c>
      <c r="AM31" s="14"/>
      <c r="AN31" s="274">
        <f t="shared" si="0"/>
        <v>9.57</v>
      </c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>
        <v>8.1</v>
      </c>
      <c r="AM32" s="14"/>
      <c r="AN32" s="274">
        <f t="shared" si="0"/>
        <v>8.1</v>
      </c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>
        <v>2</v>
      </c>
      <c r="AM33" s="13"/>
      <c r="AN33" s="274">
        <f t="shared" si="0"/>
        <v>2</v>
      </c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>
        <v>11.139999999999969</v>
      </c>
      <c r="AM34" s="13"/>
      <c r="AN34" s="274">
        <f t="shared" si="0"/>
        <v>11.139999999999969</v>
      </c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>
        <v>9.7799999999999994</v>
      </c>
      <c r="AM35" s="14"/>
      <c r="AN35" s="274">
        <f t="shared" si="0"/>
        <v>9.7799999999999994</v>
      </c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151.89999999999998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151.9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0.59999389629810485"/>
  </sheetPr>
  <dimension ref="A1:AP54"/>
  <sheetViews>
    <sheetView view="pageBreakPreview" topLeftCell="A10" zoomScale="60" zoomScaleNormal="55" workbookViewId="0">
      <selection activeCell="AK18" sqref="AK18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155</v>
      </c>
      <c r="B9" s="507"/>
      <c r="C9" s="507"/>
      <c r="D9" s="507"/>
      <c r="E9" s="507"/>
      <c r="F9" s="507"/>
      <c r="G9" s="507"/>
      <c r="H9" s="508" t="s">
        <v>64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Adecuación'!C29</f>
        <v>PISO PORCELANATO 60 X 60 CM PRIMERA CALIDAD O SIMILAR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35.2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461</v>
      </c>
      <c r="AJ13" s="12">
        <v>3.65</v>
      </c>
      <c r="AK13" s="13"/>
      <c r="AL13" s="12">
        <v>6.45</v>
      </c>
      <c r="AM13" s="14"/>
      <c r="AN13" s="15">
        <f>+AL13*AJ13</f>
        <v>23.5425</v>
      </c>
    </row>
    <row r="14" spans="1:42" ht="35.2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462</v>
      </c>
      <c r="AJ14" s="12">
        <v>3.43</v>
      </c>
      <c r="AK14" s="13"/>
      <c r="AL14" s="12">
        <v>6.45</v>
      </c>
      <c r="AM14" s="14"/>
      <c r="AN14" s="15">
        <f t="shared" ref="AN14:AN25" si="0">+AL14*AJ14</f>
        <v>22.1235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 t="s">
        <v>463</v>
      </c>
      <c r="AJ15" s="12">
        <v>5.73</v>
      </c>
      <c r="AK15" s="13"/>
      <c r="AL15" s="12">
        <v>6.45</v>
      </c>
      <c r="AM15" s="14"/>
      <c r="AN15" s="15">
        <f t="shared" si="0"/>
        <v>36.958500000000001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464</v>
      </c>
      <c r="AJ16" s="12">
        <v>8.08</v>
      </c>
      <c r="AK16" s="13"/>
      <c r="AL16" s="13">
        <v>4.22</v>
      </c>
      <c r="AM16" s="14"/>
      <c r="AN16" s="15">
        <f t="shared" si="0"/>
        <v>34.0976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465</v>
      </c>
      <c r="AJ17" s="12">
        <v>1.84</v>
      </c>
      <c r="AK17" s="13"/>
      <c r="AL17" s="13">
        <v>6</v>
      </c>
      <c r="AM17" s="14"/>
      <c r="AN17" s="15">
        <f t="shared" si="0"/>
        <v>11.040000000000001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466</v>
      </c>
      <c r="AJ18" s="12">
        <v>3.7</v>
      </c>
      <c r="AK18" s="13"/>
      <c r="AL18" s="13">
        <f>+(1.1*0.72)+(2.25*2.3)+(3.7*3.65)</f>
        <v>19.472000000000001</v>
      </c>
      <c r="AM18" s="14"/>
      <c r="AN18" s="15">
        <f t="shared" si="0"/>
        <v>72.046400000000006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467</v>
      </c>
      <c r="AJ19" s="12">
        <v>3.18</v>
      </c>
      <c r="AK19" s="13"/>
      <c r="AL19" s="13">
        <v>3.15</v>
      </c>
      <c r="AM19" s="14"/>
      <c r="AN19" s="15">
        <f t="shared" si="0"/>
        <v>10.016999999999999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 t="s">
        <v>468</v>
      </c>
      <c r="AJ20" s="12">
        <v>4.75</v>
      </c>
      <c r="AK20" s="13"/>
      <c r="AL20" s="13">
        <v>5.85</v>
      </c>
      <c r="AM20" s="14"/>
      <c r="AN20" s="15">
        <f t="shared" si="0"/>
        <v>27.787499999999998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 t="s">
        <v>469</v>
      </c>
      <c r="AJ21" s="12">
        <f>5.05+4.75</f>
        <v>9.8000000000000007</v>
      </c>
      <c r="AK21" s="13"/>
      <c r="AL21" s="13">
        <v>3.6</v>
      </c>
      <c r="AM21" s="14"/>
      <c r="AN21" s="15">
        <f t="shared" si="0"/>
        <v>35.28</v>
      </c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 t="s">
        <v>470</v>
      </c>
      <c r="AJ22" s="12">
        <v>8.86</v>
      </c>
      <c r="AK22" s="13"/>
      <c r="AL22" s="13">
        <v>1.2</v>
      </c>
      <c r="AM22" s="14"/>
      <c r="AN22" s="15">
        <f t="shared" si="0"/>
        <v>10.632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 t="s">
        <v>471</v>
      </c>
      <c r="AJ23" s="12">
        <v>7.23</v>
      </c>
      <c r="AK23" s="13"/>
      <c r="AL23" s="13">
        <v>6.1</v>
      </c>
      <c r="AM23" s="14"/>
      <c r="AN23" s="15">
        <f t="shared" si="0"/>
        <v>44.103000000000002</v>
      </c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 t="s">
        <v>472</v>
      </c>
      <c r="AJ24" s="12">
        <v>13.52</v>
      </c>
      <c r="AK24" s="13"/>
      <c r="AL24" s="13">
        <v>2</v>
      </c>
      <c r="AM24" s="14"/>
      <c r="AN24" s="15">
        <f t="shared" si="0"/>
        <v>27.04</v>
      </c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 t="s">
        <v>473</v>
      </c>
      <c r="AJ25" s="12">
        <f>6.83+1.13</f>
        <v>7.96</v>
      </c>
      <c r="AK25" s="13"/>
      <c r="AL25" s="13">
        <v>3.2288944723618065</v>
      </c>
      <c r="AM25" s="14"/>
      <c r="AN25" s="15">
        <f t="shared" si="0"/>
        <v>25.70199999999998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J41" s="12"/>
      <c r="AK41" s="28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288" t="s">
        <v>31</v>
      </c>
      <c r="AH43" s="289"/>
      <c r="AI43" s="289"/>
      <c r="AJ43" s="289"/>
      <c r="AK43" s="289"/>
      <c r="AL43" s="289"/>
      <c r="AM43" s="290"/>
      <c r="AN43" s="21">
        <f>SUM(AN12:AN42)</f>
        <v>380.37000000000006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380.37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35:AH35"/>
    <mergeCell ref="AG36:AH36"/>
    <mergeCell ref="AG37:AH37"/>
    <mergeCell ref="AG38:AH38"/>
    <mergeCell ref="AG39:AH39"/>
    <mergeCell ref="AG30:AH30"/>
    <mergeCell ref="AG31:AH31"/>
    <mergeCell ref="AG32:AH32"/>
    <mergeCell ref="AG33:AH33"/>
    <mergeCell ref="AG34:AH34"/>
    <mergeCell ref="AG42:AH42"/>
    <mergeCell ref="AG44:AM44"/>
    <mergeCell ref="AG45:AM45"/>
    <mergeCell ref="AI51:AN51"/>
    <mergeCell ref="AG41:AH4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8" tint="0.59999389629810485"/>
  </sheetPr>
  <dimension ref="A1:AP54"/>
  <sheetViews>
    <sheetView view="pageBreakPreview" topLeftCell="A10" zoomScale="60" zoomScaleNormal="55" workbookViewId="0">
      <selection activeCell="AM34" sqref="AM34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70</v>
      </c>
      <c r="B9" s="507"/>
      <c r="C9" s="507"/>
      <c r="D9" s="507"/>
      <c r="E9" s="507"/>
      <c r="F9" s="507"/>
      <c r="G9" s="507"/>
      <c r="H9" s="508" t="s">
        <v>64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Adecuación'!C30</f>
        <v>CIELO RASO EN PVC (INCLUYE ESTRUCTURA DE SOPORTE Y TODOS LOS ELEMENTOS NECESARIOS PARA SU CORRECTA INSTALACIÓN)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361" t="s">
        <v>434</v>
      </c>
      <c r="AJ13" s="362">
        <v>3.63</v>
      </c>
      <c r="AK13" s="363"/>
      <c r="AL13" s="363">
        <v>4.95</v>
      </c>
      <c r="AM13" s="363">
        <f>+AL13*AJ13</f>
        <v>17.968499999999999</v>
      </c>
      <c r="AN13" s="365">
        <f>+AM13+AM14</f>
        <v>76.239999999999995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364"/>
      <c r="AJ14" s="364">
        <v>7.65</v>
      </c>
      <c r="AK14" s="364"/>
      <c r="AL14" s="364">
        <v>7.6171895424836595</v>
      </c>
      <c r="AM14" s="364">
        <f>+AJ14*AL14</f>
        <v>58.271499999999996</v>
      </c>
      <c r="AN14" s="36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364"/>
      <c r="AJ15" s="364"/>
      <c r="AK15" s="364"/>
      <c r="AL15" s="364"/>
      <c r="AM15" s="364"/>
      <c r="AN15" s="36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361" t="s">
        <v>435</v>
      </c>
      <c r="AJ16" s="362">
        <v>2.1</v>
      </c>
      <c r="AK16" s="363"/>
      <c r="AL16" s="363">
        <v>6.1</v>
      </c>
      <c r="AM16" s="363">
        <f>+AL16*AJ16</f>
        <v>12.81</v>
      </c>
      <c r="AN16" s="365">
        <f>+AM17+AM16</f>
        <v>62.18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364"/>
      <c r="AJ17" s="364">
        <v>7.52</v>
      </c>
      <c r="AK17" s="364"/>
      <c r="AL17" s="364">
        <v>6.5651595744680851</v>
      </c>
      <c r="AM17" s="364">
        <f>+AL17*AJ17</f>
        <v>49.37</v>
      </c>
      <c r="AN17" s="36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364"/>
      <c r="AJ18" s="364"/>
      <c r="AK18" s="364"/>
      <c r="AL18" s="364"/>
      <c r="AM18" s="364"/>
      <c r="AN18" s="36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361" t="s">
        <v>436</v>
      </c>
      <c r="AJ19" s="362">
        <v>5.05</v>
      </c>
      <c r="AK19" s="363"/>
      <c r="AL19" s="363">
        <v>9.42</v>
      </c>
      <c r="AM19" s="363">
        <f>+AL19*AJ19</f>
        <v>47.570999999999998</v>
      </c>
      <c r="AN19" s="365">
        <f>+AM19+AM20</f>
        <v>87.42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364"/>
      <c r="AJ20" s="364">
        <v>6.149537037037037</v>
      </c>
      <c r="AK20" s="364"/>
      <c r="AL20" s="364">
        <v>6.48</v>
      </c>
      <c r="AM20" s="364">
        <f>+AL20*AJ20</f>
        <v>39.849000000000004</v>
      </c>
      <c r="AN20" s="36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364"/>
      <c r="AJ21" s="364"/>
      <c r="AK21" s="364"/>
      <c r="AL21" s="364"/>
      <c r="AM21" s="364"/>
      <c r="AN21" s="36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361" t="s">
        <v>437</v>
      </c>
      <c r="AJ22" s="362">
        <v>2.6</v>
      </c>
      <c r="AK22" s="362"/>
      <c r="AL22" s="363">
        <v>7.53</v>
      </c>
      <c r="AM22" s="363">
        <f>+AL22*AJ22</f>
        <v>19.578000000000003</v>
      </c>
      <c r="AN22" s="365">
        <f>+AM23+AM22</f>
        <v>67.919999999999987</v>
      </c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364"/>
      <c r="AJ23" s="364">
        <v>5.78</v>
      </c>
      <c r="AK23" s="364"/>
      <c r="AL23" s="364">
        <v>8.3636678200692014</v>
      </c>
      <c r="AM23" s="364">
        <f>+AL23*AJ23</f>
        <v>48.341999999999985</v>
      </c>
      <c r="AN23" s="36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364"/>
      <c r="AJ24" s="364"/>
      <c r="AK24" s="364"/>
      <c r="AL24" s="364"/>
      <c r="AM24" s="364"/>
      <c r="AN24" s="36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361" t="s">
        <v>438</v>
      </c>
      <c r="AJ25" s="362">
        <v>4.3495192307692312</v>
      </c>
      <c r="AK25" s="362"/>
      <c r="AL25" s="363">
        <v>20.8</v>
      </c>
      <c r="AM25" s="364"/>
      <c r="AN25" s="368">
        <f>+AJ25*AL25</f>
        <v>90.470000000000013</v>
      </c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361" t="s">
        <v>439</v>
      </c>
      <c r="AJ26" s="362">
        <v>10.458113207547168</v>
      </c>
      <c r="AK26" s="363"/>
      <c r="AL26" s="363">
        <v>5.3</v>
      </c>
      <c r="AM26" s="363">
        <f>+AL26*AJ26</f>
        <v>55.42799999999999</v>
      </c>
      <c r="AN26" s="365">
        <f>+AM26+AM27+AM28</f>
        <v>69.709999999999994</v>
      </c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364"/>
      <c r="AJ27" s="364">
        <v>3.23</v>
      </c>
      <c r="AK27" s="364"/>
      <c r="AL27" s="364">
        <v>3.4</v>
      </c>
      <c r="AM27" s="363">
        <f t="shared" ref="AM27:AM28" si="0">+AL27*AJ27</f>
        <v>10.981999999999999</v>
      </c>
      <c r="AN27" s="36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364"/>
      <c r="AJ28" s="364">
        <v>1.2</v>
      </c>
      <c r="AK28" s="364"/>
      <c r="AL28" s="364">
        <v>2.75</v>
      </c>
      <c r="AM28" s="363">
        <f t="shared" si="0"/>
        <v>3.3</v>
      </c>
      <c r="AN28" s="36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361" t="s">
        <v>440</v>
      </c>
      <c r="AJ29" s="362">
        <v>6.73</v>
      </c>
      <c r="AK29" s="362"/>
      <c r="AL29" s="363">
        <v>5.1456166419019329</v>
      </c>
      <c r="AM29" s="364"/>
      <c r="AN29" s="368">
        <f>+AL29*AJ29</f>
        <v>34.63000000000001</v>
      </c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488.57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488.57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E9" sqref="AE9:AI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72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Adecuación'!C32</f>
        <v>CERAMICA PARED (INCLUYE BOQUILLA COLOR, WING Y LINEALES)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382</v>
      </c>
      <c r="AJ13" s="276">
        <v>2.92</v>
      </c>
      <c r="AK13" s="277">
        <v>2.4</v>
      </c>
      <c r="AL13" s="277"/>
      <c r="AM13" s="273"/>
      <c r="AN13" s="274">
        <f>+AK13*AJ13</f>
        <v>7.008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383</v>
      </c>
      <c r="AJ14" s="276">
        <v>4.41</v>
      </c>
      <c r="AK14" s="277">
        <v>2.4</v>
      </c>
      <c r="AL14" s="277"/>
      <c r="AM14" s="273"/>
      <c r="AN14" s="274">
        <f t="shared" ref="AN14:AN16" si="0">+AK14*AJ14</f>
        <v>10.584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384</v>
      </c>
      <c r="AJ15" s="276">
        <v>11.73</v>
      </c>
      <c r="AK15" s="277">
        <v>2.4</v>
      </c>
      <c r="AL15" s="277"/>
      <c r="AM15" s="273"/>
      <c r="AN15" s="274">
        <f t="shared" si="0"/>
        <v>28.152000000000001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385</v>
      </c>
      <c r="AJ16" s="276">
        <v>9.77</v>
      </c>
      <c r="AK16" s="277">
        <v>2.4</v>
      </c>
      <c r="AL16" s="277"/>
      <c r="AM16" s="273"/>
      <c r="AN16" s="274">
        <f t="shared" si="0"/>
        <v>23.447999999999997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386</v>
      </c>
      <c r="AJ17" s="276">
        <f>3.72*2</f>
        <v>7.44</v>
      </c>
      <c r="AK17" s="276">
        <v>2.4</v>
      </c>
      <c r="AL17" s="277"/>
      <c r="AM17" s="277"/>
      <c r="AN17" s="274">
        <f>+AK17*AJ17</f>
        <v>17.856000000000002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/>
      <c r="AJ18" s="276"/>
      <c r="AK18" s="276"/>
      <c r="AL18" s="277"/>
      <c r="AM18" s="277"/>
      <c r="AN18" s="274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33.75" customHeight="1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87.048000000000002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87.05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75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Adecuación'!C33</f>
        <v>CERAMICA PISO 33 X 33 CM LINEA INSTITUCIONAL O SIMILAR (INCLUYE BOQUILLA COLOR, LINEALES)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35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382</v>
      </c>
      <c r="AJ14" s="276">
        <v>2.92</v>
      </c>
      <c r="AK14" s="277">
        <v>3</v>
      </c>
      <c r="AL14" s="277"/>
      <c r="AM14" s="273"/>
      <c r="AN14" s="274">
        <f>+AK14*AJ14</f>
        <v>8.76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383</v>
      </c>
      <c r="AJ15" s="276">
        <v>4.41</v>
      </c>
      <c r="AK15" s="277">
        <v>3</v>
      </c>
      <c r="AL15" s="277"/>
      <c r="AM15" s="273"/>
      <c r="AN15" s="274">
        <f t="shared" ref="AN15:AN17" si="0">+AK15*AJ15</f>
        <v>13.23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8" t="s">
        <v>384</v>
      </c>
      <c r="AJ16" s="276">
        <v>11.73</v>
      </c>
      <c r="AK16" s="277">
        <v>3</v>
      </c>
      <c r="AL16" s="277"/>
      <c r="AM16" s="273"/>
      <c r="AN16" s="274">
        <f t="shared" si="0"/>
        <v>35.19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385</v>
      </c>
      <c r="AJ17" s="276">
        <v>9.77</v>
      </c>
      <c r="AK17" s="277">
        <v>3</v>
      </c>
      <c r="AL17" s="277"/>
      <c r="AM17" s="273"/>
      <c r="AN17" s="274">
        <f t="shared" si="0"/>
        <v>29.31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 t="s">
        <v>386</v>
      </c>
      <c r="AJ18" s="276">
        <f>3.72*2</f>
        <v>7.44</v>
      </c>
      <c r="AK18" s="276">
        <v>3</v>
      </c>
      <c r="AL18" s="277"/>
      <c r="AM18" s="277"/>
      <c r="AN18" s="274">
        <f>+AK18*AJ18</f>
        <v>22.32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33.75" customHeight="1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30.75" customHeight="1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108.81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108.81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I12" sqref="AI12:AN17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76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Adecuación'!C34</f>
        <v>SUMINISTRO E INSTALACIÓN DE SANITARIO LINEA INSTITUCIONAL O SIMILAR (INCLUYE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78" t="s">
        <v>382</v>
      </c>
      <c r="AJ12" s="12"/>
      <c r="AK12" s="13"/>
      <c r="AL12" s="13"/>
      <c r="AM12" s="14">
        <v>1</v>
      </c>
      <c r="AN12" s="15">
        <f>+PRODUCT(AJ12:AM12)</f>
        <v>1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383</v>
      </c>
      <c r="AJ13" s="12"/>
      <c r="AK13" s="13"/>
      <c r="AL13" s="13"/>
      <c r="AM13" s="14">
        <v>2</v>
      </c>
      <c r="AN13" s="15">
        <f t="shared" ref="AN13:AN17" si="0">+PRODUCT(AJ13:AM13)</f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384</v>
      </c>
      <c r="AJ14" s="12"/>
      <c r="AK14" s="13"/>
      <c r="AL14" s="13"/>
      <c r="AM14" s="14">
        <v>1</v>
      </c>
      <c r="AN14" s="15">
        <f t="shared" si="0"/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5" t="s">
        <v>385</v>
      </c>
      <c r="AJ15" s="12"/>
      <c r="AK15" s="13"/>
      <c r="AL15" s="13"/>
      <c r="AM15" s="14">
        <v>1</v>
      </c>
      <c r="AN15" s="15">
        <f t="shared" si="0"/>
        <v>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386</v>
      </c>
      <c r="AJ16" s="12"/>
      <c r="AK16" s="13"/>
      <c r="AL16" s="13"/>
      <c r="AM16" s="14">
        <v>2</v>
      </c>
      <c r="AN16" s="15">
        <f t="shared" si="0"/>
        <v>2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475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I12" sqref="AI12:AN17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78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Adecuación'!C35</f>
        <v>SUMINISTRO E INSTALACIÓN DE LAVAMANOS LINEA INSTITUCIONAL O SIMILAR (INCLUYE GRIFO Y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78" t="s">
        <v>382</v>
      </c>
      <c r="AJ12" s="12"/>
      <c r="AK12" s="13"/>
      <c r="AL12" s="13"/>
      <c r="AM12" s="14">
        <v>1</v>
      </c>
      <c r="AN12" s="15">
        <f>+PRODUCT(AJ12:AM12)</f>
        <v>1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383</v>
      </c>
      <c r="AJ13" s="12"/>
      <c r="AK13" s="13"/>
      <c r="AL13" s="13"/>
      <c r="AM13" s="14">
        <v>2</v>
      </c>
      <c r="AN13" s="15">
        <f t="shared" ref="AN13:AN17" si="0">+PRODUCT(AJ13:AM13)</f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384</v>
      </c>
      <c r="AJ14" s="12"/>
      <c r="AK14" s="13"/>
      <c r="AL14" s="13"/>
      <c r="AM14" s="14">
        <v>1</v>
      </c>
      <c r="AN14" s="15">
        <f t="shared" si="0"/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5" t="s">
        <v>385</v>
      </c>
      <c r="AJ15" s="12"/>
      <c r="AK15" s="13"/>
      <c r="AL15" s="13"/>
      <c r="AM15" s="14">
        <v>1</v>
      </c>
      <c r="AN15" s="15">
        <f t="shared" si="0"/>
        <v>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386</v>
      </c>
      <c r="AJ16" s="12"/>
      <c r="AK16" s="13"/>
      <c r="AL16" s="13"/>
      <c r="AM16" s="14">
        <v>2</v>
      </c>
      <c r="AN16" s="15">
        <f t="shared" si="0"/>
        <v>2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475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I12" sqref="AI12:AN17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157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Adecuación'!C36</f>
        <v>SUMINISTRO E INSTALACIÓN DE PROTECTOR DE PAPEL HIGIENICO (INCLUYE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78" t="s">
        <v>382</v>
      </c>
      <c r="AJ12" s="12"/>
      <c r="AK12" s="13"/>
      <c r="AL12" s="13"/>
      <c r="AM12" s="14">
        <v>1</v>
      </c>
      <c r="AN12" s="15">
        <f>+PRODUCT(AJ12:AM12)</f>
        <v>1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383</v>
      </c>
      <c r="AJ13" s="12"/>
      <c r="AK13" s="13"/>
      <c r="AL13" s="13"/>
      <c r="AM13" s="14">
        <v>2</v>
      </c>
      <c r="AN13" s="15">
        <f t="shared" ref="AN13:AN17" si="0">+PRODUCT(AJ13:AM13)</f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384</v>
      </c>
      <c r="AJ14" s="12"/>
      <c r="AK14" s="13"/>
      <c r="AL14" s="13"/>
      <c r="AM14" s="14">
        <v>1</v>
      </c>
      <c r="AN14" s="15">
        <f t="shared" si="0"/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5" t="s">
        <v>385</v>
      </c>
      <c r="AJ15" s="12"/>
      <c r="AK15" s="13"/>
      <c r="AL15" s="13"/>
      <c r="AM15" s="14">
        <v>1</v>
      </c>
      <c r="AN15" s="15">
        <f t="shared" si="0"/>
        <v>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386</v>
      </c>
      <c r="AJ16" s="12"/>
      <c r="AK16" s="13"/>
      <c r="AL16" s="13"/>
      <c r="AM16" s="14">
        <v>2</v>
      </c>
      <c r="AN16" s="15">
        <f t="shared" si="0"/>
        <v>2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 t="s">
        <v>475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I13" sqref="AI13:AN18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79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Adecuación'!C37</f>
        <v>SUMINISTRO E INSTALACIÓN DE TOALLERO (INCLUYE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382</v>
      </c>
      <c r="AJ13" s="12"/>
      <c r="AK13" s="13"/>
      <c r="AL13" s="13"/>
      <c r="AM13" s="14">
        <v>1</v>
      </c>
      <c r="AN13" s="15">
        <f>+PRODUCT(AJ13:AM13)</f>
        <v>1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383</v>
      </c>
      <c r="AJ14" s="12"/>
      <c r="AK14" s="13"/>
      <c r="AL14" s="13"/>
      <c r="AM14" s="14">
        <v>2</v>
      </c>
      <c r="AN14" s="15">
        <f t="shared" ref="AN14:AN18" si="0">+PRODUCT(AJ14:AM14)</f>
        <v>2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384</v>
      </c>
      <c r="AJ15" s="12"/>
      <c r="AK15" s="13"/>
      <c r="AL15" s="13"/>
      <c r="AM15" s="14">
        <v>1</v>
      </c>
      <c r="AN15" s="15">
        <f t="shared" si="0"/>
        <v>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385</v>
      </c>
      <c r="AJ16" s="12"/>
      <c r="AK16" s="13"/>
      <c r="AL16" s="13"/>
      <c r="AM16" s="14">
        <v>1</v>
      </c>
      <c r="AN16" s="15">
        <f t="shared" si="0"/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386</v>
      </c>
      <c r="AJ17" s="12"/>
      <c r="AK17" s="13"/>
      <c r="AL17" s="13"/>
      <c r="AM17" s="14">
        <v>2</v>
      </c>
      <c r="AN17" s="15">
        <f t="shared" si="0"/>
        <v>2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475</v>
      </c>
      <c r="AJ18" s="12"/>
      <c r="AK18" s="13"/>
      <c r="AL18" s="13"/>
      <c r="AM18" s="14">
        <v>1</v>
      </c>
      <c r="AN18" s="15">
        <f t="shared" si="0"/>
        <v>1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2.7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81</v>
      </c>
      <c r="B9" s="507"/>
      <c r="C9" s="507"/>
      <c r="D9" s="507"/>
      <c r="E9" s="507"/>
      <c r="F9" s="507"/>
      <c r="G9" s="507"/>
      <c r="H9" s="508" t="s">
        <v>73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Adecuación'!C38</f>
        <v>LAVAPLATOS A.INOX. 100 X 60CM (INCLUYE GRIFO Y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 t="s">
        <v>387</v>
      </c>
      <c r="AJ16" s="12"/>
      <c r="AK16" s="13"/>
      <c r="AL16" s="13"/>
      <c r="AM16" s="14">
        <v>1</v>
      </c>
      <c r="AN16" s="15"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83</v>
      </c>
      <c r="AJ18" s="12"/>
      <c r="AK18" s="13"/>
      <c r="AL18" s="13"/>
      <c r="AM18" s="14">
        <v>1</v>
      </c>
      <c r="AN18" s="15">
        <f t="shared" ref="AN18" si="0">+PRODUCT(AJ18:AM18)</f>
        <v>1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8" tint="0.59999389629810485"/>
    <pageSetUpPr fitToPage="1"/>
  </sheetPr>
  <dimension ref="A1:AP54"/>
  <sheetViews>
    <sheetView view="pageBreakPreview" topLeftCell="A7" zoomScale="60" zoomScaleNormal="55" workbookViewId="0">
      <selection activeCell="AL20" sqref="AL20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84</v>
      </c>
      <c r="B9" s="507"/>
      <c r="C9" s="507"/>
      <c r="D9" s="507"/>
      <c r="E9" s="507"/>
      <c r="F9" s="507"/>
      <c r="G9" s="507"/>
      <c r="H9" s="508" t="s">
        <v>132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Adecuación'!C40</f>
        <v>MUEBLE SENCILLO EN MADERA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388</v>
      </c>
      <c r="AJ18" s="12"/>
      <c r="AK18" s="13"/>
      <c r="AL18" s="13">
        <v>2.25</v>
      </c>
      <c r="AM18" s="14"/>
      <c r="AN18" s="15">
        <f t="shared" ref="AN18:AN20" si="0">+PRODUCT(AJ18:AM18)</f>
        <v>2.25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 t="s">
        <v>389</v>
      </c>
      <c r="AJ20" s="12"/>
      <c r="AK20" s="13"/>
      <c r="AL20" s="13">
        <v>2.2000000000000002</v>
      </c>
      <c r="AM20" s="14"/>
      <c r="AN20" s="15">
        <f t="shared" si="0"/>
        <v>2.2000000000000002</v>
      </c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4.45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4.45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2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86</v>
      </c>
      <c r="B9" s="507"/>
      <c r="C9" s="507"/>
      <c r="D9" s="507"/>
      <c r="E9" s="507"/>
      <c r="F9" s="507"/>
      <c r="G9" s="507"/>
      <c r="H9" s="508" t="s">
        <v>132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Adecuación'!C41</f>
        <v>PUERTAS  LAMINA CON MARCO CAL. 18, INCL. ANTICORROSIVO Y ACABADO EN ESMALTE, INCLUYE CERRADURA E INSTALACION.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390</v>
      </c>
      <c r="AJ13" s="12"/>
      <c r="AK13" s="13"/>
      <c r="AL13" s="13"/>
      <c r="AM13" s="14"/>
      <c r="AN13" s="15"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87</v>
      </c>
      <c r="B9" s="507"/>
      <c r="C9" s="507"/>
      <c r="D9" s="507"/>
      <c r="E9" s="507"/>
      <c r="F9" s="507"/>
      <c r="G9" s="507"/>
      <c r="H9" s="508" t="s">
        <v>132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Adecuación'!C42</f>
        <v>VENTANA SENCILLA EN ALUMINIO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 t="s">
        <v>444</v>
      </c>
      <c r="AJ12" s="12"/>
      <c r="AK12" s="13"/>
      <c r="AL12" s="13"/>
      <c r="AM12" s="14">
        <v>14</v>
      </c>
      <c r="AN12" s="15">
        <f>+AM12</f>
        <v>14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443</v>
      </c>
      <c r="AJ13" s="12"/>
      <c r="AK13" s="13"/>
      <c r="AL13" s="13"/>
      <c r="AM13" s="14">
        <v>8</v>
      </c>
      <c r="AN13" s="15">
        <f t="shared" ref="AN13" si="0">+PRODUCT(AJ13:AM13)</f>
        <v>8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 t="s">
        <v>442</v>
      </c>
      <c r="AJ14" s="12"/>
      <c r="AK14" s="13"/>
      <c r="AL14" s="13"/>
      <c r="AM14" s="14">
        <v>1</v>
      </c>
      <c r="AN14" s="15">
        <f>+AM14</f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23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23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89</v>
      </c>
      <c r="B9" s="507"/>
      <c r="C9" s="507"/>
      <c r="D9" s="507"/>
      <c r="E9" s="507"/>
      <c r="F9" s="507"/>
      <c r="G9" s="507"/>
      <c r="H9" s="508" t="s">
        <v>132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Adecuación'!C43</f>
        <v>ESPEJO 4 MM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91</v>
      </c>
      <c r="AJ13" s="12">
        <v>0.45</v>
      </c>
      <c r="AK13" s="13">
        <v>0.6</v>
      </c>
      <c r="AL13" s="13"/>
      <c r="AM13" s="14">
        <v>8</v>
      </c>
      <c r="AN13" s="15">
        <f>+PRODUCT(AJ13:AM13)</f>
        <v>2.16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2.16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2.16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8" tint="0.59999389629810485"/>
  </sheetPr>
  <dimension ref="A1:AP54"/>
  <sheetViews>
    <sheetView view="pageBreakPreview" topLeftCell="A6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92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Adecuación'!C46</f>
        <v>SUMINISTRO E INSTALACION DE TOMAS ELECTRICOS DOBLES 110V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455</v>
      </c>
      <c r="AJ13" s="12"/>
      <c r="AK13" s="13"/>
      <c r="AL13" s="13"/>
      <c r="AM13" s="14">
        <v>13</v>
      </c>
      <c r="AN13" s="15">
        <f t="shared" ref="AN13" si="0">+PRODUCT(AJ13:AM13)</f>
        <v>13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13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13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94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Adecuación'!C47</f>
        <v>SUMINISTRO E INSTALACION DE INTERRUPTORES SENCILLOS 110V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454</v>
      </c>
      <c r="AJ13" s="12"/>
      <c r="AK13" s="13"/>
      <c r="AL13" s="13"/>
      <c r="AM13" s="14">
        <v>70</v>
      </c>
      <c r="AN13" s="15">
        <f t="shared" ref="AN13" si="0">+PRODUCT(AJ13:AM13)</f>
        <v>70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70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70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J10" sqref="AJ10:AL10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59.45" customHeight="1" thickBot="1" x14ac:dyDescent="0.25">
      <c r="A9" s="506" t="s">
        <v>95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Adecuación'!C48</f>
        <v>SALIDAS PARA ILUMINACIÓN 120V (INCLUYE CAJA OCTAGONAL, ADAPTADORES, DUCTO EMT DE 1/2 Y/O 3/4", CABLEADO EN #12 AWG + TIERRA E INTERRUPTOR. NO INCLUYE LUMINARIA)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97</v>
      </c>
      <c r="AJ13" s="12"/>
      <c r="AK13" s="13"/>
      <c r="AL13" s="13"/>
      <c r="AM13" s="14">
        <f>14+9+7+12+8+19+11+38+38+83</f>
        <v>239</v>
      </c>
      <c r="AN13" s="15">
        <f t="shared" ref="AN13" si="0">+PRODUCT(AJ13:AM13)</f>
        <v>239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239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239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59.45" customHeight="1" thickBot="1" x14ac:dyDescent="0.25">
      <c r="A9" s="506" t="s">
        <v>98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Adecuación'!C49</f>
        <v>SUMINISTRO E INSTALACIÓN DE LUMINARIA LED 25W (INCLUYE LUMINARIA, AÉREO, DERIVACIÓN EN SALIDA CON CONECTORES DE RESORTE. CABLE ENCAUCHETADA 3*14, INTERRUPTOR, TOMA Y ENCHUFE)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103</v>
      </c>
      <c r="AJ13" s="12"/>
      <c r="AK13" s="13"/>
      <c r="AL13" s="13"/>
      <c r="AM13" s="14">
        <v>70</v>
      </c>
      <c r="AN13" s="15">
        <f t="shared" ref="AN13" si="0">+PRODUCT(AJ13:AM13)</f>
        <v>70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70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70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L14" sqref="AL14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99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Adecuación'!C50</f>
        <v>REGATAS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101</v>
      </c>
      <c r="AJ13" s="12"/>
      <c r="AK13" s="13"/>
      <c r="AL13" s="13">
        <v>239</v>
      </c>
      <c r="AM13" s="14"/>
      <c r="AN13" s="15">
        <f t="shared" ref="AN13" si="0">+PRODUCT(AJ13:AM13)</f>
        <v>239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239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239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8" tint="0.59999389629810485"/>
  </sheetPr>
  <dimension ref="A1:AP54"/>
  <sheetViews>
    <sheetView view="pageBreakPreview" zoomScale="60" zoomScaleNormal="55" workbookViewId="0">
      <selection activeCell="AE9" sqref="AE9:AI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447</v>
      </c>
      <c r="B9" s="507"/>
      <c r="C9" s="507"/>
      <c r="D9" s="507"/>
      <c r="E9" s="507"/>
      <c r="F9" s="507"/>
      <c r="G9" s="507"/>
      <c r="H9" s="508" t="s">
        <v>93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Adecuación'!C51</f>
        <v>SUMINISTRO E INSTALACION DE INTERRUPTORES DOBLES 110V</v>
      </c>
      <c r="AF9" s="512"/>
      <c r="AG9" s="513"/>
      <c r="AH9" s="513"/>
      <c r="AI9" s="514"/>
      <c r="AJ9" s="333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453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>
        <v>9</v>
      </c>
      <c r="AN13" s="15">
        <f t="shared" ref="AN13" si="0">+PRODUCT(AJ13:AM13)</f>
        <v>9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31"/>
      <c r="AH27" s="332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9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9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53:R53"/>
    <mergeCell ref="AI53:AN53"/>
    <mergeCell ref="A54:R54"/>
    <mergeCell ref="AI54:AN54"/>
    <mergeCell ref="AG42:AH42"/>
    <mergeCell ref="AG43:AM43"/>
    <mergeCell ref="AG44:AM44"/>
    <mergeCell ref="AG45:AM45"/>
    <mergeCell ref="AI51:AN51"/>
    <mergeCell ref="A52:R52"/>
    <mergeCell ref="AI52:AN52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8" tint="0.59999389629810485"/>
  </sheetPr>
  <dimension ref="A1:AP54"/>
  <sheetViews>
    <sheetView view="pageBreakPreview" topLeftCell="A10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110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Adecuación'!C53</f>
        <v>TUBERÍA1/2"PVC PRESIÓN</v>
      </c>
      <c r="AF9" s="512"/>
      <c r="AG9" s="513"/>
      <c r="AH9" s="513"/>
      <c r="AI9" s="514"/>
      <c r="AJ9" s="32" t="s">
        <v>19</v>
      </c>
      <c r="AK9" s="9" t="s">
        <v>39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115</v>
      </c>
      <c r="AJ13" s="12"/>
      <c r="AK13" s="13"/>
      <c r="AL13" s="13">
        <v>6.42</v>
      </c>
      <c r="AM13" s="14"/>
      <c r="AN13" s="15">
        <f t="shared" ref="AN13" si="0">+PRODUCT(AJ13:AM13)</f>
        <v>6.42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>
        <v>9.08</v>
      </c>
      <c r="AM14" s="14"/>
      <c r="AN14" s="15">
        <f>+AL14</f>
        <v>9.08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15.5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15.5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8" tint="0.59999389629810485"/>
  </sheetPr>
  <dimension ref="A1:AP54"/>
  <sheetViews>
    <sheetView view="pageBreakPreview" topLeftCell="A6" zoomScale="50" zoomScaleNormal="55" zoomScaleSheetLayoutView="50" workbookViewId="0">
      <selection activeCell="AI13" sqref="AI13:AN18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116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Adecuación'!C54</f>
        <v>PUNTO HIDRÁULICO INODORO TANQUE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78" t="s">
        <v>382</v>
      </c>
      <c r="AJ13" s="12"/>
      <c r="AK13" s="13"/>
      <c r="AL13" s="13"/>
      <c r="AM13" s="14">
        <v>1</v>
      </c>
      <c r="AN13" s="15">
        <f>+PRODUCT(AJ13:AM13)</f>
        <v>1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383</v>
      </c>
      <c r="AJ14" s="12"/>
      <c r="AK14" s="13"/>
      <c r="AL14" s="13"/>
      <c r="AM14" s="14">
        <v>2</v>
      </c>
      <c r="AN14" s="15">
        <f t="shared" ref="AN14:AN18" si="0">+PRODUCT(AJ14:AM14)</f>
        <v>2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384</v>
      </c>
      <c r="AJ15" s="12"/>
      <c r="AK15" s="13"/>
      <c r="AL15" s="13"/>
      <c r="AM15" s="14">
        <v>1</v>
      </c>
      <c r="AN15" s="15">
        <f t="shared" si="0"/>
        <v>1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5" t="s">
        <v>385</v>
      </c>
      <c r="AJ16" s="12"/>
      <c r="AK16" s="13"/>
      <c r="AL16" s="13"/>
      <c r="AM16" s="14">
        <v>1</v>
      </c>
      <c r="AN16" s="15">
        <f t="shared" si="0"/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386</v>
      </c>
      <c r="AJ17" s="12"/>
      <c r="AK17" s="13"/>
      <c r="AL17" s="13"/>
      <c r="AM17" s="14">
        <v>2</v>
      </c>
      <c r="AN17" s="15">
        <f t="shared" si="0"/>
        <v>2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 t="s">
        <v>475</v>
      </c>
      <c r="AJ18" s="12"/>
      <c r="AK18" s="13"/>
      <c r="AL18" s="13"/>
      <c r="AM18" s="14">
        <v>1</v>
      </c>
      <c r="AN18" s="15">
        <f t="shared" si="0"/>
        <v>1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I14" sqref="AI14:AN1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113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Adecuación'!C55</f>
        <v>PUNTO HIDRÁULICO LAVAMANOS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382</v>
      </c>
      <c r="AJ14" s="12"/>
      <c r="AK14" s="13"/>
      <c r="AL14" s="13"/>
      <c r="AM14" s="14">
        <v>1</v>
      </c>
      <c r="AN14" s="15">
        <f>+PRODUCT(AJ14:AM14)</f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383</v>
      </c>
      <c r="AJ15" s="12"/>
      <c r="AK15" s="13"/>
      <c r="AL15" s="13"/>
      <c r="AM15" s="14">
        <v>2</v>
      </c>
      <c r="AN15" s="15">
        <f t="shared" ref="AN15:AN19" si="0">+PRODUCT(AJ15:AM15)</f>
        <v>2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8" t="s">
        <v>384</v>
      </c>
      <c r="AJ16" s="12"/>
      <c r="AK16" s="13"/>
      <c r="AL16" s="13"/>
      <c r="AM16" s="14">
        <v>1</v>
      </c>
      <c r="AN16" s="15">
        <f t="shared" si="0"/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 t="s">
        <v>386</v>
      </c>
      <c r="AJ18" s="12"/>
      <c r="AK18" s="13"/>
      <c r="AL18" s="13"/>
      <c r="AM18" s="14">
        <v>2</v>
      </c>
      <c r="AN18" s="15">
        <f t="shared" si="0"/>
        <v>2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475</v>
      </c>
      <c r="AJ19" s="12"/>
      <c r="AK19" s="13"/>
      <c r="AL19" s="13"/>
      <c r="AM19" s="14">
        <v>1</v>
      </c>
      <c r="AN19" s="15">
        <f t="shared" si="0"/>
        <v>1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5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8" tint="0.59999389629810485"/>
  </sheetPr>
  <dimension ref="A1:AP54"/>
  <sheetViews>
    <sheetView view="pageBreakPreview" topLeftCell="A4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116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Adecuación'!C56</f>
        <v>PUNTO HIDRÁULICO POCETA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 t="s">
        <v>380</v>
      </c>
      <c r="AJ12" s="12"/>
      <c r="AK12" s="13"/>
      <c r="AL12" s="13"/>
      <c r="AM12" s="14"/>
      <c r="AN12" s="15">
        <v>1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381</v>
      </c>
      <c r="AJ13" s="12"/>
      <c r="AK13" s="13"/>
      <c r="AL13" s="13"/>
      <c r="AM13" s="14"/>
      <c r="AN13" s="15">
        <v>1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theme="8" tint="0.59999389629810485"/>
  </sheetPr>
  <dimension ref="A1:AP54"/>
  <sheetViews>
    <sheetView view="pageBreakPreview" zoomScale="60" zoomScaleNormal="55" workbookViewId="0">
      <selection activeCell="AI14" sqref="AI14:AN1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118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Adecuación'!C57</f>
        <v>PUNTO SANITARIO INODORO TANQUE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382</v>
      </c>
      <c r="AJ14" s="12"/>
      <c r="AK14" s="13"/>
      <c r="AL14" s="13"/>
      <c r="AM14" s="14">
        <v>1</v>
      </c>
      <c r="AN14" s="15">
        <f>+PRODUCT(AJ14:AM14)</f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383</v>
      </c>
      <c r="AJ15" s="12"/>
      <c r="AK15" s="13"/>
      <c r="AL15" s="13"/>
      <c r="AM15" s="14">
        <v>2</v>
      </c>
      <c r="AN15" s="15">
        <f t="shared" ref="AN15:AN19" si="0">+PRODUCT(AJ15:AM15)</f>
        <v>2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8" t="s">
        <v>384</v>
      </c>
      <c r="AJ16" s="12"/>
      <c r="AK16" s="13"/>
      <c r="AL16" s="13"/>
      <c r="AM16" s="14">
        <v>1</v>
      </c>
      <c r="AN16" s="15">
        <f t="shared" si="0"/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 t="s">
        <v>386</v>
      </c>
      <c r="AJ18" s="12"/>
      <c r="AK18" s="13"/>
      <c r="AL18" s="13"/>
      <c r="AM18" s="14">
        <v>2</v>
      </c>
      <c r="AN18" s="15">
        <f t="shared" si="0"/>
        <v>2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475</v>
      </c>
      <c r="AJ19" s="12"/>
      <c r="AK19" s="13"/>
      <c r="AL19" s="13"/>
      <c r="AM19" s="14">
        <v>1</v>
      </c>
      <c r="AN19" s="15">
        <f t="shared" si="0"/>
        <v>1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I14" sqref="AI14:AN1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161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Adecuación'!C58</f>
        <v>PUNTO SANITARIO LAVAMANOS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/>
      <c r="AJ13" s="12"/>
      <c r="AK13" s="13"/>
      <c r="AL13" s="13"/>
      <c r="AM13" s="14"/>
      <c r="AN13" s="15"/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78" t="s">
        <v>382</v>
      </c>
      <c r="AJ14" s="12"/>
      <c r="AK14" s="13"/>
      <c r="AL14" s="13"/>
      <c r="AM14" s="14">
        <v>1</v>
      </c>
      <c r="AN14" s="15">
        <f>+PRODUCT(AJ14:AM14)</f>
        <v>1</v>
      </c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78" t="s">
        <v>383</v>
      </c>
      <c r="AJ15" s="12"/>
      <c r="AK15" s="13"/>
      <c r="AL15" s="13"/>
      <c r="AM15" s="14">
        <v>2</v>
      </c>
      <c r="AN15" s="15">
        <f t="shared" ref="AN15:AN19" si="0">+PRODUCT(AJ15:AM15)</f>
        <v>2</v>
      </c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78" t="s">
        <v>384</v>
      </c>
      <c r="AJ16" s="12"/>
      <c r="AK16" s="13"/>
      <c r="AL16" s="13"/>
      <c r="AM16" s="14">
        <v>1</v>
      </c>
      <c r="AN16" s="15">
        <f t="shared" si="0"/>
        <v>1</v>
      </c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75" t="s">
        <v>385</v>
      </c>
      <c r="AJ17" s="12"/>
      <c r="AK17" s="13"/>
      <c r="AL17" s="13"/>
      <c r="AM17" s="14">
        <v>1</v>
      </c>
      <c r="AN17" s="15">
        <f t="shared" si="0"/>
        <v>1</v>
      </c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75" t="s">
        <v>386</v>
      </c>
      <c r="AJ18" s="12"/>
      <c r="AK18" s="13"/>
      <c r="AL18" s="13"/>
      <c r="AM18" s="14">
        <v>2</v>
      </c>
      <c r="AN18" s="15">
        <f t="shared" si="0"/>
        <v>2</v>
      </c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 t="s">
        <v>475</v>
      </c>
      <c r="AJ19" s="12"/>
      <c r="AK19" s="13"/>
      <c r="AL19" s="13"/>
      <c r="AM19" s="14">
        <v>1</v>
      </c>
      <c r="AN19" s="15">
        <f t="shared" si="0"/>
        <v>1</v>
      </c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8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8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122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Adecuación'!C59</f>
        <v>PUNTO SIFÓN POCETA ASEO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 t="s">
        <v>380</v>
      </c>
      <c r="AJ12" s="12"/>
      <c r="AK12" s="13"/>
      <c r="AL12" s="13"/>
      <c r="AM12" s="14"/>
      <c r="AN12" s="15">
        <v>1</v>
      </c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381</v>
      </c>
      <c r="AJ13" s="12"/>
      <c r="AK13" s="13"/>
      <c r="AL13" s="13"/>
      <c r="AM13" s="14"/>
      <c r="AN13" s="15">
        <v>1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2"/>
      <c r="AL33" s="13"/>
      <c r="AM33" s="13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8" tint="0.59999389629810485"/>
  </sheetPr>
  <dimension ref="A1:AP54"/>
  <sheetViews>
    <sheetView view="pageBreakPreview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161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Adecuación'!C60</f>
        <v>CAJA DE INSPECCION EN MAMPOSTERÍA (INCLUYE PAÑETE Y CAÑUELA)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1"/>
      <c r="S11" s="491"/>
      <c r="T11" s="491"/>
      <c r="U11" s="491"/>
      <c r="V11" s="491"/>
      <c r="W11" s="491"/>
      <c r="X11" s="491"/>
      <c r="Y11" s="491"/>
      <c r="Z11" s="491"/>
      <c r="AA11" s="491"/>
      <c r="AB11" s="491"/>
      <c r="AC11" s="491"/>
      <c r="AD11" s="491"/>
      <c r="AE11" s="491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1"/>
      <c r="C12" s="491"/>
      <c r="D12" s="491"/>
      <c r="E12" s="491"/>
      <c r="F12" s="491"/>
      <c r="G12" s="491"/>
      <c r="H12" s="491"/>
      <c r="I12" s="491"/>
      <c r="J12" s="491"/>
      <c r="K12" s="491"/>
      <c r="L12" s="491"/>
      <c r="M12" s="491"/>
      <c r="N12" s="491"/>
      <c r="O12" s="491"/>
      <c r="P12" s="491"/>
      <c r="Q12" s="491"/>
      <c r="R12" s="491"/>
      <c r="S12" s="491"/>
      <c r="T12" s="491"/>
      <c r="U12" s="491"/>
      <c r="V12" s="491"/>
      <c r="W12" s="491"/>
      <c r="X12" s="491"/>
      <c r="Y12" s="491"/>
      <c r="Z12" s="491"/>
      <c r="AA12" s="491"/>
      <c r="AB12" s="491"/>
      <c r="AC12" s="491"/>
      <c r="AD12" s="491"/>
      <c r="AE12" s="491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1"/>
      <c r="C13" s="491"/>
      <c r="D13" s="491"/>
      <c r="E13" s="491"/>
      <c r="F13" s="491"/>
      <c r="G13" s="491"/>
      <c r="H13" s="491"/>
      <c r="I13" s="491"/>
      <c r="J13" s="491"/>
      <c r="K13" s="491"/>
      <c r="L13" s="491"/>
      <c r="M13" s="491"/>
      <c r="N13" s="491"/>
      <c r="O13" s="491"/>
      <c r="P13" s="491"/>
      <c r="Q13" s="491"/>
      <c r="R13" s="491"/>
      <c r="S13" s="491"/>
      <c r="T13" s="491"/>
      <c r="U13" s="491"/>
      <c r="V13" s="491"/>
      <c r="W13" s="491"/>
      <c r="X13" s="491"/>
      <c r="Y13" s="491"/>
      <c r="Z13" s="491"/>
      <c r="AA13" s="491"/>
      <c r="AB13" s="491"/>
      <c r="AC13" s="491"/>
      <c r="AD13" s="491"/>
      <c r="AE13" s="491"/>
      <c r="AF13" s="492"/>
      <c r="AG13" s="502"/>
      <c r="AH13" s="503"/>
      <c r="AI13" s="28" t="s">
        <v>128</v>
      </c>
      <c r="AJ13" s="12"/>
      <c r="AK13" s="13"/>
      <c r="AL13" s="13"/>
      <c r="AM13" s="14">
        <v>2</v>
      </c>
      <c r="AN13" s="15">
        <f t="shared" ref="AN13" si="0">+PRODUCT(AJ13:AM13)</f>
        <v>2</v>
      </c>
    </row>
    <row r="14" spans="1:42" ht="15.75" customHeight="1" x14ac:dyDescent="0.2">
      <c r="A14" s="490"/>
      <c r="B14" s="491"/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491"/>
      <c r="AE14" s="491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1"/>
      <c r="C15" s="491"/>
      <c r="D15" s="491"/>
      <c r="E15" s="491"/>
      <c r="F15" s="491"/>
      <c r="G15" s="491"/>
      <c r="H15" s="491"/>
      <c r="I15" s="491"/>
      <c r="J15" s="491"/>
      <c r="K15" s="491"/>
      <c r="L15" s="491"/>
      <c r="M15" s="491"/>
      <c r="N15" s="491"/>
      <c r="O15" s="491"/>
      <c r="P15" s="491"/>
      <c r="Q15" s="491"/>
      <c r="R15" s="491"/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491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  <c r="AD16" s="491"/>
      <c r="AE16" s="491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1"/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1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  <c r="AD17" s="491"/>
      <c r="AE17" s="491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1"/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  <c r="AD18" s="491"/>
      <c r="AE18" s="491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1"/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491"/>
      <c r="P19" s="491"/>
      <c r="Q19" s="491"/>
      <c r="R19" s="491"/>
      <c r="S19" s="491"/>
      <c r="T19" s="491"/>
      <c r="U19" s="491"/>
      <c r="V19" s="491"/>
      <c r="W19" s="491"/>
      <c r="X19" s="491"/>
      <c r="Y19" s="491"/>
      <c r="Z19" s="491"/>
      <c r="AA19" s="491"/>
      <c r="AB19" s="491"/>
      <c r="AC19" s="491"/>
      <c r="AD19" s="491"/>
      <c r="AE19" s="491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1"/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491"/>
      <c r="T20" s="491"/>
      <c r="U20" s="491"/>
      <c r="V20" s="491"/>
      <c r="W20" s="491"/>
      <c r="X20" s="491"/>
      <c r="Y20" s="491"/>
      <c r="Z20" s="491"/>
      <c r="AA20" s="491"/>
      <c r="AB20" s="491"/>
      <c r="AC20" s="491"/>
      <c r="AD20" s="491"/>
      <c r="AE20" s="491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1"/>
      <c r="C22" s="491"/>
      <c r="D22" s="491"/>
      <c r="E22" s="491"/>
      <c r="F22" s="491"/>
      <c r="G22" s="491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1"/>
      <c r="C23" s="491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1"/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1"/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1"/>
      <c r="U33" s="491"/>
      <c r="V33" s="491"/>
      <c r="W33" s="491"/>
      <c r="X33" s="491"/>
      <c r="Y33" s="491"/>
      <c r="Z33" s="491"/>
      <c r="AA33" s="491"/>
      <c r="AB33" s="491"/>
      <c r="AC33" s="491"/>
      <c r="AD33" s="491"/>
      <c r="AE33" s="491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1"/>
      <c r="T35" s="491"/>
      <c r="U35" s="491"/>
      <c r="V35" s="491"/>
      <c r="W35" s="491"/>
      <c r="X35" s="491"/>
      <c r="Y35" s="491"/>
      <c r="Z35" s="491"/>
      <c r="AA35" s="491"/>
      <c r="AB35" s="491"/>
      <c r="AC35" s="491"/>
      <c r="AD35" s="491"/>
      <c r="AE35" s="491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T39" s="491"/>
      <c r="U39" s="491"/>
      <c r="V39" s="491"/>
      <c r="W39" s="491"/>
      <c r="X39" s="491"/>
      <c r="Y39" s="491"/>
      <c r="Z39" s="491"/>
      <c r="AA39" s="491"/>
      <c r="AB39" s="491"/>
      <c r="AC39" s="491"/>
      <c r="AD39" s="491"/>
      <c r="AE39" s="491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T40" s="491"/>
      <c r="U40" s="491"/>
      <c r="V40" s="491"/>
      <c r="W40" s="491"/>
      <c r="X40" s="491"/>
      <c r="Y40" s="491"/>
      <c r="Z40" s="491"/>
      <c r="AA40" s="491"/>
      <c r="AB40" s="491"/>
      <c r="AC40" s="491"/>
      <c r="AD40" s="491"/>
      <c r="AE40" s="491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1"/>
      <c r="S41" s="491"/>
      <c r="T41" s="491"/>
      <c r="U41" s="491"/>
      <c r="V41" s="491"/>
      <c r="W41" s="491"/>
      <c r="X41" s="491"/>
      <c r="Y41" s="491"/>
      <c r="Z41" s="491"/>
      <c r="AA41" s="491"/>
      <c r="AB41" s="491"/>
      <c r="AC41" s="491"/>
      <c r="AD41" s="491"/>
      <c r="AE41" s="491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1"/>
      <c r="C42" s="491"/>
      <c r="D42" s="491"/>
      <c r="E42" s="491"/>
      <c r="F42" s="491"/>
      <c r="G42" s="491"/>
      <c r="H42" s="491"/>
      <c r="I42" s="491"/>
      <c r="J42" s="491"/>
      <c r="K42" s="491"/>
      <c r="L42" s="491"/>
      <c r="M42" s="491"/>
      <c r="N42" s="491"/>
      <c r="O42" s="491"/>
      <c r="P42" s="491"/>
      <c r="Q42" s="491"/>
      <c r="R42" s="491"/>
      <c r="S42" s="491"/>
      <c r="T42" s="491"/>
      <c r="U42" s="491"/>
      <c r="V42" s="491"/>
      <c r="W42" s="491"/>
      <c r="X42" s="491"/>
      <c r="Y42" s="491"/>
      <c r="Z42" s="491"/>
      <c r="AA42" s="491"/>
      <c r="AB42" s="491"/>
      <c r="AC42" s="491"/>
      <c r="AD42" s="491"/>
      <c r="AE42" s="491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2</v>
      </c>
    </row>
    <row r="44" spans="1:40" ht="15" customHeight="1" x14ac:dyDescent="0.2">
      <c r="A44" s="490"/>
      <c r="B44" s="491"/>
      <c r="C44" s="491"/>
      <c r="D44" s="491"/>
      <c r="E44" s="491"/>
      <c r="F44" s="491"/>
      <c r="G44" s="491"/>
      <c r="H44" s="491"/>
      <c r="I44" s="491"/>
      <c r="J44" s="491"/>
      <c r="K44" s="491"/>
      <c r="L44" s="491"/>
      <c r="M44" s="491"/>
      <c r="N44" s="491"/>
      <c r="O44" s="491"/>
      <c r="P44" s="491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2"/>
      <c r="AG44" s="547"/>
      <c r="AH44" s="548"/>
      <c r="AI44" s="548"/>
      <c r="AJ44" s="548"/>
      <c r="AK44" s="548"/>
      <c r="AL44" s="548"/>
      <c r="AM44" s="549"/>
      <c r="AN44" s="22"/>
    </row>
    <row r="45" spans="1:40" ht="18.75" thickBot="1" x14ac:dyDescent="0.3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1" t="s">
        <v>32</v>
      </c>
      <c r="AH45" s="522"/>
      <c r="AI45" s="522"/>
      <c r="AJ45" s="522"/>
      <c r="AK45" s="522"/>
      <c r="AL45" s="522"/>
      <c r="AM45" s="523"/>
      <c r="AN45" s="312">
        <f>ROUND(SUM(AN43:AN44),2)</f>
        <v>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10" sqref="A10:AF45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54.6" customHeight="1" thickBot="1" x14ac:dyDescent="0.25">
      <c r="A9" s="506" t="s">
        <v>124</v>
      </c>
      <c r="B9" s="507"/>
      <c r="C9" s="507"/>
      <c r="D9" s="507"/>
      <c r="E9" s="507"/>
      <c r="F9" s="507"/>
      <c r="G9" s="507"/>
      <c r="H9" s="508" t="s">
        <v>111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Adecuación'!C61</f>
        <v>SUMINISTRO E INSTALACIÓN DE TANQUE ELEVADO DE 2000 LTS PLASTICO (INCLUYE TODOS LOS ACCESORIOS NECESARIOS PARA SU CORRECTO FUNCIONAMIENTO)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3"/>
      <c r="C11" s="493"/>
      <c r="D11" s="493"/>
      <c r="E11" s="493"/>
      <c r="F11" s="493"/>
      <c r="G11" s="493"/>
      <c r="H11" s="493"/>
      <c r="I11" s="493"/>
      <c r="J11" s="493"/>
      <c r="K11" s="493"/>
      <c r="L11" s="493"/>
      <c r="M11" s="493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3"/>
      <c r="C12" s="493"/>
      <c r="D12" s="493"/>
      <c r="E12" s="493"/>
      <c r="F12" s="493"/>
      <c r="G12" s="493"/>
      <c r="H12" s="493"/>
      <c r="I12" s="493"/>
      <c r="J12" s="493"/>
      <c r="K12" s="493"/>
      <c r="L12" s="493"/>
      <c r="M12" s="493"/>
      <c r="N12" s="493"/>
      <c r="O12" s="493"/>
      <c r="P12" s="493"/>
      <c r="Q12" s="493"/>
      <c r="R12" s="493"/>
      <c r="S12" s="493"/>
      <c r="T12" s="493"/>
      <c r="U12" s="493"/>
      <c r="V12" s="493"/>
      <c r="W12" s="493"/>
      <c r="X12" s="493"/>
      <c r="Y12" s="493"/>
      <c r="Z12" s="493"/>
      <c r="AA12" s="493"/>
      <c r="AB12" s="493"/>
      <c r="AC12" s="493"/>
      <c r="AD12" s="493"/>
      <c r="AE12" s="493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3"/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2"/>
      <c r="AG13" s="502"/>
      <c r="AH13" s="503"/>
      <c r="AI13" s="28" t="s">
        <v>130</v>
      </c>
      <c r="AJ13" s="12"/>
      <c r="AK13" s="13"/>
      <c r="AL13" s="13"/>
      <c r="AM13" s="14">
        <v>1</v>
      </c>
      <c r="AN13" s="15">
        <f t="shared" ref="AN13" si="0">+PRODUCT(AJ13:AM13)</f>
        <v>1</v>
      </c>
    </row>
    <row r="14" spans="1:42" ht="15.75" customHeight="1" x14ac:dyDescent="0.2">
      <c r="A14" s="490"/>
      <c r="B14" s="493"/>
      <c r="C14" s="493"/>
      <c r="D14" s="493"/>
      <c r="E14" s="493"/>
      <c r="F14" s="493"/>
      <c r="G14" s="493"/>
      <c r="H14" s="493"/>
      <c r="I14" s="493"/>
      <c r="J14" s="493"/>
      <c r="K14" s="493"/>
      <c r="L14" s="493"/>
      <c r="M14" s="493"/>
      <c r="N14" s="493"/>
      <c r="O14" s="493"/>
      <c r="P14" s="493"/>
      <c r="Q14" s="493"/>
      <c r="R14" s="493"/>
      <c r="S14" s="493"/>
      <c r="T14" s="493"/>
      <c r="U14" s="493"/>
      <c r="V14" s="493"/>
      <c r="W14" s="493"/>
      <c r="X14" s="493"/>
      <c r="Y14" s="493"/>
      <c r="Z14" s="493"/>
      <c r="AA14" s="493"/>
      <c r="AB14" s="493"/>
      <c r="AC14" s="493"/>
      <c r="AD14" s="493"/>
      <c r="AE14" s="493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3"/>
      <c r="C15" s="493"/>
      <c r="D15" s="493"/>
      <c r="E15" s="493"/>
      <c r="F15" s="493"/>
      <c r="G15" s="493"/>
      <c r="H15" s="493"/>
      <c r="I15" s="493"/>
      <c r="J15" s="493"/>
      <c r="K15" s="493"/>
      <c r="L15" s="493"/>
      <c r="M15" s="493"/>
      <c r="N15" s="493"/>
      <c r="O15" s="493"/>
      <c r="P15" s="493"/>
      <c r="Q15" s="493"/>
      <c r="R15" s="493"/>
      <c r="S15" s="493"/>
      <c r="T15" s="493"/>
      <c r="U15" s="493"/>
      <c r="V15" s="493"/>
      <c r="W15" s="493"/>
      <c r="X15" s="493"/>
      <c r="Y15" s="493"/>
      <c r="Z15" s="493"/>
      <c r="AA15" s="493"/>
      <c r="AB15" s="493"/>
      <c r="AC15" s="493"/>
      <c r="AD15" s="493"/>
      <c r="AE15" s="493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3"/>
      <c r="C16" s="493"/>
      <c r="D16" s="493"/>
      <c r="E16" s="493"/>
      <c r="F16" s="493"/>
      <c r="G16" s="493"/>
      <c r="H16" s="493"/>
      <c r="I16" s="493"/>
      <c r="J16" s="493"/>
      <c r="K16" s="493"/>
      <c r="L16" s="493"/>
      <c r="M16" s="493"/>
      <c r="N16" s="493"/>
      <c r="O16" s="493"/>
      <c r="P16" s="493"/>
      <c r="Q16" s="493"/>
      <c r="R16" s="493"/>
      <c r="S16" s="493"/>
      <c r="T16" s="493"/>
      <c r="U16" s="493"/>
      <c r="V16" s="493"/>
      <c r="W16" s="493"/>
      <c r="X16" s="493"/>
      <c r="Y16" s="493"/>
      <c r="Z16" s="493"/>
      <c r="AA16" s="493"/>
      <c r="AB16" s="493"/>
      <c r="AC16" s="493"/>
      <c r="AD16" s="493"/>
      <c r="AE16" s="493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3"/>
      <c r="C17" s="493"/>
      <c r="D17" s="493"/>
      <c r="E17" s="493"/>
      <c r="F17" s="493"/>
      <c r="G17" s="493"/>
      <c r="H17" s="493"/>
      <c r="I17" s="493"/>
      <c r="J17" s="493"/>
      <c r="K17" s="493"/>
      <c r="L17" s="493"/>
      <c r="M17" s="493"/>
      <c r="N17" s="493"/>
      <c r="O17" s="493"/>
      <c r="P17" s="493"/>
      <c r="Q17" s="493"/>
      <c r="R17" s="493"/>
      <c r="S17" s="493"/>
      <c r="T17" s="493"/>
      <c r="U17" s="493"/>
      <c r="V17" s="493"/>
      <c r="W17" s="493"/>
      <c r="X17" s="493"/>
      <c r="Y17" s="493"/>
      <c r="Z17" s="493"/>
      <c r="AA17" s="493"/>
      <c r="AB17" s="493"/>
      <c r="AC17" s="493"/>
      <c r="AD17" s="493"/>
      <c r="AE17" s="493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3"/>
      <c r="C18" s="493"/>
      <c r="D18" s="493"/>
      <c r="E18" s="493"/>
      <c r="F18" s="493"/>
      <c r="G18" s="493"/>
      <c r="H18" s="493"/>
      <c r="I18" s="493"/>
      <c r="J18" s="493"/>
      <c r="K18" s="493"/>
      <c r="L18" s="493"/>
      <c r="M18" s="493"/>
      <c r="N18" s="493"/>
      <c r="O18" s="493"/>
      <c r="P18" s="493"/>
      <c r="Q18" s="493"/>
      <c r="R18" s="493"/>
      <c r="S18" s="493"/>
      <c r="T18" s="493"/>
      <c r="U18" s="493"/>
      <c r="V18" s="493"/>
      <c r="W18" s="493"/>
      <c r="X18" s="493"/>
      <c r="Y18" s="493"/>
      <c r="Z18" s="493"/>
      <c r="AA18" s="493"/>
      <c r="AB18" s="493"/>
      <c r="AC18" s="493"/>
      <c r="AD18" s="493"/>
      <c r="AE18" s="493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3"/>
      <c r="C19" s="493"/>
      <c r="D19" s="493"/>
      <c r="E19" s="493"/>
      <c r="F19" s="493"/>
      <c r="G19" s="493"/>
      <c r="H19" s="493"/>
      <c r="I19" s="493"/>
      <c r="J19" s="493"/>
      <c r="K19" s="493"/>
      <c r="L19" s="493"/>
      <c r="M19" s="493"/>
      <c r="N19" s="493"/>
      <c r="O19" s="493"/>
      <c r="P19" s="493"/>
      <c r="Q19" s="493"/>
      <c r="R19" s="493"/>
      <c r="S19" s="493"/>
      <c r="T19" s="493"/>
      <c r="U19" s="493"/>
      <c r="V19" s="493"/>
      <c r="W19" s="493"/>
      <c r="X19" s="493"/>
      <c r="Y19" s="493"/>
      <c r="Z19" s="493"/>
      <c r="AA19" s="493"/>
      <c r="AB19" s="493"/>
      <c r="AC19" s="493"/>
      <c r="AD19" s="493"/>
      <c r="AE19" s="493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493"/>
      <c r="M20" s="493"/>
      <c r="N20" s="493"/>
      <c r="O20" s="493"/>
      <c r="P20" s="493"/>
      <c r="Q20" s="493"/>
      <c r="R20" s="493"/>
      <c r="S20" s="493"/>
      <c r="T20" s="493"/>
      <c r="U20" s="493"/>
      <c r="V20" s="493"/>
      <c r="W20" s="493"/>
      <c r="X20" s="493"/>
      <c r="Y20" s="493"/>
      <c r="Z20" s="493"/>
      <c r="AA20" s="493"/>
      <c r="AB20" s="493"/>
      <c r="AC20" s="493"/>
      <c r="AD20" s="493"/>
      <c r="AE20" s="493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3"/>
      <c r="C21" s="493"/>
      <c r="D21" s="493"/>
      <c r="E21" s="493"/>
      <c r="F21" s="493"/>
      <c r="G21" s="493"/>
      <c r="H21" s="493"/>
      <c r="I21" s="493"/>
      <c r="J21" s="493"/>
      <c r="K21" s="493"/>
      <c r="L21" s="493"/>
      <c r="M21" s="493"/>
      <c r="N21" s="493"/>
      <c r="O21" s="493"/>
      <c r="P21" s="493"/>
      <c r="Q21" s="493"/>
      <c r="R21" s="493"/>
      <c r="S21" s="493"/>
      <c r="T21" s="493"/>
      <c r="U21" s="493"/>
      <c r="V21" s="493"/>
      <c r="W21" s="493"/>
      <c r="X21" s="493"/>
      <c r="Y21" s="493"/>
      <c r="Z21" s="493"/>
      <c r="AA21" s="493"/>
      <c r="AB21" s="493"/>
      <c r="AC21" s="493"/>
      <c r="AD21" s="493"/>
      <c r="AE21" s="493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3"/>
      <c r="C22" s="493"/>
      <c r="D22" s="493"/>
      <c r="E22" s="493"/>
      <c r="F22" s="493"/>
      <c r="G22" s="493"/>
      <c r="H22" s="493"/>
      <c r="I22" s="493"/>
      <c r="J22" s="493"/>
      <c r="K22" s="493"/>
      <c r="L22" s="493"/>
      <c r="M22" s="493"/>
      <c r="N22" s="493"/>
      <c r="O22" s="493"/>
      <c r="P22" s="493"/>
      <c r="Q22" s="493"/>
      <c r="R22" s="493"/>
      <c r="S22" s="493"/>
      <c r="T22" s="493"/>
      <c r="U22" s="493"/>
      <c r="V22" s="493"/>
      <c r="W22" s="493"/>
      <c r="X22" s="493"/>
      <c r="Y22" s="493"/>
      <c r="Z22" s="493"/>
      <c r="AA22" s="493"/>
      <c r="AB22" s="493"/>
      <c r="AC22" s="493"/>
      <c r="AD22" s="493"/>
      <c r="AE22" s="493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3"/>
      <c r="C23" s="493"/>
      <c r="D23" s="493"/>
      <c r="E23" s="493"/>
      <c r="F23" s="493"/>
      <c r="G23" s="493"/>
      <c r="H23" s="493"/>
      <c r="I23" s="493"/>
      <c r="J23" s="493"/>
      <c r="K23" s="493"/>
      <c r="L23" s="493"/>
      <c r="M23" s="493"/>
      <c r="N23" s="493"/>
      <c r="O23" s="493"/>
      <c r="P23" s="493"/>
      <c r="Q23" s="493"/>
      <c r="R23" s="493"/>
      <c r="S23" s="493"/>
      <c r="T23" s="493"/>
      <c r="U23" s="493"/>
      <c r="V23" s="493"/>
      <c r="W23" s="493"/>
      <c r="X23" s="493"/>
      <c r="Y23" s="493"/>
      <c r="Z23" s="493"/>
      <c r="AA23" s="493"/>
      <c r="AB23" s="493"/>
      <c r="AC23" s="493"/>
      <c r="AD23" s="493"/>
      <c r="AE23" s="493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3"/>
      <c r="C24" s="493"/>
      <c r="D24" s="493"/>
      <c r="E24" s="493"/>
      <c r="F24" s="493"/>
      <c r="G24" s="493"/>
      <c r="H24" s="493"/>
      <c r="I24" s="493"/>
      <c r="J24" s="493"/>
      <c r="K24" s="493"/>
      <c r="L24" s="493"/>
      <c r="M24" s="493"/>
      <c r="N24" s="493"/>
      <c r="O24" s="493"/>
      <c r="P24" s="493"/>
      <c r="Q24" s="493"/>
      <c r="R24" s="493"/>
      <c r="S24" s="493"/>
      <c r="T24" s="493"/>
      <c r="U24" s="493"/>
      <c r="V24" s="493"/>
      <c r="W24" s="493"/>
      <c r="X24" s="493"/>
      <c r="Y24" s="493"/>
      <c r="Z24" s="493"/>
      <c r="AA24" s="493"/>
      <c r="AB24" s="493"/>
      <c r="AC24" s="493"/>
      <c r="AD24" s="493"/>
      <c r="AE24" s="493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3"/>
      <c r="C25" s="493"/>
      <c r="D25" s="493"/>
      <c r="E25" s="493"/>
      <c r="F25" s="493"/>
      <c r="G25" s="493"/>
      <c r="H25" s="493"/>
      <c r="I25" s="493"/>
      <c r="J25" s="493"/>
      <c r="K25" s="493"/>
      <c r="L25" s="493"/>
      <c r="M25" s="493"/>
      <c r="N25" s="493"/>
      <c r="O25" s="493"/>
      <c r="P25" s="493"/>
      <c r="Q25" s="493"/>
      <c r="R25" s="493"/>
      <c r="S25" s="493"/>
      <c r="T25" s="493"/>
      <c r="U25" s="493"/>
      <c r="V25" s="493"/>
      <c r="W25" s="493"/>
      <c r="X25" s="493"/>
      <c r="Y25" s="493"/>
      <c r="Z25" s="493"/>
      <c r="AA25" s="493"/>
      <c r="AB25" s="493"/>
      <c r="AC25" s="493"/>
      <c r="AD25" s="493"/>
      <c r="AE25" s="493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3"/>
      <c r="C26" s="493"/>
      <c r="D26" s="493"/>
      <c r="E26" s="493"/>
      <c r="F26" s="493"/>
      <c r="G26" s="493"/>
      <c r="H26" s="493"/>
      <c r="I26" s="493"/>
      <c r="J26" s="493"/>
      <c r="K26" s="493"/>
      <c r="L26" s="493"/>
      <c r="M26" s="493"/>
      <c r="N26" s="493"/>
      <c r="O26" s="493"/>
      <c r="P26" s="493"/>
      <c r="Q26" s="493"/>
      <c r="R26" s="493"/>
      <c r="S26" s="493"/>
      <c r="T26" s="493"/>
      <c r="U26" s="493"/>
      <c r="V26" s="493"/>
      <c r="W26" s="493"/>
      <c r="X26" s="493"/>
      <c r="Y26" s="493"/>
      <c r="Z26" s="493"/>
      <c r="AA26" s="493"/>
      <c r="AB26" s="493"/>
      <c r="AC26" s="493"/>
      <c r="AD26" s="493"/>
      <c r="AE26" s="493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3"/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3"/>
      <c r="Q27" s="493"/>
      <c r="R27" s="493"/>
      <c r="S27" s="493"/>
      <c r="T27" s="493"/>
      <c r="U27" s="493"/>
      <c r="V27" s="493"/>
      <c r="W27" s="493"/>
      <c r="X27" s="493"/>
      <c r="Y27" s="493"/>
      <c r="Z27" s="493"/>
      <c r="AA27" s="493"/>
      <c r="AB27" s="493"/>
      <c r="AC27" s="493"/>
      <c r="AD27" s="493"/>
      <c r="AE27" s="493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3"/>
      <c r="C28" s="493"/>
      <c r="D28" s="493"/>
      <c r="E28" s="493"/>
      <c r="F28" s="493"/>
      <c r="G28" s="493"/>
      <c r="H28" s="493"/>
      <c r="I28" s="493"/>
      <c r="J28" s="493"/>
      <c r="K28" s="493"/>
      <c r="L28" s="493"/>
      <c r="M28" s="493"/>
      <c r="N28" s="493"/>
      <c r="O28" s="493"/>
      <c r="P28" s="493"/>
      <c r="Q28" s="493"/>
      <c r="R28" s="493"/>
      <c r="S28" s="493"/>
      <c r="T28" s="493"/>
      <c r="U28" s="493"/>
      <c r="V28" s="493"/>
      <c r="W28" s="493"/>
      <c r="X28" s="493"/>
      <c r="Y28" s="493"/>
      <c r="Z28" s="493"/>
      <c r="AA28" s="493"/>
      <c r="AB28" s="493"/>
      <c r="AC28" s="493"/>
      <c r="AD28" s="493"/>
      <c r="AE28" s="493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3"/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3"/>
      <c r="N29" s="493"/>
      <c r="O29" s="493"/>
      <c r="P29" s="493"/>
      <c r="Q29" s="493"/>
      <c r="R29" s="493"/>
      <c r="S29" s="493"/>
      <c r="T29" s="493"/>
      <c r="U29" s="493"/>
      <c r="V29" s="493"/>
      <c r="W29" s="493"/>
      <c r="X29" s="493"/>
      <c r="Y29" s="493"/>
      <c r="Z29" s="493"/>
      <c r="AA29" s="493"/>
      <c r="AB29" s="493"/>
      <c r="AC29" s="493"/>
      <c r="AD29" s="493"/>
      <c r="AE29" s="493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3"/>
      <c r="T30" s="493"/>
      <c r="U30" s="493"/>
      <c r="V30" s="493"/>
      <c r="W30" s="493"/>
      <c r="X30" s="493"/>
      <c r="Y30" s="493"/>
      <c r="Z30" s="493"/>
      <c r="AA30" s="493"/>
      <c r="AB30" s="493"/>
      <c r="AC30" s="493"/>
      <c r="AD30" s="493"/>
      <c r="AE30" s="493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3"/>
      <c r="T31" s="493"/>
      <c r="U31" s="493"/>
      <c r="V31" s="493"/>
      <c r="W31" s="493"/>
      <c r="X31" s="493"/>
      <c r="Y31" s="493"/>
      <c r="Z31" s="493"/>
      <c r="AA31" s="493"/>
      <c r="AB31" s="493"/>
      <c r="AC31" s="493"/>
      <c r="AD31" s="493"/>
      <c r="AE31" s="493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3"/>
      <c r="T32" s="493"/>
      <c r="U32" s="493"/>
      <c r="V32" s="493"/>
      <c r="W32" s="493"/>
      <c r="X32" s="493"/>
      <c r="Y32" s="493"/>
      <c r="Z32" s="493"/>
      <c r="AA32" s="493"/>
      <c r="AB32" s="493"/>
      <c r="AC32" s="493"/>
      <c r="AD32" s="493"/>
      <c r="AE32" s="493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3"/>
      <c r="T33" s="493"/>
      <c r="U33" s="493"/>
      <c r="V33" s="493"/>
      <c r="W33" s="493"/>
      <c r="X33" s="493"/>
      <c r="Y33" s="493"/>
      <c r="Z33" s="493"/>
      <c r="AA33" s="493"/>
      <c r="AB33" s="493"/>
      <c r="AC33" s="493"/>
      <c r="AD33" s="493"/>
      <c r="AE33" s="493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3"/>
      <c r="T34" s="493"/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3"/>
      <c r="T35" s="493"/>
      <c r="U35" s="493"/>
      <c r="V35" s="493"/>
      <c r="W35" s="493"/>
      <c r="X35" s="493"/>
      <c r="Y35" s="493"/>
      <c r="Z35" s="493"/>
      <c r="AA35" s="493"/>
      <c r="AB35" s="493"/>
      <c r="AC35" s="493"/>
      <c r="AD35" s="493"/>
      <c r="AE35" s="493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3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493"/>
      <c r="U37" s="493"/>
      <c r="V37" s="493"/>
      <c r="W37" s="493"/>
      <c r="X37" s="493"/>
      <c r="Y37" s="493"/>
      <c r="Z37" s="493"/>
      <c r="AA37" s="493"/>
      <c r="AB37" s="493"/>
      <c r="AC37" s="493"/>
      <c r="AD37" s="493"/>
      <c r="AE37" s="493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3"/>
      <c r="T38" s="493"/>
      <c r="U38" s="493"/>
      <c r="V38" s="493"/>
      <c r="W38" s="493"/>
      <c r="X38" s="493"/>
      <c r="Y38" s="493"/>
      <c r="Z38" s="493"/>
      <c r="AA38" s="493"/>
      <c r="AB38" s="493"/>
      <c r="AC38" s="493"/>
      <c r="AD38" s="493"/>
      <c r="AE38" s="493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  <c r="X40" s="493"/>
      <c r="Y40" s="493"/>
      <c r="Z40" s="493"/>
      <c r="AA40" s="493"/>
      <c r="AB40" s="493"/>
      <c r="AC40" s="493"/>
      <c r="AD40" s="493"/>
      <c r="AE40" s="493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3"/>
      <c r="C41" s="493"/>
      <c r="D41" s="493"/>
      <c r="E41" s="493"/>
      <c r="F41" s="493"/>
      <c r="G41" s="493"/>
      <c r="H41" s="493"/>
      <c r="I41" s="493"/>
      <c r="J41" s="493"/>
      <c r="K41" s="493"/>
      <c r="L41" s="493"/>
      <c r="M41" s="493"/>
      <c r="N41" s="493"/>
      <c r="O41" s="493"/>
      <c r="P41" s="493"/>
      <c r="Q41" s="493"/>
      <c r="R41" s="493"/>
      <c r="S41" s="493"/>
      <c r="T41" s="493"/>
      <c r="U41" s="493"/>
      <c r="V41" s="493"/>
      <c r="W41" s="493"/>
      <c r="X41" s="493"/>
      <c r="Y41" s="493"/>
      <c r="Z41" s="493"/>
      <c r="AA41" s="493"/>
      <c r="AB41" s="493"/>
      <c r="AC41" s="493"/>
      <c r="AD41" s="493"/>
      <c r="AE41" s="493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3"/>
      <c r="C42" s="493"/>
      <c r="D42" s="493"/>
      <c r="E42" s="493"/>
      <c r="F42" s="493"/>
      <c r="G42" s="493"/>
      <c r="H42" s="493"/>
      <c r="I42" s="493"/>
      <c r="J42" s="493"/>
      <c r="K42" s="493"/>
      <c r="L42" s="493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3"/>
      <c r="AC42" s="493"/>
      <c r="AD42" s="493"/>
      <c r="AE42" s="493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3"/>
      <c r="C43" s="493"/>
      <c r="D43" s="493"/>
      <c r="E43" s="493"/>
      <c r="F43" s="493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3"/>
      <c r="AC43" s="493"/>
      <c r="AD43" s="493"/>
      <c r="AE43" s="493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</v>
      </c>
    </row>
    <row r="44" spans="1:40" ht="15" customHeight="1" thickBot="1" x14ac:dyDescent="0.25">
      <c r="A44" s="490"/>
      <c r="B44" s="493"/>
      <c r="C44" s="493"/>
      <c r="D44" s="493"/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2"/>
      <c r="AG44" s="550"/>
      <c r="AH44" s="551"/>
      <c r="AI44" s="551"/>
      <c r="AJ44" s="551"/>
      <c r="AK44" s="551"/>
      <c r="AL44" s="551"/>
      <c r="AM44" s="552"/>
      <c r="AN44" s="22"/>
    </row>
    <row r="45" spans="1:40" ht="18.75" thickBot="1" x14ac:dyDescent="0.3">
      <c r="A45" s="556"/>
      <c r="B45" s="557"/>
      <c r="C45" s="557"/>
      <c r="D45" s="557"/>
      <c r="E45" s="557"/>
      <c r="F45" s="557"/>
      <c r="G45" s="557"/>
      <c r="H45" s="557"/>
      <c r="I45" s="557"/>
      <c r="J45" s="557"/>
      <c r="K45" s="557"/>
      <c r="L45" s="557"/>
      <c r="M45" s="557"/>
      <c r="N45" s="557"/>
      <c r="O45" s="557"/>
      <c r="P45" s="557"/>
      <c r="Q45" s="557"/>
      <c r="R45" s="557"/>
      <c r="S45" s="557"/>
      <c r="T45" s="557"/>
      <c r="U45" s="557"/>
      <c r="V45" s="557"/>
      <c r="W45" s="557"/>
      <c r="X45" s="557"/>
      <c r="Y45" s="557"/>
      <c r="Z45" s="557"/>
      <c r="AA45" s="557"/>
      <c r="AB45" s="557"/>
      <c r="AC45" s="557"/>
      <c r="AD45" s="557"/>
      <c r="AE45" s="557"/>
      <c r="AF45" s="558"/>
      <c r="AG45" s="553" t="s">
        <v>32</v>
      </c>
      <c r="AH45" s="554"/>
      <c r="AI45" s="554"/>
      <c r="AJ45" s="554"/>
      <c r="AK45" s="554"/>
      <c r="AL45" s="554"/>
      <c r="AM45" s="555"/>
      <c r="AN45" s="29">
        <f>ROUND(SUM(AN43:AN44),2)</f>
        <v>1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E9" sqref="AE9:AI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104</v>
      </c>
      <c r="B9" s="507"/>
      <c r="C9" s="507"/>
      <c r="D9" s="507"/>
      <c r="E9" s="507"/>
      <c r="F9" s="507"/>
      <c r="G9" s="507"/>
      <c r="H9" s="508" t="s">
        <v>105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Adecuación'!C63</f>
        <v>SUMINISTRO E INSTALACIÓN AIRE ACONDICIONADO 24.000 BTU</v>
      </c>
      <c r="AF9" s="512"/>
      <c r="AG9" s="513"/>
      <c r="AH9" s="513"/>
      <c r="AI9" s="514"/>
      <c r="AJ9" s="32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3"/>
      <c r="C11" s="493"/>
      <c r="D11" s="493"/>
      <c r="E11" s="493"/>
      <c r="F11" s="493"/>
      <c r="G11" s="493"/>
      <c r="H11" s="493"/>
      <c r="I11" s="493"/>
      <c r="J11" s="493"/>
      <c r="K11" s="493"/>
      <c r="L11" s="493"/>
      <c r="M11" s="493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3"/>
      <c r="C12" s="493"/>
      <c r="D12" s="493"/>
      <c r="E12" s="493"/>
      <c r="F12" s="493"/>
      <c r="G12" s="493"/>
      <c r="H12" s="493"/>
      <c r="I12" s="493"/>
      <c r="J12" s="493"/>
      <c r="K12" s="493"/>
      <c r="L12" s="493"/>
      <c r="M12" s="493"/>
      <c r="N12" s="493"/>
      <c r="O12" s="493"/>
      <c r="P12" s="493"/>
      <c r="Q12" s="493"/>
      <c r="R12" s="493"/>
      <c r="S12" s="493"/>
      <c r="T12" s="493"/>
      <c r="U12" s="493"/>
      <c r="V12" s="493"/>
      <c r="W12" s="493"/>
      <c r="X12" s="493"/>
      <c r="Y12" s="493"/>
      <c r="Z12" s="493"/>
      <c r="AA12" s="493"/>
      <c r="AB12" s="493"/>
      <c r="AC12" s="493"/>
      <c r="AD12" s="493"/>
      <c r="AE12" s="493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3"/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2"/>
      <c r="AG13" s="502"/>
      <c r="AH13" s="503"/>
      <c r="AI13" s="28" t="s">
        <v>106</v>
      </c>
      <c r="AJ13" s="12"/>
      <c r="AK13" s="13"/>
      <c r="AL13" s="13"/>
      <c r="AM13" s="14">
        <v>12</v>
      </c>
      <c r="AN13" s="15">
        <f t="shared" ref="AN13" si="0">+PRODUCT(AJ13:AM13)</f>
        <v>12</v>
      </c>
    </row>
    <row r="14" spans="1:42" ht="15.75" customHeight="1" x14ac:dyDescent="0.2">
      <c r="A14" s="490"/>
      <c r="B14" s="493"/>
      <c r="C14" s="493"/>
      <c r="D14" s="493"/>
      <c r="E14" s="493"/>
      <c r="F14" s="493"/>
      <c r="G14" s="493"/>
      <c r="H14" s="493"/>
      <c r="I14" s="493"/>
      <c r="J14" s="493"/>
      <c r="K14" s="493"/>
      <c r="L14" s="493"/>
      <c r="M14" s="493"/>
      <c r="N14" s="493"/>
      <c r="O14" s="493"/>
      <c r="P14" s="493"/>
      <c r="Q14" s="493"/>
      <c r="R14" s="493"/>
      <c r="S14" s="493"/>
      <c r="T14" s="493"/>
      <c r="U14" s="493"/>
      <c r="V14" s="493"/>
      <c r="W14" s="493"/>
      <c r="X14" s="493"/>
      <c r="Y14" s="493"/>
      <c r="Z14" s="493"/>
      <c r="AA14" s="493"/>
      <c r="AB14" s="493"/>
      <c r="AC14" s="493"/>
      <c r="AD14" s="493"/>
      <c r="AE14" s="493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3"/>
      <c r="C15" s="493"/>
      <c r="D15" s="493"/>
      <c r="E15" s="493"/>
      <c r="F15" s="493"/>
      <c r="G15" s="493"/>
      <c r="H15" s="493"/>
      <c r="I15" s="493"/>
      <c r="J15" s="493"/>
      <c r="K15" s="493"/>
      <c r="L15" s="493"/>
      <c r="M15" s="493"/>
      <c r="N15" s="493"/>
      <c r="O15" s="493"/>
      <c r="P15" s="493"/>
      <c r="Q15" s="493"/>
      <c r="R15" s="493"/>
      <c r="S15" s="493"/>
      <c r="T15" s="493"/>
      <c r="U15" s="493"/>
      <c r="V15" s="493"/>
      <c r="W15" s="493"/>
      <c r="X15" s="493"/>
      <c r="Y15" s="493"/>
      <c r="Z15" s="493"/>
      <c r="AA15" s="493"/>
      <c r="AB15" s="493"/>
      <c r="AC15" s="493"/>
      <c r="AD15" s="493"/>
      <c r="AE15" s="493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3"/>
      <c r="C16" s="493"/>
      <c r="D16" s="493"/>
      <c r="E16" s="493"/>
      <c r="F16" s="493"/>
      <c r="G16" s="493"/>
      <c r="H16" s="493"/>
      <c r="I16" s="493"/>
      <c r="J16" s="493"/>
      <c r="K16" s="493"/>
      <c r="L16" s="493"/>
      <c r="M16" s="493"/>
      <c r="N16" s="493"/>
      <c r="O16" s="493"/>
      <c r="P16" s="493"/>
      <c r="Q16" s="493"/>
      <c r="R16" s="493"/>
      <c r="S16" s="493"/>
      <c r="T16" s="493"/>
      <c r="U16" s="493"/>
      <c r="V16" s="493"/>
      <c r="W16" s="493"/>
      <c r="X16" s="493"/>
      <c r="Y16" s="493"/>
      <c r="Z16" s="493"/>
      <c r="AA16" s="493"/>
      <c r="AB16" s="493"/>
      <c r="AC16" s="493"/>
      <c r="AD16" s="493"/>
      <c r="AE16" s="493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3"/>
      <c r="C17" s="493"/>
      <c r="D17" s="493"/>
      <c r="E17" s="493"/>
      <c r="F17" s="493"/>
      <c r="G17" s="493"/>
      <c r="H17" s="493"/>
      <c r="I17" s="493"/>
      <c r="J17" s="493"/>
      <c r="K17" s="493"/>
      <c r="L17" s="493"/>
      <c r="M17" s="493"/>
      <c r="N17" s="493"/>
      <c r="O17" s="493"/>
      <c r="P17" s="493"/>
      <c r="Q17" s="493"/>
      <c r="R17" s="493"/>
      <c r="S17" s="493"/>
      <c r="T17" s="493"/>
      <c r="U17" s="493"/>
      <c r="V17" s="493"/>
      <c r="W17" s="493"/>
      <c r="X17" s="493"/>
      <c r="Y17" s="493"/>
      <c r="Z17" s="493"/>
      <c r="AA17" s="493"/>
      <c r="AB17" s="493"/>
      <c r="AC17" s="493"/>
      <c r="AD17" s="493"/>
      <c r="AE17" s="493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3"/>
      <c r="C18" s="493"/>
      <c r="D18" s="493"/>
      <c r="E18" s="493"/>
      <c r="F18" s="493"/>
      <c r="G18" s="493"/>
      <c r="H18" s="493"/>
      <c r="I18" s="493"/>
      <c r="J18" s="493"/>
      <c r="K18" s="493"/>
      <c r="L18" s="493"/>
      <c r="M18" s="493"/>
      <c r="N18" s="493"/>
      <c r="O18" s="493"/>
      <c r="P18" s="493"/>
      <c r="Q18" s="493"/>
      <c r="R18" s="493"/>
      <c r="S18" s="493"/>
      <c r="T18" s="493"/>
      <c r="U18" s="493"/>
      <c r="V18" s="493"/>
      <c r="W18" s="493"/>
      <c r="X18" s="493"/>
      <c r="Y18" s="493"/>
      <c r="Z18" s="493"/>
      <c r="AA18" s="493"/>
      <c r="AB18" s="493"/>
      <c r="AC18" s="493"/>
      <c r="AD18" s="493"/>
      <c r="AE18" s="493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3"/>
      <c r="C19" s="493"/>
      <c r="D19" s="493"/>
      <c r="E19" s="493"/>
      <c r="F19" s="493"/>
      <c r="G19" s="493"/>
      <c r="H19" s="493"/>
      <c r="I19" s="493"/>
      <c r="J19" s="493"/>
      <c r="K19" s="493"/>
      <c r="L19" s="493"/>
      <c r="M19" s="493"/>
      <c r="N19" s="493"/>
      <c r="O19" s="493"/>
      <c r="P19" s="493"/>
      <c r="Q19" s="493"/>
      <c r="R19" s="493"/>
      <c r="S19" s="493"/>
      <c r="T19" s="493"/>
      <c r="U19" s="493"/>
      <c r="V19" s="493"/>
      <c r="W19" s="493"/>
      <c r="X19" s="493"/>
      <c r="Y19" s="493"/>
      <c r="Z19" s="493"/>
      <c r="AA19" s="493"/>
      <c r="AB19" s="493"/>
      <c r="AC19" s="493"/>
      <c r="AD19" s="493"/>
      <c r="AE19" s="493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493"/>
      <c r="M20" s="493"/>
      <c r="N20" s="493"/>
      <c r="O20" s="493"/>
      <c r="P20" s="493"/>
      <c r="Q20" s="493"/>
      <c r="R20" s="493"/>
      <c r="S20" s="493"/>
      <c r="T20" s="493"/>
      <c r="U20" s="493"/>
      <c r="V20" s="493"/>
      <c r="W20" s="493"/>
      <c r="X20" s="493"/>
      <c r="Y20" s="493"/>
      <c r="Z20" s="493"/>
      <c r="AA20" s="493"/>
      <c r="AB20" s="493"/>
      <c r="AC20" s="493"/>
      <c r="AD20" s="493"/>
      <c r="AE20" s="493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3"/>
      <c r="C21" s="493"/>
      <c r="D21" s="493"/>
      <c r="E21" s="493"/>
      <c r="F21" s="493"/>
      <c r="G21" s="493"/>
      <c r="H21" s="493"/>
      <c r="I21" s="493"/>
      <c r="J21" s="493"/>
      <c r="K21" s="493"/>
      <c r="L21" s="493"/>
      <c r="M21" s="493"/>
      <c r="N21" s="493"/>
      <c r="O21" s="493"/>
      <c r="P21" s="493"/>
      <c r="Q21" s="493"/>
      <c r="R21" s="493"/>
      <c r="S21" s="493"/>
      <c r="T21" s="493"/>
      <c r="U21" s="493"/>
      <c r="V21" s="493"/>
      <c r="W21" s="493"/>
      <c r="X21" s="493"/>
      <c r="Y21" s="493"/>
      <c r="Z21" s="493"/>
      <c r="AA21" s="493"/>
      <c r="AB21" s="493"/>
      <c r="AC21" s="493"/>
      <c r="AD21" s="493"/>
      <c r="AE21" s="493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3"/>
      <c r="C22" s="493"/>
      <c r="D22" s="493"/>
      <c r="E22" s="493"/>
      <c r="F22" s="493"/>
      <c r="G22" s="493"/>
      <c r="H22" s="493"/>
      <c r="I22" s="493"/>
      <c r="J22" s="493"/>
      <c r="K22" s="493"/>
      <c r="L22" s="493"/>
      <c r="M22" s="493"/>
      <c r="N22" s="493"/>
      <c r="O22" s="493"/>
      <c r="P22" s="493"/>
      <c r="Q22" s="493"/>
      <c r="R22" s="493"/>
      <c r="S22" s="493"/>
      <c r="T22" s="493"/>
      <c r="U22" s="493"/>
      <c r="V22" s="493"/>
      <c r="W22" s="493"/>
      <c r="X22" s="493"/>
      <c r="Y22" s="493"/>
      <c r="Z22" s="493"/>
      <c r="AA22" s="493"/>
      <c r="AB22" s="493"/>
      <c r="AC22" s="493"/>
      <c r="AD22" s="493"/>
      <c r="AE22" s="493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3"/>
      <c r="C23" s="493"/>
      <c r="D23" s="493"/>
      <c r="E23" s="493"/>
      <c r="F23" s="493"/>
      <c r="G23" s="493"/>
      <c r="H23" s="493"/>
      <c r="I23" s="493"/>
      <c r="J23" s="493"/>
      <c r="K23" s="493"/>
      <c r="L23" s="493"/>
      <c r="M23" s="493"/>
      <c r="N23" s="493"/>
      <c r="O23" s="493"/>
      <c r="P23" s="493"/>
      <c r="Q23" s="493"/>
      <c r="R23" s="493"/>
      <c r="S23" s="493"/>
      <c r="T23" s="493"/>
      <c r="U23" s="493"/>
      <c r="V23" s="493"/>
      <c r="W23" s="493"/>
      <c r="X23" s="493"/>
      <c r="Y23" s="493"/>
      <c r="Z23" s="493"/>
      <c r="AA23" s="493"/>
      <c r="AB23" s="493"/>
      <c r="AC23" s="493"/>
      <c r="AD23" s="493"/>
      <c r="AE23" s="493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3"/>
      <c r="C24" s="493"/>
      <c r="D24" s="493"/>
      <c r="E24" s="493"/>
      <c r="F24" s="493"/>
      <c r="G24" s="493"/>
      <c r="H24" s="493"/>
      <c r="I24" s="493"/>
      <c r="J24" s="493"/>
      <c r="K24" s="493"/>
      <c r="L24" s="493"/>
      <c r="M24" s="493"/>
      <c r="N24" s="493"/>
      <c r="O24" s="493"/>
      <c r="P24" s="493"/>
      <c r="Q24" s="493"/>
      <c r="R24" s="493"/>
      <c r="S24" s="493"/>
      <c r="T24" s="493"/>
      <c r="U24" s="493"/>
      <c r="V24" s="493"/>
      <c r="W24" s="493"/>
      <c r="X24" s="493"/>
      <c r="Y24" s="493"/>
      <c r="Z24" s="493"/>
      <c r="AA24" s="493"/>
      <c r="AB24" s="493"/>
      <c r="AC24" s="493"/>
      <c r="AD24" s="493"/>
      <c r="AE24" s="493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3"/>
      <c r="C25" s="493"/>
      <c r="D25" s="493"/>
      <c r="E25" s="493"/>
      <c r="F25" s="493"/>
      <c r="G25" s="493"/>
      <c r="H25" s="493"/>
      <c r="I25" s="493"/>
      <c r="J25" s="493"/>
      <c r="K25" s="493"/>
      <c r="L25" s="493"/>
      <c r="M25" s="493"/>
      <c r="N25" s="493"/>
      <c r="O25" s="493"/>
      <c r="P25" s="493"/>
      <c r="Q25" s="493"/>
      <c r="R25" s="493"/>
      <c r="S25" s="493"/>
      <c r="T25" s="493"/>
      <c r="U25" s="493"/>
      <c r="V25" s="493"/>
      <c r="W25" s="493"/>
      <c r="X25" s="493"/>
      <c r="Y25" s="493"/>
      <c r="Z25" s="493"/>
      <c r="AA25" s="493"/>
      <c r="AB25" s="493"/>
      <c r="AC25" s="493"/>
      <c r="AD25" s="493"/>
      <c r="AE25" s="493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3"/>
      <c r="C26" s="493"/>
      <c r="D26" s="493"/>
      <c r="E26" s="493"/>
      <c r="F26" s="493"/>
      <c r="G26" s="493"/>
      <c r="H26" s="493"/>
      <c r="I26" s="493"/>
      <c r="J26" s="493"/>
      <c r="K26" s="493"/>
      <c r="L26" s="493"/>
      <c r="M26" s="493"/>
      <c r="N26" s="493"/>
      <c r="O26" s="493"/>
      <c r="P26" s="493"/>
      <c r="Q26" s="493"/>
      <c r="R26" s="493"/>
      <c r="S26" s="493"/>
      <c r="T26" s="493"/>
      <c r="U26" s="493"/>
      <c r="V26" s="493"/>
      <c r="W26" s="493"/>
      <c r="X26" s="493"/>
      <c r="Y26" s="493"/>
      <c r="Z26" s="493"/>
      <c r="AA26" s="493"/>
      <c r="AB26" s="493"/>
      <c r="AC26" s="493"/>
      <c r="AD26" s="493"/>
      <c r="AE26" s="493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3"/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3"/>
      <c r="Q27" s="493"/>
      <c r="R27" s="493"/>
      <c r="S27" s="493"/>
      <c r="T27" s="493"/>
      <c r="U27" s="493"/>
      <c r="V27" s="493"/>
      <c r="W27" s="493"/>
      <c r="X27" s="493"/>
      <c r="Y27" s="493"/>
      <c r="Z27" s="493"/>
      <c r="AA27" s="493"/>
      <c r="AB27" s="493"/>
      <c r="AC27" s="493"/>
      <c r="AD27" s="493"/>
      <c r="AE27" s="493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3"/>
      <c r="C28" s="493"/>
      <c r="D28" s="493"/>
      <c r="E28" s="493"/>
      <c r="F28" s="493"/>
      <c r="G28" s="493"/>
      <c r="H28" s="493"/>
      <c r="I28" s="493"/>
      <c r="J28" s="493"/>
      <c r="K28" s="493"/>
      <c r="L28" s="493"/>
      <c r="M28" s="493"/>
      <c r="N28" s="493"/>
      <c r="O28" s="493"/>
      <c r="P28" s="493"/>
      <c r="Q28" s="493"/>
      <c r="R28" s="493"/>
      <c r="S28" s="493"/>
      <c r="T28" s="493"/>
      <c r="U28" s="493"/>
      <c r="V28" s="493"/>
      <c r="W28" s="493"/>
      <c r="X28" s="493"/>
      <c r="Y28" s="493"/>
      <c r="Z28" s="493"/>
      <c r="AA28" s="493"/>
      <c r="AB28" s="493"/>
      <c r="AC28" s="493"/>
      <c r="AD28" s="493"/>
      <c r="AE28" s="493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3"/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3"/>
      <c r="N29" s="493"/>
      <c r="O29" s="493"/>
      <c r="P29" s="493"/>
      <c r="Q29" s="493"/>
      <c r="R29" s="493"/>
      <c r="S29" s="493"/>
      <c r="T29" s="493"/>
      <c r="U29" s="493"/>
      <c r="V29" s="493"/>
      <c r="W29" s="493"/>
      <c r="X29" s="493"/>
      <c r="Y29" s="493"/>
      <c r="Z29" s="493"/>
      <c r="AA29" s="493"/>
      <c r="AB29" s="493"/>
      <c r="AC29" s="493"/>
      <c r="AD29" s="493"/>
      <c r="AE29" s="493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3"/>
      <c r="T30" s="493"/>
      <c r="U30" s="493"/>
      <c r="V30" s="493"/>
      <c r="W30" s="493"/>
      <c r="X30" s="493"/>
      <c r="Y30" s="493"/>
      <c r="Z30" s="493"/>
      <c r="AA30" s="493"/>
      <c r="AB30" s="493"/>
      <c r="AC30" s="493"/>
      <c r="AD30" s="493"/>
      <c r="AE30" s="493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3"/>
      <c r="T31" s="493"/>
      <c r="U31" s="493"/>
      <c r="V31" s="493"/>
      <c r="W31" s="493"/>
      <c r="X31" s="493"/>
      <c r="Y31" s="493"/>
      <c r="Z31" s="493"/>
      <c r="AA31" s="493"/>
      <c r="AB31" s="493"/>
      <c r="AC31" s="493"/>
      <c r="AD31" s="493"/>
      <c r="AE31" s="493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3"/>
      <c r="T32" s="493"/>
      <c r="U32" s="493"/>
      <c r="V32" s="493"/>
      <c r="W32" s="493"/>
      <c r="X32" s="493"/>
      <c r="Y32" s="493"/>
      <c r="Z32" s="493"/>
      <c r="AA32" s="493"/>
      <c r="AB32" s="493"/>
      <c r="AC32" s="493"/>
      <c r="AD32" s="493"/>
      <c r="AE32" s="493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3"/>
      <c r="T33" s="493"/>
      <c r="U33" s="493"/>
      <c r="V33" s="493"/>
      <c r="W33" s="493"/>
      <c r="X33" s="493"/>
      <c r="Y33" s="493"/>
      <c r="Z33" s="493"/>
      <c r="AA33" s="493"/>
      <c r="AB33" s="493"/>
      <c r="AC33" s="493"/>
      <c r="AD33" s="493"/>
      <c r="AE33" s="493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3"/>
      <c r="T34" s="493"/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3"/>
      <c r="T35" s="493"/>
      <c r="U35" s="493"/>
      <c r="V35" s="493"/>
      <c r="W35" s="493"/>
      <c r="X35" s="493"/>
      <c r="Y35" s="493"/>
      <c r="Z35" s="493"/>
      <c r="AA35" s="493"/>
      <c r="AB35" s="493"/>
      <c r="AC35" s="493"/>
      <c r="AD35" s="493"/>
      <c r="AE35" s="493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3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493"/>
      <c r="U37" s="493"/>
      <c r="V37" s="493"/>
      <c r="W37" s="493"/>
      <c r="X37" s="493"/>
      <c r="Y37" s="493"/>
      <c r="Z37" s="493"/>
      <c r="AA37" s="493"/>
      <c r="AB37" s="493"/>
      <c r="AC37" s="493"/>
      <c r="AD37" s="493"/>
      <c r="AE37" s="493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3"/>
      <c r="T38" s="493"/>
      <c r="U38" s="493"/>
      <c r="V38" s="493"/>
      <c r="W38" s="493"/>
      <c r="X38" s="493"/>
      <c r="Y38" s="493"/>
      <c r="Z38" s="493"/>
      <c r="AA38" s="493"/>
      <c r="AB38" s="493"/>
      <c r="AC38" s="493"/>
      <c r="AD38" s="493"/>
      <c r="AE38" s="493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  <c r="X40" s="493"/>
      <c r="Y40" s="493"/>
      <c r="Z40" s="493"/>
      <c r="AA40" s="493"/>
      <c r="AB40" s="493"/>
      <c r="AC40" s="493"/>
      <c r="AD40" s="493"/>
      <c r="AE40" s="493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3"/>
      <c r="C41" s="493"/>
      <c r="D41" s="493"/>
      <c r="E41" s="493"/>
      <c r="F41" s="493"/>
      <c r="G41" s="493"/>
      <c r="H41" s="493"/>
      <c r="I41" s="493"/>
      <c r="J41" s="493"/>
      <c r="K41" s="493"/>
      <c r="L41" s="493"/>
      <c r="M41" s="493"/>
      <c r="N41" s="493"/>
      <c r="O41" s="493"/>
      <c r="P41" s="493"/>
      <c r="Q41" s="493"/>
      <c r="R41" s="493"/>
      <c r="S41" s="493"/>
      <c r="T41" s="493"/>
      <c r="U41" s="493"/>
      <c r="V41" s="493"/>
      <c r="W41" s="493"/>
      <c r="X41" s="493"/>
      <c r="Y41" s="493"/>
      <c r="Z41" s="493"/>
      <c r="AA41" s="493"/>
      <c r="AB41" s="493"/>
      <c r="AC41" s="493"/>
      <c r="AD41" s="493"/>
      <c r="AE41" s="493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3"/>
      <c r="C42" s="493"/>
      <c r="D42" s="493"/>
      <c r="E42" s="493"/>
      <c r="F42" s="493"/>
      <c r="G42" s="493"/>
      <c r="H42" s="493"/>
      <c r="I42" s="493"/>
      <c r="J42" s="493"/>
      <c r="K42" s="493"/>
      <c r="L42" s="493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3"/>
      <c r="AC42" s="493"/>
      <c r="AD42" s="493"/>
      <c r="AE42" s="493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3"/>
      <c r="C43" s="493"/>
      <c r="D43" s="493"/>
      <c r="E43" s="493"/>
      <c r="F43" s="493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3"/>
      <c r="AC43" s="493"/>
      <c r="AD43" s="493"/>
      <c r="AE43" s="493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12</v>
      </c>
    </row>
    <row r="44" spans="1:40" ht="15" customHeight="1" thickBot="1" x14ac:dyDescent="0.25">
      <c r="A44" s="490"/>
      <c r="B44" s="493"/>
      <c r="C44" s="493"/>
      <c r="D44" s="493"/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2"/>
      <c r="AG44" s="550"/>
      <c r="AH44" s="551"/>
      <c r="AI44" s="551"/>
      <c r="AJ44" s="551"/>
      <c r="AK44" s="551"/>
      <c r="AL44" s="551"/>
      <c r="AM44" s="552"/>
      <c r="AN44" s="22"/>
    </row>
    <row r="45" spans="1:40" ht="18.75" thickBot="1" x14ac:dyDescent="0.3">
      <c r="A45" s="556"/>
      <c r="B45" s="557"/>
      <c r="C45" s="557"/>
      <c r="D45" s="557"/>
      <c r="E45" s="557"/>
      <c r="F45" s="557"/>
      <c r="G45" s="557"/>
      <c r="H45" s="557"/>
      <c r="I45" s="557"/>
      <c r="J45" s="557"/>
      <c r="K45" s="557"/>
      <c r="L45" s="557"/>
      <c r="M45" s="557"/>
      <c r="N45" s="557"/>
      <c r="O45" s="557"/>
      <c r="P45" s="557"/>
      <c r="Q45" s="557"/>
      <c r="R45" s="557"/>
      <c r="S45" s="557"/>
      <c r="T45" s="557"/>
      <c r="U45" s="557"/>
      <c r="V45" s="557"/>
      <c r="W45" s="557"/>
      <c r="X45" s="557"/>
      <c r="Y45" s="557"/>
      <c r="Z45" s="557"/>
      <c r="AA45" s="557"/>
      <c r="AB45" s="557"/>
      <c r="AC45" s="557"/>
      <c r="AD45" s="557"/>
      <c r="AE45" s="557"/>
      <c r="AF45" s="558"/>
      <c r="AG45" s="553" t="s">
        <v>32</v>
      </c>
      <c r="AH45" s="554"/>
      <c r="AI45" s="554"/>
      <c r="AJ45" s="554"/>
      <c r="AK45" s="554"/>
      <c r="AL45" s="554"/>
      <c r="AM45" s="555"/>
      <c r="AN45" s="29">
        <f>ROUND(SUM(AN43:AN44),2)</f>
        <v>12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42:AH42"/>
    <mergeCell ref="AG43:AM43"/>
    <mergeCell ref="AG44:AM44"/>
    <mergeCell ref="AG45:AM45"/>
    <mergeCell ref="AI51:AN51"/>
    <mergeCell ref="A52:R52"/>
    <mergeCell ref="AI52:AN52"/>
    <mergeCell ref="A53:R53"/>
    <mergeCell ref="AI53:AN53"/>
    <mergeCell ref="A54:R54"/>
    <mergeCell ref="AI54:AN5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theme="8" tint="0.59999389629810485"/>
  </sheetPr>
  <dimension ref="A1:AP54"/>
  <sheetViews>
    <sheetView view="pageBreakPreview" topLeftCell="A7" zoomScale="60" zoomScaleNormal="55" workbookViewId="0">
      <selection activeCell="AE9" sqref="AE9:AI9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5.7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tr">
        <f>+'P. Adecuación'!B64</f>
        <v>10.2</v>
      </c>
      <c r="B9" s="507"/>
      <c r="C9" s="507"/>
      <c r="D9" s="507"/>
      <c r="E9" s="507"/>
      <c r="F9" s="507"/>
      <c r="G9" s="507"/>
      <c r="H9" s="508" t="s">
        <v>105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Adecuación'!C64</f>
        <v>SUMINISTRO E INSTALACION DE LETRERO PANEL LUMINOSO EN ACERO INOXIDABLE, INCLUYE DESMONTE E INSTALACION</v>
      </c>
      <c r="AF9" s="512"/>
      <c r="AG9" s="513"/>
      <c r="AH9" s="513"/>
      <c r="AI9" s="514"/>
      <c r="AJ9" s="304" t="s">
        <v>19</v>
      </c>
      <c r="AK9" s="9" t="s">
        <v>77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69</v>
      </c>
      <c r="AN10" s="517" t="s">
        <v>27</v>
      </c>
    </row>
    <row r="11" spans="1:42" ht="16.5" customHeight="1" thickBot="1" x14ac:dyDescent="0.25">
      <c r="A11" s="490"/>
      <c r="B11" s="493"/>
      <c r="C11" s="493"/>
      <c r="D11" s="493"/>
      <c r="E11" s="493"/>
      <c r="F11" s="493"/>
      <c r="G11" s="493"/>
      <c r="H11" s="493"/>
      <c r="I11" s="493"/>
      <c r="J11" s="493"/>
      <c r="K11" s="493"/>
      <c r="L11" s="493"/>
      <c r="M11" s="493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3"/>
      <c r="C12" s="493"/>
      <c r="D12" s="493"/>
      <c r="E12" s="493"/>
      <c r="F12" s="493"/>
      <c r="G12" s="493"/>
      <c r="H12" s="493"/>
      <c r="I12" s="493"/>
      <c r="J12" s="493"/>
      <c r="K12" s="493"/>
      <c r="L12" s="493"/>
      <c r="M12" s="493"/>
      <c r="N12" s="493"/>
      <c r="O12" s="493"/>
      <c r="P12" s="493"/>
      <c r="Q12" s="493"/>
      <c r="R12" s="493"/>
      <c r="S12" s="493"/>
      <c r="T12" s="493"/>
      <c r="U12" s="493"/>
      <c r="V12" s="493"/>
      <c r="W12" s="493"/>
      <c r="X12" s="493"/>
      <c r="Y12" s="493"/>
      <c r="Z12" s="493"/>
      <c r="AA12" s="493"/>
      <c r="AB12" s="493"/>
      <c r="AC12" s="493"/>
      <c r="AD12" s="493"/>
      <c r="AE12" s="493"/>
      <c r="AF12" s="492"/>
      <c r="AG12" s="519"/>
      <c r="AH12" s="520"/>
      <c r="AI12" s="28"/>
      <c r="AJ12" s="12"/>
      <c r="AK12" s="13"/>
      <c r="AL12" s="13"/>
      <c r="AM12" s="14"/>
      <c r="AN12" s="15"/>
    </row>
    <row r="13" spans="1:42" ht="15.75" customHeight="1" x14ac:dyDescent="0.2">
      <c r="A13" s="490"/>
      <c r="B13" s="493"/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2"/>
      <c r="AG13" s="502"/>
      <c r="AH13" s="503"/>
      <c r="AI13" s="28" t="s">
        <v>433</v>
      </c>
      <c r="AJ13" s="12"/>
      <c r="AK13" s="13"/>
      <c r="AL13" s="13"/>
      <c r="AM13" s="14">
        <v>1</v>
      </c>
      <c r="AN13" s="15">
        <f t="shared" ref="AN13" si="0">+PRODUCT(AJ13:AM13)</f>
        <v>1</v>
      </c>
    </row>
    <row r="14" spans="1:42" ht="15.75" customHeight="1" x14ac:dyDescent="0.2">
      <c r="A14" s="490"/>
      <c r="B14" s="493"/>
      <c r="C14" s="493"/>
      <c r="D14" s="493"/>
      <c r="E14" s="493"/>
      <c r="F14" s="493"/>
      <c r="G14" s="493"/>
      <c r="H14" s="493"/>
      <c r="I14" s="493"/>
      <c r="J14" s="493"/>
      <c r="K14" s="493"/>
      <c r="L14" s="493"/>
      <c r="M14" s="493"/>
      <c r="N14" s="493"/>
      <c r="O14" s="493"/>
      <c r="P14" s="493"/>
      <c r="Q14" s="493"/>
      <c r="R14" s="493"/>
      <c r="S14" s="493"/>
      <c r="T14" s="493"/>
      <c r="U14" s="493"/>
      <c r="V14" s="493"/>
      <c r="W14" s="493"/>
      <c r="X14" s="493"/>
      <c r="Y14" s="493"/>
      <c r="Z14" s="493"/>
      <c r="AA14" s="493"/>
      <c r="AB14" s="493"/>
      <c r="AC14" s="493"/>
      <c r="AD14" s="493"/>
      <c r="AE14" s="493"/>
      <c r="AF14" s="492"/>
      <c r="AG14" s="502"/>
      <c r="AH14" s="503"/>
      <c r="AI14" s="28"/>
      <c r="AJ14" s="12"/>
      <c r="AK14" s="13"/>
      <c r="AL14" s="13"/>
      <c r="AM14" s="14"/>
      <c r="AN14" s="15"/>
    </row>
    <row r="15" spans="1:42" ht="15.75" customHeight="1" x14ac:dyDescent="0.2">
      <c r="A15" s="490"/>
      <c r="B15" s="493"/>
      <c r="C15" s="493"/>
      <c r="D15" s="493"/>
      <c r="E15" s="493"/>
      <c r="F15" s="493"/>
      <c r="G15" s="493"/>
      <c r="H15" s="493"/>
      <c r="I15" s="493"/>
      <c r="J15" s="493"/>
      <c r="K15" s="493"/>
      <c r="L15" s="493"/>
      <c r="M15" s="493"/>
      <c r="N15" s="493"/>
      <c r="O15" s="493"/>
      <c r="P15" s="493"/>
      <c r="Q15" s="493"/>
      <c r="R15" s="493"/>
      <c r="S15" s="493"/>
      <c r="T15" s="493"/>
      <c r="U15" s="493"/>
      <c r="V15" s="493"/>
      <c r="W15" s="493"/>
      <c r="X15" s="493"/>
      <c r="Y15" s="493"/>
      <c r="Z15" s="493"/>
      <c r="AA15" s="493"/>
      <c r="AB15" s="493"/>
      <c r="AC15" s="493"/>
      <c r="AD15" s="493"/>
      <c r="AE15" s="493"/>
      <c r="AF15" s="492"/>
      <c r="AG15" s="502"/>
      <c r="AH15" s="503"/>
      <c r="AI15" s="28"/>
      <c r="AJ15" s="12"/>
      <c r="AK15" s="13"/>
      <c r="AL15" s="13"/>
      <c r="AM15" s="14"/>
      <c r="AN15" s="15"/>
      <c r="AP15" s="16"/>
    </row>
    <row r="16" spans="1:42" ht="15.75" customHeight="1" x14ac:dyDescent="0.2">
      <c r="A16" s="490"/>
      <c r="B16" s="493"/>
      <c r="C16" s="493"/>
      <c r="D16" s="493"/>
      <c r="E16" s="493"/>
      <c r="F16" s="493"/>
      <c r="G16" s="493"/>
      <c r="H16" s="493"/>
      <c r="I16" s="493"/>
      <c r="J16" s="493"/>
      <c r="K16" s="493"/>
      <c r="L16" s="493"/>
      <c r="M16" s="493"/>
      <c r="N16" s="493"/>
      <c r="O16" s="493"/>
      <c r="P16" s="493"/>
      <c r="Q16" s="493"/>
      <c r="R16" s="493"/>
      <c r="S16" s="493"/>
      <c r="T16" s="493"/>
      <c r="U16" s="493"/>
      <c r="V16" s="493"/>
      <c r="W16" s="493"/>
      <c r="X16" s="493"/>
      <c r="Y16" s="493"/>
      <c r="Z16" s="493"/>
      <c r="AA16" s="493"/>
      <c r="AB16" s="493"/>
      <c r="AC16" s="493"/>
      <c r="AD16" s="493"/>
      <c r="AE16" s="493"/>
      <c r="AF16" s="492"/>
      <c r="AG16" s="502"/>
      <c r="AH16" s="503"/>
      <c r="AI16" s="28"/>
      <c r="AJ16" s="12"/>
      <c r="AK16" s="13"/>
      <c r="AL16" s="13"/>
      <c r="AM16" s="14"/>
      <c r="AN16" s="15"/>
    </row>
    <row r="17" spans="1:41" ht="15.75" customHeight="1" x14ac:dyDescent="0.2">
      <c r="A17" s="490"/>
      <c r="B17" s="493"/>
      <c r="C17" s="493"/>
      <c r="D17" s="493"/>
      <c r="E17" s="493"/>
      <c r="F17" s="493"/>
      <c r="G17" s="493"/>
      <c r="H17" s="493"/>
      <c r="I17" s="493"/>
      <c r="J17" s="493"/>
      <c r="K17" s="493"/>
      <c r="L17" s="493"/>
      <c r="M17" s="493"/>
      <c r="N17" s="493"/>
      <c r="O17" s="493"/>
      <c r="P17" s="493"/>
      <c r="Q17" s="493"/>
      <c r="R17" s="493"/>
      <c r="S17" s="493"/>
      <c r="T17" s="493"/>
      <c r="U17" s="493"/>
      <c r="V17" s="493"/>
      <c r="W17" s="493"/>
      <c r="X17" s="493"/>
      <c r="Y17" s="493"/>
      <c r="Z17" s="493"/>
      <c r="AA17" s="493"/>
      <c r="AB17" s="493"/>
      <c r="AC17" s="493"/>
      <c r="AD17" s="493"/>
      <c r="AE17" s="493"/>
      <c r="AF17" s="492"/>
      <c r="AG17" s="502"/>
      <c r="AH17" s="503"/>
      <c r="AI17" s="28"/>
      <c r="AJ17" s="12"/>
      <c r="AK17" s="13"/>
      <c r="AL17" s="13"/>
      <c r="AM17" s="14"/>
      <c r="AN17" s="15"/>
      <c r="AO17" s="27"/>
    </row>
    <row r="18" spans="1:41" ht="15.75" customHeight="1" x14ac:dyDescent="0.2">
      <c r="A18" s="490"/>
      <c r="B18" s="493"/>
      <c r="C18" s="493"/>
      <c r="D18" s="493"/>
      <c r="E18" s="493"/>
      <c r="F18" s="493"/>
      <c r="G18" s="493"/>
      <c r="H18" s="493"/>
      <c r="I18" s="493"/>
      <c r="J18" s="493"/>
      <c r="K18" s="493"/>
      <c r="L18" s="493"/>
      <c r="M18" s="493"/>
      <c r="N18" s="493"/>
      <c r="O18" s="493"/>
      <c r="P18" s="493"/>
      <c r="Q18" s="493"/>
      <c r="R18" s="493"/>
      <c r="S18" s="493"/>
      <c r="T18" s="493"/>
      <c r="U18" s="493"/>
      <c r="V18" s="493"/>
      <c r="W18" s="493"/>
      <c r="X18" s="493"/>
      <c r="Y18" s="493"/>
      <c r="Z18" s="493"/>
      <c r="AA18" s="493"/>
      <c r="AB18" s="493"/>
      <c r="AC18" s="493"/>
      <c r="AD18" s="493"/>
      <c r="AE18" s="493"/>
      <c r="AF18" s="492"/>
      <c r="AG18" s="502"/>
      <c r="AH18" s="503"/>
      <c r="AI18" s="28"/>
      <c r="AJ18" s="12"/>
      <c r="AK18" s="13"/>
      <c r="AL18" s="13"/>
      <c r="AM18" s="14"/>
      <c r="AN18" s="15"/>
    </row>
    <row r="19" spans="1:41" ht="15.75" customHeight="1" x14ac:dyDescent="0.2">
      <c r="A19" s="490"/>
      <c r="B19" s="493"/>
      <c r="C19" s="493"/>
      <c r="D19" s="493"/>
      <c r="E19" s="493"/>
      <c r="F19" s="493"/>
      <c r="G19" s="493"/>
      <c r="H19" s="493"/>
      <c r="I19" s="493"/>
      <c r="J19" s="493"/>
      <c r="K19" s="493"/>
      <c r="L19" s="493"/>
      <c r="M19" s="493"/>
      <c r="N19" s="493"/>
      <c r="O19" s="493"/>
      <c r="P19" s="493"/>
      <c r="Q19" s="493"/>
      <c r="R19" s="493"/>
      <c r="S19" s="493"/>
      <c r="T19" s="493"/>
      <c r="U19" s="493"/>
      <c r="V19" s="493"/>
      <c r="W19" s="493"/>
      <c r="X19" s="493"/>
      <c r="Y19" s="493"/>
      <c r="Z19" s="493"/>
      <c r="AA19" s="493"/>
      <c r="AB19" s="493"/>
      <c r="AC19" s="493"/>
      <c r="AD19" s="493"/>
      <c r="AE19" s="493"/>
      <c r="AF19" s="492"/>
      <c r="AG19" s="502"/>
      <c r="AH19" s="503"/>
      <c r="AI19" s="28"/>
      <c r="AJ19" s="12"/>
      <c r="AK19" s="13"/>
      <c r="AL19" s="13"/>
      <c r="AM19" s="14"/>
      <c r="AN19" s="15"/>
    </row>
    <row r="20" spans="1:41" ht="15.75" customHeight="1" x14ac:dyDescent="0.2">
      <c r="A20" s="490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493"/>
      <c r="M20" s="493"/>
      <c r="N20" s="493"/>
      <c r="O20" s="493"/>
      <c r="P20" s="493"/>
      <c r="Q20" s="493"/>
      <c r="R20" s="493"/>
      <c r="S20" s="493"/>
      <c r="T20" s="493"/>
      <c r="U20" s="493"/>
      <c r="V20" s="493"/>
      <c r="W20" s="493"/>
      <c r="X20" s="493"/>
      <c r="Y20" s="493"/>
      <c r="Z20" s="493"/>
      <c r="AA20" s="493"/>
      <c r="AB20" s="493"/>
      <c r="AC20" s="493"/>
      <c r="AD20" s="493"/>
      <c r="AE20" s="493"/>
      <c r="AF20" s="492"/>
      <c r="AG20" s="502"/>
      <c r="AH20" s="503"/>
      <c r="AI20" s="28"/>
      <c r="AJ20" s="12"/>
      <c r="AK20" s="13"/>
      <c r="AL20" s="13"/>
      <c r="AM20" s="14"/>
      <c r="AN20" s="15"/>
    </row>
    <row r="21" spans="1:41" ht="15.75" customHeight="1" x14ac:dyDescent="0.2">
      <c r="A21" s="490"/>
      <c r="B21" s="493"/>
      <c r="C21" s="493"/>
      <c r="D21" s="493"/>
      <c r="E21" s="493"/>
      <c r="F21" s="493"/>
      <c r="G21" s="493"/>
      <c r="H21" s="493"/>
      <c r="I21" s="493"/>
      <c r="J21" s="493"/>
      <c r="K21" s="493"/>
      <c r="L21" s="493"/>
      <c r="M21" s="493"/>
      <c r="N21" s="493"/>
      <c r="O21" s="493"/>
      <c r="P21" s="493"/>
      <c r="Q21" s="493"/>
      <c r="R21" s="493"/>
      <c r="S21" s="493"/>
      <c r="T21" s="493"/>
      <c r="U21" s="493"/>
      <c r="V21" s="493"/>
      <c r="W21" s="493"/>
      <c r="X21" s="493"/>
      <c r="Y21" s="493"/>
      <c r="Z21" s="493"/>
      <c r="AA21" s="493"/>
      <c r="AB21" s="493"/>
      <c r="AC21" s="493"/>
      <c r="AD21" s="493"/>
      <c r="AE21" s="493"/>
      <c r="AF21" s="492"/>
      <c r="AG21" s="502"/>
      <c r="AH21" s="503"/>
      <c r="AI21" s="28"/>
      <c r="AJ21" s="12"/>
      <c r="AK21" s="13"/>
      <c r="AL21" s="13"/>
      <c r="AM21" s="14"/>
      <c r="AN21" s="15"/>
    </row>
    <row r="22" spans="1:41" ht="15.75" customHeight="1" x14ac:dyDescent="0.2">
      <c r="A22" s="490"/>
      <c r="B22" s="493"/>
      <c r="C22" s="493"/>
      <c r="D22" s="493"/>
      <c r="E22" s="493"/>
      <c r="F22" s="493"/>
      <c r="G22" s="493"/>
      <c r="H22" s="493"/>
      <c r="I22" s="493"/>
      <c r="J22" s="493"/>
      <c r="K22" s="493"/>
      <c r="L22" s="493"/>
      <c r="M22" s="493"/>
      <c r="N22" s="493"/>
      <c r="O22" s="493"/>
      <c r="P22" s="493"/>
      <c r="Q22" s="493"/>
      <c r="R22" s="493"/>
      <c r="S22" s="493"/>
      <c r="T22" s="493"/>
      <c r="U22" s="493"/>
      <c r="V22" s="493"/>
      <c r="W22" s="493"/>
      <c r="X22" s="493"/>
      <c r="Y22" s="493"/>
      <c r="Z22" s="493"/>
      <c r="AA22" s="493"/>
      <c r="AB22" s="493"/>
      <c r="AC22" s="493"/>
      <c r="AD22" s="493"/>
      <c r="AE22" s="493"/>
      <c r="AF22" s="492"/>
      <c r="AG22" s="502"/>
      <c r="AH22" s="503"/>
      <c r="AI22" s="28"/>
      <c r="AJ22" s="12"/>
      <c r="AK22" s="13"/>
      <c r="AL22" s="13"/>
      <c r="AM22" s="14"/>
      <c r="AN22" s="15"/>
    </row>
    <row r="23" spans="1:41" ht="15.75" customHeight="1" x14ac:dyDescent="0.2">
      <c r="A23" s="490"/>
      <c r="B23" s="493"/>
      <c r="C23" s="493"/>
      <c r="D23" s="493"/>
      <c r="E23" s="493"/>
      <c r="F23" s="493"/>
      <c r="G23" s="493"/>
      <c r="H23" s="493"/>
      <c r="I23" s="493"/>
      <c r="J23" s="493"/>
      <c r="K23" s="493"/>
      <c r="L23" s="493"/>
      <c r="M23" s="493"/>
      <c r="N23" s="493"/>
      <c r="O23" s="493"/>
      <c r="P23" s="493"/>
      <c r="Q23" s="493"/>
      <c r="R23" s="493"/>
      <c r="S23" s="493"/>
      <c r="T23" s="493"/>
      <c r="U23" s="493"/>
      <c r="V23" s="493"/>
      <c r="W23" s="493"/>
      <c r="X23" s="493"/>
      <c r="Y23" s="493"/>
      <c r="Z23" s="493"/>
      <c r="AA23" s="493"/>
      <c r="AB23" s="493"/>
      <c r="AC23" s="493"/>
      <c r="AD23" s="493"/>
      <c r="AE23" s="493"/>
      <c r="AF23" s="492"/>
      <c r="AG23" s="502"/>
      <c r="AH23" s="503"/>
      <c r="AI23" s="28"/>
      <c r="AJ23" s="12"/>
      <c r="AK23" s="13"/>
      <c r="AL23" s="13"/>
      <c r="AM23" s="14"/>
      <c r="AN23" s="15"/>
    </row>
    <row r="24" spans="1:41" ht="15.75" customHeight="1" x14ac:dyDescent="0.2">
      <c r="A24" s="490"/>
      <c r="B24" s="493"/>
      <c r="C24" s="493"/>
      <c r="D24" s="493"/>
      <c r="E24" s="493"/>
      <c r="F24" s="493"/>
      <c r="G24" s="493"/>
      <c r="H24" s="493"/>
      <c r="I24" s="493"/>
      <c r="J24" s="493"/>
      <c r="K24" s="493"/>
      <c r="L24" s="493"/>
      <c r="M24" s="493"/>
      <c r="N24" s="493"/>
      <c r="O24" s="493"/>
      <c r="P24" s="493"/>
      <c r="Q24" s="493"/>
      <c r="R24" s="493"/>
      <c r="S24" s="493"/>
      <c r="T24" s="493"/>
      <c r="U24" s="493"/>
      <c r="V24" s="493"/>
      <c r="W24" s="493"/>
      <c r="X24" s="493"/>
      <c r="Y24" s="493"/>
      <c r="Z24" s="493"/>
      <c r="AA24" s="493"/>
      <c r="AB24" s="493"/>
      <c r="AC24" s="493"/>
      <c r="AD24" s="493"/>
      <c r="AE24" s="493"/>
      <c r="AF24" s="492"/>
      <c r="AG24" s="502"/>
      <c r="AH24" s="503"/>
      <c r="AI24" s="28"/>
      <c r="AJ24" s="12"/>
      <c r="AK24" s="13"/>
      <c r="AL24" s="13"/>
      <c r="AM24" s="14"/>
      <c r="AN24" s="15"/>
    </row>
    <row r="25" spans="1:41" ht="15.75" customHeight="1" x14ac:dyDescent="0.2">
      <c r="A25" s="490"/>
      <c r="B25" s="493"/>
      <c r="C25" s="493"/>
      <c r="D25" s="493"/>
      <c r="E25" s="493"/>
      <c r="F25" s="493"/>
      <c r="G25" s="493"/>
      <c r="H25" s="493"/>
      <c r="I25" s="493"/>
      <c r="J25" s="493"/>
      <c r="K25" s="493"/>
      <c r="L25" s="493"/>
      <c r="M25" s="493"/>
      <c r="N25" s="493"/>
      <c r="O25" s="493"/>
      <c r="P25" s="493"/>
      <c r="Q25" s="493"/>
      <c r="R25" s="493"/>
      <c r="S25" s="493"/>
      <c r="T25" s="493"/>
      <c r="U25" s="493"/>
      <c r="V25" s="493"/>
      <c r="W25" s="493"/>
      <c r="X25" s="493"/>
      <c r="Y25" s="493"/>
      <c r="Z25" s="493"/>
      <c r="AA25" s="493"/>
      <c r="AB25" s="493"/>
      <c r="AC25" s="493"/>
      <c r="AD25" s="493"/>
      <c r="AE25" s="493"/>
      <c r="AF25" s="492"/>
      <c r="AG25" s="502"/>
      <c r="AH25" s="503"/>
      <c r="AI25" s="28"/>
      <c r="AJ25" s="12"/>
      <c r="AK25" s="13"/>
      <c r="AL25" s="13"/>
      <c r="AM25" s="14"/>
      <c r="AN25" s="15"/>
    </row>
    <row r="26" spans="1:41" ht="15.75" customHeight="1" x14ac:dyDescent="0.2">
      <c r="A26" s="490"/>
      <c r="B26" s="493"/>
      <c r="C26" s="493"/>
      <c r="D26" s="493"/>
      <c r="E26" s="493"/>
      <c r="F26" s="493"/>
      <c r="G26" s="493"/>
      <c r="H26" s="493"/>
      <c r="I26" s="493"/>
      <c r="J26" s="493"/>
      <c r="K26" s="493"/>
      <c r="L26" s="493"/>
      <c r="M26" s="493"/>
      <c r="N26" s="493"/>
      <c r="O26" s="493"/>
      <c r="P26" s="493"/>
      <c r="Q26" s="493"/>
      <c r="R26" s="493"/>
      <c r="S26" s="493"/>
      <c r="T26" s="493"/>
      <c r="U26" s="493"/>
      <c r="V26" s="493"/>
      <c r="W26" s="493"/>
      <c r="X26" s="493"/>
      <c r="Y26" s="493"/>
      <c r="Z26" s="493"/>
      <c r="AA26" s="493"/>
      <c r="AB26" s="493"/>
      <c r="AC26" s="493"/>
      <c r="AD26" s="493"/>
      <c r="AE26" s="493"/>
      <c r="AF26" s="492"/>
      <c r="AG26" s="504"/>
      <c r="AH26" s="505"/>
      <c r="AI26" s="28"/>
      <c r="AJ26" s="12"/>
      <c r="AK26" s="13"/>
      <c r="AL26" s="13"/>
      <c r="AM26" s="14"/>
      <c r="AN26" s="15"/>
    </row>
    <row r="27" spans="1:41" ht="15.75" customHeight="1" x14ac:dyDescent="0.2">
      <c r="A27" s="490"/>
      <c r="B27" s="493"/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3"/>
      <c r="Q27" s="493"/>
      <c r="R27" s="493"/>
      <c r="S27" s="493"/>
      <c r="T27" s="493"/>
      <c r="U27" s="493"/>
      <c r="V27" s="493"/>
      <c r="W27" s="493"/>
      <c r="X27" s="493"/>
      <c r="Y27" s="493"/>
      <c r="Z27" s="493"/>
      <c r="AA27" s="493"/>
      <c r="AB27" s="493"/>
      <c r="AC27" s="493"/>
      <c r="AD27" s="493"/>
      <c r="AE27" s="493"/>
      <c r="AF27" s="492"/>
      <c r="AG27" s="302"/>
      <c r="AH27" s="303"/>
      <c r="AI27" s="28"/>
      <c r="AJ27" s="12"/>
      <c r="AK27" s="13"/>
      <c r="AL27" s="13"/>
      <c r="AM27" s="14"/>
      <c r="AN27" s="15"/>
    </row>
    <row r="28" spans="1:41" ht="15" x14ac:dyDescent="0.2">
      <c r="A28" s="490"/>
      <c r="B28" s="493"/>
      <c r="C28" s="493"/>
      <c r="D28" s="493"/>
      <c r="E28" s="493"/>
      <c r="F28" s="493"/>
      <c r="G28" s="493"/>
      <c r="H28" s="493"/>
      <c r="I28" s="493"/>
      <c r="J28" s="493"/>
      <c r="K28" s="493"/>
      <c r="L28" s="493"/>
      <c r="M28" s="493"/>
      <c r="N28" s="493"/>
      <c r="O28" s="493"/>
      <c r="P28" s="493"/>
      <c r="Q28" s="493"/>
      <c r="R28" s="493"/>
      <c r="S28" s="493"/>
      <c r="T28" s="493"/>
      <c r="U28" s="493"/>
      <c r="V28" s="493"/>
      <c r="W28" s="493"/>
      <c r="X28" s="493"/>
      <c r="Y28" s="493"/>
      <c r="Z28" s="493"/>
      <c r="AA28" s="493"/>
      <c r="AB28" s="493"/>
      <c r="AC28" s="493"/>
      <c r="AD28" s="493"/>
      <c r="AE28" s="493"/>
      <c r="AF28" s="492"/>
      <c r="AG28" s="504"/>
      <c r="AH28" s="505"/>
      <c r="AI28" s="28"/>
      <c r="AJ28" s="12"/>
      <c r="AK28" s="13"/>
      <c r="AL28" s="13"/>
      <c r="AM28" s="14"/>
      <c r="AN28" s="15"/>
    </row>
    <row r="29" spans="1:41" ht="15" x14ac:dyDescent="0.2">
      <c r="A29" s="490"/>
      <c r="B29" s="493"/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3"/>
      <c r="N29" s="493"/>
      <c r="O29" s="493"/>
      <c r="P29" s="493"/>
      <c r="Q29" s="493"/>
      <c r="R29" s="493"/>
      <c r="S29" s="493"/>
      <c r="T29" s="493"/>
      <c r="U29" s="493"/>
      <c r="V29" s="493"/>
      <c r="W29" s="493"/>
      <c r="X29" s="493"/>
      <c r="Y29" s="493"/>
      <c r="Z29" s="493"/>
      <c r="AA29" s="493"/>
      <c r="AB29" s="493"/>
      <c r="AC29" s="493"/>
      <c r="AD29" s="493"/>
      <c r="AE29" s="493"/>
      <c r="AF29" s="492"/>
      <c r="AG29" s="504"/>
      <c r="AH29" s="505"/>
      <c r="AI29" s="28"/>
      <c r="AJ29" s="12"/>
      <c r="AK29" s="13"/>
      <c r="AL29" s="13"/>
      <c r="AM29" s="14"/>
      <c r="AN29" s="15"/>
    </row>
    <row r="30" spans="1:41" ht="15" x14ac:dyDescent="0.2">
      <c r="A30" s="490"/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3"/>
      <c r="T30" s="493"/>
      <c r="U30" s="493"/>
      <c r="V30" s="493"/>
      <c r="W30" s="493"/>
      <c r="X30" s="493"/>
      <c r="Y30" s="493"/>
      <c r="Z30" s="493"/>
      <c r="AA30" s="493"/>
      <c r="AB30" s="493"/>
      <c r="AC30" s="493"/>
      <c r="AD30" s="493"/>
      <c r="AE30" s="493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1" ht="15" x14ac:dyDescent="0.2">
      <c r="A31" s="490"/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3"/>
      <c r="T31" s="493"/>
      <c r="U31" s="493"/>
      <c r="V31" s="493"/>
      <c r="W31" s="493"/>
      <c r="X31" s="493"/>
      <c r="Y31" s="493"/>
      <c r="Z31" s="493"/>
      <c r="AA31" s="493"/>
      <c r="AB31" s="493"/>
      <c r="AC31" s="493"/>
      <c r="AD31" s="493"/>
      <c r="AE31" s="493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1" ht="15.75" customHeight="1" x14ac:dyDescent="0.2">
      <c r="A32" s="490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3"/>
      <c r="T32" s="493"/>
      <c r="U32" s="493"/>
      <c r="V32" s="493"/>
      <c r="W32" s="493"/>
      <c r="X32" s="493"/>
      <c r="Y32" s="493"/>
      <c r="Z32" s="493"/>
      <c r="AA32" s="493"/>
      <c r="AB32" s="493"/>
      <c r="AC32" s="493"/>
      <c r="AD32" s="493"/>
      <c r="AE32" s="493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3"/>
      <c r="T33" s="493"/>
      <c r="U33" s="493"/>
      <c r="V33" s="493"/>
      <c r="W33" s="493"/>
      <c r="X33" s="493"/>
      <c r="Y33" s="493"/>
      <c r="Z33" s="493"/>
      <c r="AA33" s="493"/>
      <c r="AB33" s="493"/>
      <c r="AC33" s="493"/>
      <c r="AD33" s="493"/>
      <c r="AE33" s="493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3"/>
      <c r="T34" s="493"/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3"/>
      <c r="T35" s="493"/>
      <c r="U35" s="493"/>
      <c r="V35" s="493"/>
      <c r="W35" s="493"/>
      <c r="X35" s="493"/>
      <c r="Y35" s="493"/>
      <c r="Z35" s="493"/>
      <c r="AA35" s="493"/>
      <c r="AB35" s="493"/>
      <c r="AC35" s="493"/>
      <c r="AD35" s="493"/>
      <c r="AE35" s="493"/>
      <c r="AF35" s="492"/>
      <c r="AG35" s="504"/>
      <c r="AH35" s="505"/>
      <c r="AI35" s="28"/>
      <c r="AJ35" s="12"/>
      <c r="AK35" s="13"/>
      <c r="AL35" s="13"/>
      <c r="AM35" s="14"/>
      <c r="AN35" s="15"/>
    </row>
    <row r="36" spans="1:40" ht="15.75" customHeight="1" x14ac:dyDescent="0.2">
      <c r="A36" s="490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3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2"/>
      <c r="AG36" s="502"/>
      <c r="AH36" s="503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493"/>
      <c r="U37" s="493"/>
      <c r="V37" s="493"/>
      <c r="W37" s="493"/>
      <c r="X37" s="493"/>
      <c r="Y37" s="493"/>
      <c r="Z37" s="493"/>
      <c r="AA37" s="493"/>
      <c r="AB37" s="493"/>
      <c r="AC37" s="493"/>
      <c r="AD37" s="493"/>
      <c r="AE37" s="493"/>
      <c r="AF37" s="492"/>
      <c r="AG37" s="502"/>
      <c r="AH37" s="503"/>
      <c r="AI37" s="28"/>
      <c r="AJ37" s="12"/>
      <c r="AK37" s="12"/>
      <c r="AL37" s="13"/>
      <c r="AM37" s="13"/>
      <c r="AN37" s="15"/>
    </row>
    <row r="38" spans="1:40" ht="15.75" customHeight="1" x14ac:dyDescent="0.2">
      <c r="A38" s="490"/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3"/>
      <c r="T38" s="493"/>
      <c r="U38" s="493"/>
      <c r="V38" s="493"/>
      <c r="W38" s="493"/>
      <c r="X38" s="493"/>
      <c r="Y38" s="493"/>
      <c r="Z38" s="493"/>
      <c r="AA38" s="493"/>
      <c r="AB38" s="493"/>
      <c r="AC38" s="493"/>
      <c r="AD38" s="493"/>
      <c r="AE38" s="493"/>
      <c r="AF38" s="492"/>
      <c r="AG38" s="502"/>
      <c r="AH38" s="503"/>
      <c r="AI38" s="17"/>
      <c r="AJ38" s="12"/>
      <c r="AK38" s="12"/>
      <c r="AL38" s="13"/>
      <c r="AM38" s="13"/>
      <c r="AN38" s="15"/>
    </row>
    <row r="39" spans="1:40" ht="15.75" customHeight="1" x14ac:dyDescent="0.2">
      <c r="A39" s="490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2"/>
      <c r="AG39" s="502"/>
      <c r="AH39" s="503"/>
      <c r="AI39" s="28"/>
      <c r="AJ39" s="12"/>
      <c r="AK39" s="13"/>
      <c r="AL39" s="13"/>
      <c r="AM39" s="13"/>
      <c r="AN39" s="15"/>
    </row>
    <row r="40" spans="1:40" ht="15.75" customHeight="1" x14ac:dyDescent="0.2">
      <c r="A40" s="490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  <c r="X40" s="493"/>
      <c r="Y40" s="493"/>
      <c r="Z40" s="493"/>
      <c r="AA40" s="493"/>
      <c r="AB40" s="493"/>
      <c r="AC40" s="493"/>
      <c r="AD40" s="493"/>
      <c r="AE40" s="493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3"/>
      <c r="C41" s="493"/>
      <c r="D41" s="493"/>
      <c r="E41" s="493"/>
      <c r="F41" s="493"/>
      <c r="G41" s="493"/>
      <c r="H41" s="493"/>
      <c r="I41" s="493"/>
      <c r="J41" s="493"/>
      <c r="K41" s="493"/>
      <c r="L41" s="493"/>
      <c r="M41" s="493"/>
      <c r="N41" s="493"/>
      <c r="O41" s="493"/>
      <c r="P41" s="493"/>
      <c r="Q41" s="493"/>
      <c r="R41" s="493"/>
      <c r="S41" s="493"/>
      <c r="T41" s="493"/>
      <c r="U41" s="493"/>
      <c r="V41" s="493"/>
      <c r="W41" s="493"/>
      <c r="X41" s="493"/>
      <c r="Y41" s="493"/>
      <c r="Z41" s="493"/>
      <c r="AA41" s="493"/>
      <c r="AB41" s="493"/>
      <c r="AC41" s="493"/>
      <c r="AD41" s="493"/>
      <c r="AE41" s="493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6.5" customHeight="1" thickBot="1" x14ac:dyDescent="0.25">
      <c r="A42" s="490"/>
      <c r="B42" s="493"/>
      <c r="C42" s="493"/>
      <c r="D42" s="493"/>
      <c r="E42" s="493"/>
      <c r="F42" s="493"/>
      <c r="G42" s="493"/>
      <c r="H42" s="493"/>
      <c r="I42" s="493"/>
      <c r="J42" s="493"/>
      <c r="K42" s="493"/>
      <c r="L42" s="493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3"/>
      <c r="AC42" s="493"/>
      <c r="AD42" s="493"/>
      <c r="AE42" s="493"/>
      <c r="AF42" s="492"/>
      <c r="AG42" s="524"/>
      <c r="AH42" s="525"/>
      <c r="AI42" s="18"/>
      <c r="AJ42" s="19"/>
      <c r="AK42" s="19"/>
      <c r="AL42" s="19"/>
      <c r="AM42" s="19"/>
      <c r="AN42" s="20"/>
    </row>
    <row r="43" spans="1:40" ht="15" customHeight="1" x14ac:dyDescent="0.2">
      <c r="A43" s="490"/>
      <c r="B43" s="493"/>
      <c r="C43" s="493"/>
      <c r="D43" s="493"/>
      <c r="E43" s="493"/>
      <c r="F43" s="493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3"/>
      <c r="AC43" s="493"/>
      <c r="AD43" s="493"/>
      <c r="AE43" s="493"/>
      <c r="AF43" s="492"/>
      <c r="AG43" s="544" t="s">
        <v>31</v>
      </c>
      <c r="AH43" s="545"/>
      <c r="AI43" s="545"/>
      <c r="AJ43" s="545"/>
      <c r="AK43" s="545"/>
      <c r="AL43" s="545"/>
      <c r="AM43" s="546"/>
      <c r="AN43" s="21">
        <f>SUM(AN12:AN42)</f>
        <v>1</v>
      </c>
    </row>
    <row r="44" spans="1:40" ht="15" customHeight="1" thickBot="1" x14ac:dyDescent="0.25">
      <c r="A44" s="490"/>
      <c r="B44" s="493"/>
      <c r="C44" s="493"/>
      <c r="D44" s="493"/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2"/>
      <c r="AG44" s="550"/>
      <c r="AH44" s="551"/>
      <c r="AI44" s="551"/>
      <c r="AJ44" s="551"/>
      <c r="AK44" s="551"/>
      <c r="AL44" s="551"/>
      <c r="AM44" s="552"/>
      <c r="AN44" s="22"/>
    </row>
    <row r="45" spans="1:40" ht="18.75" thickBot="1" x14ac:dyDescent="0.3">
      <c r="A45" s="556"/>
      <c r="B45" s="557"/>
      <c r="C45" s="557"/>
      <c r="D45" s="557"/>
      <c r="E45" s="557"/>
      <c r="F45" s="557"/>
      <c r="G45" s="557"/>
      <c r="H45" s="557"/>
      <c r="I45" s="557"/>
      <c r="J45" s="557"/>
      <c r="K45" s="557"/>
      <c r="L45" s="557"/>
      <c r="M45" s="557"/>
      <c r="N45" s="557"/>
      <c r="O45" s="557"/>
      <c r="P45" s="557"/>
      <c r="Q45" s="557"/>
      <c r="R45" s="557"/>
      <c r="S45" s="557"/>
      <c r="T45" s="557"/>
      <c r="U45" s="557"/>
      <c r="V45" s="557"/>
      <c r="W45" s="557"/>
      <c r="X45" s="557"/>
      <c r="Y45" s="557"/>
      <c r="Z45" s="557"/>
      <c r="AA45" s="557"/>
      <c r="AB45" s="557"/>
      <c r="AC45" s="557"/>
      <c r="AD45" s="557"/>
      <c r="AE45" s="557"/>
      <c r="AF45" s="558"/>
      <c r="AG45" s="553" t="s">
        <v>32</v>
      </c>
      <c r="AH45" s="554"/>
      <c r="AI45" s="554"/>
      <c r="AJ45" s="554"/>
      <c r="AK45" s="554"/>
      <c r="AL45" s="554"/>
      <c r="AM45" s="555"/>
      <c r="AN45" s="29">
        <f>ROUND(SUM(AN43:AN44),2)</f>
        <v>1</v>
      </c>
    </row>
    <row r="46" spans="1:40" ht="15.75" customHeight="1" x14ac:dyDescent="0.2">
      <c r="A46" s="33"/>
      <c r="B46" s="24"/>
      <c r="C46" s="34"/>
      <c r="D46" s="34"/>
      <c r="E46" s="34"/>
      <c r="F46" s="34"/>
      <c r="G46" s="34"/>
      <c r="H46" s="35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25"/>
      <c r="AJ46" s="36"/>
      <c r="AK46" s="35"/>
      <c r="AL46" s="34"/>
      <c r="AM46" s="34"/>
      <c r="AN46" s="37"/>
    </row>
    <row r="47" spans="1:40" ht="15.75" customHeight="1" x14ac:dyDescent="0.2">
      <c r="A47" s="23"/>
      <c r="B47" s="293"/>
      <c r="C47" s="294"/>
      <c r="D47" s="294"/>
      <c r="E47" s="294"/>
      <c r="F47" s="294"/>
      <c r="G47" s="294"/>
      <c r="H47" s="295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296"/>
      <c r="AJ47" s="297"/>
      <c r="AK47" s="295"/>
      <c r="AL47" s="294"/>
      <c r="AM47" s="294"/>
      <c r="AN47" s="26"/>
    </row>
    <row r="48" spans="1:40" ht="15.75" customHeight="1" x14ac:dyDescent="0.2">
      <c r="A48" s="23"/>
      <c r="B48" s="293"/>
      <c r="C48" s="294"/>
      <c r="D48" s="294"/>
      <c r="E48" s="294"/>
      <c r="F48" s="294"/>
      <c r="G48" s="294"/>
      <c r="H48" s="295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296"/>
      <c r="AJ48" s="297"/>
      <c r="AK48" s="295"/>
      <c r="AL48" s="294"/>
      <c r="AM48" s="294"/>
      <c r="AN48" s="26"/>
    </row>
    <row r="49" spans="1:40" ht="1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3.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3.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539"/>
      <c r="AJ51" s="539"/>
      <c r="AK51" s="539"/>
      <c r="AL51" s="539"/>
      <c r="AM51" s="539"/>
      <c r="AN51" s="540"/>
    </row>
    <row r="52" spans="1:40" ht="13.15" customHeight="1" x14ac:dyDescent="0.2">
      <c r="A52" s="541"/>
      <c r="B52" s="542"/>
      <c r="C52" s="542"/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539" t="s">
        <v>396</v>
      </c>
      <c r="AJ52" s="539"/>
      <c r="AK52" s="539"/>
      <c r="AL52" s="539"/>
      <c r="AM52" s="539"/>
      <c r="AN52" s="540"/>
    </row>
    <row r="53" spans="1:40" ht="12.75" customHeight="1" x14ac:dyDescent="0.2">
      <c r="A53" s="541"/>
      <c r="B53" s="542"/>
      <c r="C53" s="542"/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539" t="s">
        <v>409</v>
      </c>
      <c r="AJ53" s="539"/>
      <c r="AK53" s="539"/>
      <c r="AL53" s="539"/>
      <c r="AM53" s="539"/>
      <c r="AN53" s="540"/>
    </row>
    <row r="54" spans="1:40" ht="13.5" customHeight="1" thickBot="1" x14ac:dyDescent="0.25">
      <c r="A54" s="532"/>
      <c r="B54" s="533"/>
      <c r="C54" s="533"/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G54" s="311"/>
      <c r="AH54" s="311"/>
      <c r="AI54" s="536" t="s">
        <v>410</v>
      </c>
      <c r="AJ54" s="536"/>
      <c r="AK54" s="536"/>
      <c r="AL54" s="536"/>
      <c r="AM54" s="536"/>
      <c r="AN54" s="537"/>
    </row>
  </sheetData>
  <mergeCells count="80">
    <mergeCell ref="A53:R53"/>
    <mergeCell ref="AI53:AN53"/>
    <mergeCell ref="A54:R54"/>
    <mergeCell ref="AI54:AN54"/>
    <mergeCell ref="AG42:AH42"/>
    <mergeCell ref="AG43:AM43"/>
    <mergeCell ref="AG44:AM44"/>
    <mergeCell ref="AG45:AM45"/>
    <mergeCell ref="AI51:AN51"/>
    <mergeCell ref="A52:R52"/>
    <mergeCell ref="AI52:AN52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29:AH29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8:AH28"/>
    <mergeCell ref="AM9:AN9"/>
    <mergeCell ref="A10:AF45"/>
    <mergeCell ref="AG10:AH11"/>
    <mergeCell ref="AI10:AI11"/>
    <mergeCell ref="AJ10:AL10"/>
    <mergeCell ref="AM10:AM11"/>
    <mergeCell ref="AG16:AH16"/>
    <mergeCell ref="A9:G9"/>
    <mergeCell ref="H9:T9"/>
    <mergeCell ref="U9:AD9"/>
    <mergeCell ref="AE9:AI9"/>
    <mergeCell ref="AN10:AN11"/>
    <mergeCell ref="AG12:AH12"/>
    <mergeCell ref="AG13:AH13"/>
    <mergeCell ref="AG14:AH14"/>
    <mergeCell ref="AG15:AH15"/>
    <mergeCell ref="A6:H6"/>
    <mergeCell ref="I6:AD6"/>
    <mergeCell ref="AE6:AH6"/>
    <mergeCell ref="AJ6:AL6"/>
    <mergeCell ref="AM6:AN6"/>
    <mergeCell ref="A7:H7"/>
    <mergeCell ref="I7:AD7"/>
    <mergeCell ref="AE7:AH7"/>
    <mergeCell ref="AJ7:AL7"/>
    <mergeCell ref="AM7:AN7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1:H3"/>
    <mergeCell ref="I1:AK2"/>
    <mergeCell ref="AL1:AN1"/>
    <mergeCell ref="AL2:AN2"/>
    <mergeCell ref="I3:AK3"/>
    <mergeCell ref="AL3:AN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fitToHeight="0" orientation="landscape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theme="8" tint="0.59999389629810485"/>
    <pageSetUpPr fitToPage="1"/>
  </sheetPr>
  <dimension ref="A1:AP57"/>
  <sheetViews>
    <sheetView view="pageBreakPreview" topLeftCell="A10" zoomScale="55" zoomScaleNormal="55" zoomScaleSheetLayoutView="55" workbookViewId="0">
      <selection activeCell="AP30" sqref="AP30"/>
    </sheetView>
  </sheetViews>
  <sheetFormatPr baseColWidth="10" defaultRowHeight="12.75" x14ac:dyDescent="0.2"/>
  <cols>
    <col min="1" max="30" width="3.25" style="1" customWidth="1"/>
    <col min="31" max="31" width="9.25" style="1" customWidth="1"/>
    <col min="32" max="32" width="7.125" style="1" customWidth="1"/>
    <col min="33" max="33" width="9.25" style="1" customWidth="1"/>
    <col min="34" max="34" width="6.75" style="1" customWidth="1"/>
    <col min="35" max="35" width="32.25" style="1" customWidth="1"/>
    <col min="36" max="37" width="11" style="1"/>
    <col min="38" max="38" width="11.75" style="1" customWidth="1"/>
    <col min="39" max="39" width="11" style="1"/>
    <col min="40" max="40" width="12.75" style="1" bestFit="1" customWidth="1"/>
    <col min="41" max="41" width="11" style="1"/>
    <col min="42" max="42" width="19.875" style="1" customWidth="1"/>
    <col min="43" max="256" width="11" style="1"/>
    <col min="257" max="286" width="3.25" style="1" customWidth="1"/>
    <col min="287" max="287" width="9.25" style="1" customWidth="1"/>
    <col min="288" max="288" width="7.125" style="1" customWidth="1"/>
    <col min="289" max="289" width="9.25" style="1" customWidth="1"/>
    <col min="290" max="290" width="6.75" style="1" customWidth="1"/>
    <col min="291" max="291" width="22.75" style="1" customWidth="1"/>
    <col min="292" max="293" width="11" style="1"/>
    <col min="294" max="294" width="11.75" style="1" customWidth="1"/>
    <col min="295" max="295" width="11" style="1"/>
    <col min="296" max="296" width="12.75" style="1" bestFit="1" customWidth="1"/>
    <col min="297" max="512" width="11" style="1"/>
    <col min="513" max="542" width="3.25" style="1" customWidth="1"/>
    <col min="543" max="543" width="9.25" style="1" customWidth="1"/>
    <col min="544" max="544" width="7.125" style="1" customWidth="1"/>
    <col min="545" max="545" width="9.25" style="1" customWidth="1"/>
    <col min="546" max="546" width="6.75" style="1" customWidth="1"/>
    <col min="547" max="547" width="22.75" style="1" customWidth="1"/>
    <col min="548" max="549" width="11" style="1"/>
    <col min="550" max="550" width="11.75" style="1" customWidth="1"/>
    <col min="551" max="551" width="11" style="1"/>
    <col min="552" max="552" width="12.75" style="1" bestFit="1" customWidth="1"/>
    <col min="553" max="768" width="11" style="1"/>
    <col min="769" max="798" width="3.25" style="1" customWidth="1"/>
    <col min="799" max="799" width="9.25" style="1" customWidth="1"/>
    <col min="800" max="800" width="7.125" style="1" customWidth="1"/>
    <col min="801" max="801" width="9.25" style="1" customWidth="1"/>
    <col min="802" max="802" width="6.75" style="1" customWidth="1"/>
    <col min="803" max="803" width="22.75" style="1" customWidth="1"/>
    <col min="804" max="805" width="11" style="1"/>
    <col min="806" max="806" width="11.75" style="1" customWidth="1"/>
    <col min="807" max="807" width="11" style="1"/>
    <col min="808" max="808" width="12.75" style="1" bestFit="1" customWidth="1"/>
    <col min="809" max="1024" width="11" style="1"/>
    <col min="1025" max="1054" width="3.25" style="1" customWidth="1"/>
    <col min="1055" max="1055" width="9.25" style="1" customWidth="1"/>
    <col min="1056" max="1056" width="7.125" style="1" customWidth="1"/>
    <col min="1057" max="1057" width="9.25" style="1" customWidth="1"/>
    <col min="1058" max="1058" width="6.75" style="1" customWidth="1"/>
    <col min="1059" max="1059" width="22.75" style="1" customWidth="1"/>
    <col min="1060" max="1061" width="11" style="1"/>
    <col min="1062" max="1062" width="11.75" style="1" customWidth="1"/>
    <col min="1063" max="1063" width="11" style="1"/>
    <col min="1064" max="1064" width="12.75" style="1" bestFit="1" customWidth="1"/>
    <col min="1065" max="1280" width="11" style="1"/>
    <col min="1281" max="1310" width="3.25" style="1" customWidth="1"/>
    <col min="1311" max="1311" width="9.25" style="1" customWidth="1"/>
    <col min="1312" max="1312" width="7.125" style="1" customWidth="1"/>
    <col min="1313" max="1313" width="9.25" style="1" customWidth="1"/>
    <col min="1314" max="1314" width="6.75" style="1" customWidth="1"/>
    <col min="1315" max="1315" width="22.75" style="1" customWidth="1"/>
    <col min="1316" max="1317" width="11" style="1"/>
    <col min="1318" max="1318" width="11.75" style="1" customWidth="1"/>
    <col min="1319" max="1319" width="11" style="1"/>
    <col min="1320" max="1320" width="12.75" style="1" bestFit="1" customWidth="1"/>
    <col min="1321" max="1536" width="11" style="1"/>
    <col min="1537" max="1566" width="3.25" style="1" customWidth="1"/>
    <col min="1567" max="1567" width="9.25" style="1" customWidth="1"/>
    <col min="1568" max="1568" width="7.125" style="1" customWidth="1"/>
    <col min="1569" max="1569" width="9.25" style="1" customWidth="1"/>
    <col min="1570" max="1570" width="6.75" style="1" customWidth="1"/>
    <col min="1571" max="1571" width="22.75" style="1" customWidth="1"/>
    <col min="1572" max="1573" width="11" style="1"/>
    <col min="1574" max="1574" width="11.75" style="1" customWidth="1"/>
    <col min="1575" max="1575" width="11" style="1"/>
    <col min="1576" max="1576" width="12.75" style="1" bestFit="1" customWidth="1"/>
    <col min="1577" max="1792" width="11" style="1"/>
    <col min="1793" max="1822" width="3.25" style="1" customWidth="1"/>
    <col min="1823" max="1823" width="9.25" style="1" customWidth="1"/>
    <col min="1824" max="1824" width="7.125" style="1" customWidth="1"/>
    <col min="1825" max="1825" width="9.25" style="1" customWidth="1"/>
    <col min="1826" max="1826" width="6.75" style="1" customWidth="1"/>
    <col min="1827" max="1827" width="22.75" style="1" customWidth="1"/>
    <col min="1828" max="1829" width="11" style="1"/>
    <col min="1830" max="1830" width="11.75" style="1" customWidth="1"/>
    <col min="1831" max="1831" width="11" style="1"/>
    <col min="1832" max="1832" width="12.75" style="1" bestFit="1" customWidth="1"/>
    <col min="1833" max="2048" width="11" style="1"/>
    <col min="2049" max="2078" width="3.25" style="1" customWidth="1"/>
    <col min="2079" max="2079" width="9.25" style="1" customWidth="1"/>
    <col min="2080" max="2080" width="7.125" style="1" customWidth="1"/>
    <col min="2081" max="2081" width="9.25" style="1" customWidth="1"/>
    <col min="2082" max="2082" width="6.75" style="1" customWidth="1"/>
    <col min="2083" max="2083" width="22.75" style="1" customWidth="1"/>
    <col min="2084" max="2085" width="11" style="1"/>
    <col min="2086" max="2086" width="11.75" style="1" customWidth="1"/>
    <col min="2087" max="2087" width="11" style="1"/>
    <col min="2088" max="2088" width="12.75" style="1" bestFit="1" customWidth="1"/>
    <col min="2089" max="2304" width="11" style="1"/>
    <col min="2305" max="2334" width="3.25" style="1" customWidth="1"/>
    <col min="2335" max="2335" width="9.25" style="1" customWidth="1"/>
    <col min="2336" max="2336" width="7.125" style="1" customWidth="1"/>
    <col min="2337" max="2337" width="9.25" style="1" customWidth="1"/>
    <col min="2338" max="2338" width="6.75" style="1" customWidth="1"/>
    <col min="2339" max="2339" width="22.75" style="1" customWidth="1"/>
    <col min="2340" max="2341" width="11" style="1"/>
    <col min="2342" max="2342" width="11.75" style="1" customWidth="1"/>
    <col min="2343" max="2343" width="11" style="1"/>
    <col min="2344" max="2344" width="12.75" style="1" bestFit="1" customWidth="1"/>
    <col min="2345" max="2560" width="11" style="1"/>
    <col min="2561" max="2590" width="3.25" style="1" customWidth="1"/>
    <col min="2591" max="2591" width="9.25" style="1" customWidth="1"/>
    <col min="2592" max="2592" width="7.125" style="1" customWidth="1"/>
    <col min="2593" max="2593" width="9.25" style="1" customWidth="1"/>
    <col min="2594" max="2594" width="6.75" style="1" customWidth="1"/>
    <col min="2595" max="2595" width="22.75" style="1" customWidth="1"/>
    <col min="2596" max="2597" width="11" style="1"/>
    <col min="2598" max="2598" width="11.75" style="1" customWidth="1"/>
    <col min="2599" max="2599" width="11" style="1"/>
    <col min="2600" max="2600" width="12.75" style="1" bestFit="1" customWidth="1"/>
    <col min="2601" max="2816" width="11" style="1"/>
    <col min="2817" max="2846" width="3.25" style="1" customWidth="1"/>
    <col min="2847" max="2847" width="9.25" style="1" customWidth="1"/>
    <col min="2848" max="2848" width="7.125" style="1" customWidth="1"/>
    <col min="2849" max="2849" width="9.25" style="1" customWidth="1"/>
    <col min="2850" max="2850" width="6.75" style="1" customWidth="1"/>
    <col min="2851" max="2851" width="22.75" style="1" customWidth="1"/>
    <col min="2852" max="2853" width="11" style="1"/>
    <col min="2854" max="2854" width="11.75" style="1" customWidth="1"/>
    <col min="2855" max="2855" width="11" style="1"/>
    <col min="2856" max="2856" width="12.75" style="1" bestFit="1" customWidth="1"/>
    <col min="2857" max="3072" width="11" style="1"/>
    <col min="3073" max="3102" width="3.25" style="1" customWidth="1"/>
    <col min="3103" max="3103" width="9.25" style="1" customWidth="1"/>
    <col min="3104" max="3104" width="7.125" style="1" customWidth="1"/>
    <col min="3105" max="3105" width="9.25" style="1" customWidth="1"/>
    <col min="3106" max="3106" width="6.75" style="1" customWidth="1"/>
    <col min="3107" max="3107" width="22.75" style="1" customWidth="1"/>
    <col min="3108" max="3109" width="11" style="1"/>
    <col min="3110" max="3110" width="11.75" style="1" customWidth="1"/>
    <col min="3111" max="3111" width="11" style="1"/>
    <col min="3112" max="3112" width="12.75" style="1" bestFit="1" customWidth="1"/>
    <col min="3113" max="3328" width="11" style="1"/>
    <col min="3329" max="3358" width="3.25" style="1" customWidth="1"/>
    <col min="3359" max="3359" width="9.25" style="1" customWidth="1"/>
    <col min="3360" max="3360" width="7.125" style="1" customWidth="1"/>
    <col min="3361" max="3361" width="9.25" style="1" customWidth="1"/>
    <col min="3362" max="3362" width="6.75" style="1" customWidth="1"/>
    <col min="3363" max="3363" width="22.75" style="1" customWidth="1"/>
    <col min="3364" max="3365" width="11" style="1"/>
    <col min="3366" max="3366" width="11.75" style="1" customWidth="1"/>
    <col min="3367" max="3367" width="11" style="1"/>
    <col min="3368" max="3368" width="12.75" style="1" bestFit="1" customWidth="1"/>
    <col min="3369" max="3584" width="11" style="1"/>
    <col min="3585" max="3614" width="3.25" style="1" customWidth="1"/>
    <col min="3615" max="3615" width="9.25" style="1" customWidth="1"/>
    <col min="3616" max="3616" width="7.125" style="1" customWidth="1"/>
    <col min="3617" max="3617" width="9.25" style="1" customWidth="1"/>
    <col min="3618" max="3618" width="6.75" style="1" customWidth="1"/>
    <col min="3619" max="3619" width="22.75" style="1" customWidth="1"/>
    <col min="3620" max="3621" width="11" style="1"/>
    <col min="3622" max="3622" width="11.75" style="1" customWidth="1"/>
    <col min="3623" max="3623" width="11" style="1"/>
    <col min="3624" max="3624" width="12.75" style="1" bestFit="1" customWidth="1"/>
    <col min="3625" max="3840" width="11" style="1"/>
    <col min="3841" max="3870" width="3.25" style="1" customWidth="1"/>
    <col min="3871" max="3871" width="9.25" style="1" customWidth="1"/>
    <col min="3872" max="3872" width="7.125" style="1" customWidth="1"/>
    <col min="3873" max="3873" width="9.25" style="1" customWidth="1"/>
    <col min="3874" max="3874" width="6.75" style="1" customWidth="1"/>
    <col min="3875" max="3875" width="22.75" style="1" customWidth="1"/>
    <col min="3876" max="3877" width="11" style="1"/>
    <col min="3878" max="3878" width="11.75" style="1" customWidth="1"/>
    <col min="3879" max="3879" width="11" style="1"/>
    <col min="3880" max="3880" width="12.75" style="1" bestFit="1" customWidth="1"/>
    <col min="3881" max="4096" width="11" style="1"/>
    <col min="4097" max="4126" width="3.25" style="1" customWidth="1"/>
    <col min="4127" max="4127" width="9.25" style="1" customWidth="1"/>
    <col min="4128" max="4128" width="7.125" style="1" customWidth="1"/>
    <col min="4129" max="4129" width="9.25" style="1" customWidth="1"/>
    <col min="4130" max="4130" width="6.75" style="1" customWidth="1"/>
    <col min="4131" max="4131" width="22.75" style="1" customWidth="1"/>
    <col min="4132" max="4133" width="11" style="1"/>
    <col min="4134" max="4134" width="11.75" style="1" customWidth="1"/>
    <col min="4135" max="4135" width="11" style="1"/>
    <col min="4136" max="4136" width="12.75" style="1" bestFit="1" customWidth="1"/>
    <col min="4137" max="4352" width="11" style="1"/>
    <col min="4353" max="4382" width="3.25" style="1" customWidth="1"/>
    <col min="4383" max="4383" width="9.25" style="1" customWidth="1"/>
    <col min="4384" max="4384" width="7.125" style="1" customWidth="1"/>
    <col min="4385" max="4385" width="9.25" style="1" customWidth="1"/>
    <col min="4386" max="4386" width="6.75" style="1" customWidth="1"/>
    <col min="4387" max="4387" width="22.75" style="1" customWidth="1"/>
    <col min="4388" max="4389" width="11" style="1"/>
    <col min="4390" max="4390" width="11.75" style="1" customWidth="1"/>
    <col min="4391" max="4391" width="11" style="1"/>
    <col min="4392" max="4392" width="12.75" style="1" bestFit="1" customWidth="1"/>
    <col min="4393" max="4608" width="11" style="1"/>
    <col min="4609" max="4638" width="3.25" style="1" customWidth="1"/>
    <col min="4639" max="4639" width="9.25" style="1" customWidth="1"/>
    <col min="4640" max="4640" width="7.125" style="1" customWidth="1"/>
    <col min="4641" max="4641" width="9.25" style="1" customWidth="1"/>
    <col min="4642" max="4642" width="6.75" style="1" customWidth="1"/>
    <col min="4643" max="4643" width="22.75" style="1" customWidth="1"/>
    <col min="4644" max="4645" width="11" style="1"/>
    <col min="4646" max="4646" width="11.75" style="1" customWidth="1"/>
    <col min="4647" max="4647" width="11" style="1"/>
    <col min="4648" max="4648" width="12.75" style="1" bestFit="1" customWidth="1"/>
    <col min="4649" max="4864" width="11" style="1"/>
    <col min="4865" max="4894" width="3.25" style="1" customWidth="1"/>
    <col min="4895" max="4895" width="9.25" style="1" customWidth="1"/>
    <col min="4896" max="4896" width="7.125" style="1" customWidth="1"/>
    <col min="4897" max="4897" width="9.25" style="1" customWidth="1"/>
    <col min="4898" max="4898" width="6.75" style="1" customWidth="1"/>
    <col min="4899" max="4899" width="22.75" style="1" customWidth="1"/>
    <col min="4900" max="4901" width="11" style="1"/>
    <col min="4902" max="4902" width="11.75" style="1" customWidth="1"/>
    <col min="4903" max="4903" width="11" style="1"/>
    <col min="4904" max="4904" width="12.75" style="1" bestFit="1" customWidth="1"/>
    <col min="4905" max="5120" width="11" style="1"/>
    <col min="5121" max="5150" width="3.25" style="1" customWidth="1"/>
    <col min="5151" max="5151" width="9.25" style="1" customWidth="1"/>
    <col min="5152" max="5152" width="7.125" style="1" customWidth="1"/>
    <col min="5153" max="5153" width="9.25" style="1" customWidth="1"/>
    <col min="5154" max="5154" width="6.75" style="1" customWidth="1"/>
    <col min="5155" max="5155" width="22.75" style="1" customWidth="1"/>
    <col min="5156" max="5157" width="11" style="1"/>
    <col min="5158" max="5158" width="11.75" style="1" customWidth="1"/>
    <col min="5159" max="5159" width="11" style="1"/>
    <col min="5160" max="5160" width="12.75" style="1" bestFit="1" customWidth="1"/>
    <col min="5161" max="5376" width="11" style="1"/>
    <col min="5377" max="5406" width="3.25" style="1" customWidth="1"/>
    <col min="5407" max="5407" width="9.25" style="1" customWidth="1"/>
    <col min="5408" max="5408" width="7.125" style="1" customWidth="1"/>
    <col min="5409" max="5409" width="9.25" style="1" customWidth="1"/>
    <col min="5410" max="5410" width="6.75" style="1" customWidth="1"/>
    <col min="5411" max="5411" width="22.75" style="1" customWidth="1"/>
    <col min="5412" max="5413" width="11" style="1"/>
    <col min="5414" max="5414" width="11.75" style="1" customWidth="1"/>
    <col min="5415" max="5415" width="11" style="1"/>
    <col min="5416" max="5416" width="12.75" style="1" bestFit="1" customWidth="1"/>
    <col min="5417" max="5632" width="11" style="1"/>
    <col min="5633" max="5662" width="3.25" style="1" customWidth="1"/>
    <col min="5663" max="5663" width="9.25" style="1" customWidth="1"/>
    <col min="5664" max="5664" width="7.125" style="1" customWidth="1"/>
    <col min="5665" max="5665" width="9.25" style="1" customWidth="1"/>
    <col min="5666" max="5666" width="6.75" style="1" customWidth="1"/>
    <col min="5667" max="5667" width="22.75" style="1" customWidth="1"/>
    <col min="5668" max="5669" width="11" style="1"/>
    <col min="5670" max="5670" width="11.75" style="1" customWidth="1"/>
    <col min="5671" max="5671" width="11" style="1"/>
    <col min="5672" max="5672" width="12.75" style="1" bestFit="1" customWidth="1"/>
    <col min="5673" max="5888" width="11" style="1"/>
    <col min="5889" max="5918" width="3.25" style="1" customWidth="1"/>
    <col min="5919" max="5919" width="9.25" style="1" customWidth="1"/>
    <col min="5920" max="5920" width="7.125" style="1" customWidth="1"/>
    <col min="5921" max="5921" width="9.25" style="1" customWidth="1"/>
    <col min="5922" max="5922" width="6.75" style="1" customWidth="1"/>
    <col min="5923" max="5923" width="22.75" style="1" customWidth="1"/>
    <col min="5924" max="5925" width="11" style="1"/>
    <col min="5926" max="5926" width="11.75" style="1" customWidth="1"/>
    <col min="5927" max="5927" width="11" style="1"/>
    <col min="5928" max="5928" width="12.75" style="1" bestFit="1" customWidth="1"/>
    <col min="5929" max="6144" width="11" style="1"/>
    <col min="6145" max="6174" width="3.25" style="1" customWidth="1"/>
    <col min="6175" max="6175" width="9.25" style="1" customWidth="1"/>
    <col min="6176" max="6176" width="7.125" style="1" customWidth="1"/>
    <col min="6177" max="6177" width="9.25" style="1" customWidth="1"/>
    <col min="6178" max="6178" width="6.75" style="1" customWidth="1"/>
    <col min="6179" max="6179" width="22.75" style="1" customWidth="1"/>
    <col min="6180" max="6181" width="11" style="1"/>
    <col min="6182" max="6182" width="11.75" style="1" customWidth="1"/>
    <col min="6183" max="6183" width="11" style="1"/>
    <col min="6184" max="6184" width="12.75" style="1" bestFit="1" customWidth="1"/>
    <col min="6185" max="6400" width="11" style="1"/>
    <col min="6401" max="6430" width="3.25" style="1" customWidth="1"/>
    <col min="6431" max="6431" width="9.25" style="1" customWidth="1"/>
    <col min="6432" max="6432" width="7.125" style="1" customWidth="1"/>
    <col min="6433" max="6433" width="9.25" style="1" customWidth="1"/>
    <col min="6434" max="6434" width="6.75" style="1" customWidth="1"/>
    <col min="6435" max="6435" width="22.75" style="1" customWidth="1"/>
    <col min="6436" max="6437" width="11" style="1"/>
    <col min="6438" max="6438" width="11.75" style="1" customWidth="1"/>
    <col min="6439" max="6439" width="11" style="1"/>
    <col min="6440" max="6440" width="12.75" style="1" bestFit="1" customWidth="1"/>
    <col min="6441" max="6656" width="11" style="1"/>
    <col min="6657" max="6686" width="3.25" style="1" customWidth="1"/>
    <col min="6687" max="6687" width="9.25" style="1" customWidth="1"/>
    <col min="6688" max="6688" width="7.125" style="1" customWidth="1"/>
    <col min="6689" max="6689" width="9.25" style="1" customWidth="1"/>
    <col min="6690" max="6690" width="6.75" style="1" customWidth="1"/>
    <col min="6691" max="6691" width="22.75" style="1" customWidth="1"/>
    <col min="6692" max="6693" width="11" style="1"/>
    <col min="6694" max="6694" width="11.75" style="1" customWidth="1"/>
    <col min="6695" max="6695" width="11" style="1"/>
    <col min="6696" max="6696" width="12.75" style="1" bestFit="1" customWidth="1"/>
    <col min="6697" max="6912" width="11" style="1"/>
    <col min="6913" max="6942" width="3.25" style="1" customWidth="1"/>
    <col min="6943" max="6943" width="9.25" style="1" customWidth="1"/>
    <col min="6944" max="6944" width="7.125" style="1" customWidth="1"/>
    <col min="6945" max="6945" width="9.25" style="1" customWidth="1"/>
    <col min="6946" max="6946" width="6.75" style="1" customWidth="1"/>
    <col min="6947" max="6947" width="22.75" style="1" customWidth="1"/>
    <col min="6948" max="6949" width="11" style="1"/>
    <col min="6950" max="6950" width="11.75" style="1" customWidth="1"/>
    <col min="6951" max="6951" width="11" style="1"/>
    <col min="6952" max="6952" width="12.75" style="1" bestFit="1" customWidth="1"/>
    <col min="6953" max="7168" width="11" style="1"/>
    <col min="7169" max="7198" width="3.25" style="1" customWidth="1"/>
    <col min="7199" max="7199" width="9.25" style="1" customWidth="1"/>
    <col min="7200" max="7200" width="7.125" style="1" customWidth="1"/>
    <col min="7201" max="7201" width="9.25" style="1" customWidth="1"/>
    <col min="7202" max="7202" width="6.75" style="1" customWidth="1"/>
    <col min="7203" max="7203" width="22.75" style="1" customWidth="1"/>
    <col min="7204" max="7205" width="11" style="1"/>
    <col min="7206" max="7206" width="11.75" style="1" customWidth="1"/>
    <col min="7207" max="7207" width="11" style="1"/>
    <col min="7208" max="7208" width="12.75" style="1" bestFit="1" customWidth="1"/>
    <col min="7209" max="7424" width="11" style="1"/>
    <col min="7425" max="7454" width="3.25" style="1" customWidth="1"/>
    <col min="7455" max="7455" width="9.25" style="1" customWidth="1"/>
    <col min="7456" max="7456" width="7.125" style="1" customWidth="1"/>
    <col min="7457" max="7457" width="9.25" style="1" customWidth="1"/>
    <col min="7458" max="7458" width="6.75" style="1" customWidth="1"/>
    <col min="7459" max="7459" width="22.75" style="1" customWidth="1"/>
    <col min="7460" max="7461" width="11" style="1"/>
    <col min="7462" max="7462" width="11.75" style="1" customWidth="1"/>
    <col min="7463" max="7463" width="11" style="1"/>
    <col min="7464" max="7464" width="12.75" style="1" bestFit="1" customWidth="1"/>
    <col min="7465" max="7680" width="11" style="1"/>
    <col min="7681" max="7710" width="3.25" style="1" customWidth="1"/>
    <col min="7711" max="7711" width="9.25" style="1" customWidth="1"/>
    <col min="7712" max="7712" width="7.125" style="1" customWidth="1"/>
    <col min="7713" max="7713" width="9.25" style="1" customWidth="1"/>
    <col min="7714" max="7714" width="6.75" style="1" customWidth="1"/>
    <col min="7715" max="7715" width="22.75" style="1" customWidth="1"/>
    <col min="7716" max="7717" width="11" style="1"/>
    <col min="7718" max="7718" width="11.75" style="1" customWidth="1"/>
    <col min="7719" max="7719" width="11" style="1"/>
    <col min="7720" max="7720" width="12.75" style="1" bestFit="1" customWidth="1"/>
    <col min="7721" max="7936" width="11" style="1"/>
    <col min="7937" max="7966" width="3.25" style="1" customWidth="1"/>
    <col min="7967" max="7967" width="9.25" style="1" customWidth="1"/>
    <col min="7968" max="7968" width="7.125" style="1" customWidth="1"/>
    <col min="7969" max="7969" width="9.25" style="1" customWidth="1"/>
    <col min="7970" max="7970" width="6.75" style="1" customWidth="1"/>
    <col min="7971" max="7971" width="22.75" style="1" customWidth="1"/>
    <col min="7972" max="7973" width="11" style="1"/>
    <col min="7974" max="7974" width="11.75" style="1" customWidth="1"/>
    <col min="7975" max="7975" width="11" style="1"/>
    <col min="7976" max="7976" width="12.75" style="1" bestFit="1" customWidth="1"/>
    <col min="7977" max="8192" width="11" style="1"/>
    <col min="8193" max="8222" width="3.25" style="1" customWidth="1"/>
    <col min="8223" max="8223" width="9.25" style="1" customWidth="1"/>
    <col min="8224" max="8224" width="7.125" style="1" customWidth="1"/>
    <col min="8225" max="8225" width="9.25" style="1" customWidth="1"/>
    <col min="8226" max="8226" width="6.75" style="1" customWidth="1"/>
    <col min="8227" max="8227" width="22.75" style="1" customWidth="1"/>
    <col min="8228" max="8229" width="11" style="1"/>
    <col min="8230" max="8230" width="11.75" style="1" customWidth="1"/>
    <col min="8231" max="8231" width="11" style="1"/>
    <col min="8232" max="8232" width="12.75" style="1" bestFit="1" customWidth="1"/>
    <col min="8233" max="8448" width="11" style="1"/>
    <col min="8449" max="8478" width="3.25" style="1" customWidth="1"/>
    <col min="8479" max="8479" width="9.25" style="1" customWidth="1"/>
    <col min="8480" max="8480" width="7.125" style="1" customWidth="1"/>
    <col min="8481" max="8481" width="9.25" style="1" customWidth="1"/>
    <col min="8482" max="8482" width="6.75" style="1" customWidth="1"/>
    <col min="8483" max="8483" width="22.75" style="1" customWidth="1"/>
    <col min="8484" max="8485" width="11" style="1"/>
    <col min="8486" max="8486" width="11.75" style="1" customWidth="1"/>
    <col min="8487" max="8487" width="11" style="1"/>
    <col min="8488" max="8488" width="12.75" style="1" bestFit="1" customWidth="1"/>
    <col min="8489" max="8704" width="11" style="1"/>
    <col min="8705" max="8734" width="3.25" style="1" customWidth="1"/>
    <col min="8735" max="8735" width="9.25" style="1" customWidth="1"/>
    <col min="8736" max="8736" width="7.125" style="1" customWidth="1"/>
    <col min="8737" max="8737" width="9.25" style="1" customWidth="1"/>
    <col min="8738" max="8738" width="6.75" style="1" customWidth="1"/>
    <col min="8739" max="8739" width="22.75" style="1" customWidth="1"/>
    <col min="8740" max="8741" width="11" style="1"/>
    <col min="8742" max="8742" width="11.75" style="1" customWidth="1"/>
    <col min="8743" max="8743" width="11" style="1"/>
    <col min="8744" max="8744" width="12.75" style="1" bestFit="1" customWidth="1"/>
    <col min="8745" max="8960" width="11" style="1"/>
    <col min="8961" max="8990" width="3.25" style="1" customWidth="1"/>
    <col min="8991" max="8991" width="9.25" style="1" customWidth="1"/>
    <col min="8992" max="8992" width="7.125" style="1" customWidth="1"/>
    <col min="8993" max="8993" width="9.25" style="1" customWidth="1"/>
    <col min="8994" max="8994" width="6.75" style="1" customWidth="1"/>
    <col min="8995" max="8995" width="22.75" style="1" customWidth="1"/>
    <col min="8996" max="8997" width="11" style="1"/>
    <col min="8998" max="8998" width="11.75" style="1" customWidth="1"/>
    <col min="8999" max="8999" width="11" style="1"/>
    <col min="9000" max="9000" width="12.75" style="1" bestFit="1" customWidth="1"/>
    <col min="9001" max="9216" width="11" style="1"/>
    <col min="9217" max="9246" width="3.25" style="1" customWidth="1"/>
    <col min="9247" max="9247" width="9.25" style="1" customWidth="1"/>
    <col min="9248" max="9248" width="7.125" style="1" customWidth="1"/>
    <col min="9249" max="9249" width="9.25" style="1" customWidth="1"/>
    <col min="9250" max="9250" width="6.75" style="1" customWidth="1"/>
    <col min="9251" max="9251" width="22.75" style="1" customWidth="1"/>
    <col min="9252" max="9253" width="11" style="1"/>
    <col min="9254" max="9254" width="11.75" style="1" customWidth="1"/>
    <col min="9255" max="9255" width="11" style="1"/>
    <col min="9256" max="9256" width="12.75" style="1" bestFit="1" customWidth="1"/>
    <col min="9257" max="9472" width="11" style="1"/>
    <col min="9473" max="9502" width="3.25" style="1" customWidth="1"/>
    <col min="9503" max="9503" width="9.25" style="1" customWidth="1"/>
    <col min="9504" max="9504" width="7.125" style="1" customWidth="1"/>
    <col min="9505" max="9505" width="9.25" style="1" customWidth="1"/>
    <col min="9506" max="9506" width="6.75" style="1" customWidth="1"/>
    <col min="9507" max="9507" width="22.75" style="1" customWidth="1"/>
    <col min="9508" max="9509" width="11" style="1"/>
    <col min="9510" max="9510" width="11.75" style="1" customWidth="1"/>
    <col min="9511" max="9511" width="11" style="1"/>
    <col min="9512" max="9512" width="12.75" style="1" bestFit="1" customWidth="1"/>
    <col min="9513" max="9728" width="11" style="1"/>
    <col min="9729" max="9758" width="3.25" style="1" customWidth="1"/>
    <col min="9759" max="9759" width="9.25" style="1" customWidth="1"/>
    <col min="9760" max="9760" width="7.125" style="1" customWidth="1"/>
    <col min="9761" max="9761" width="9.25" style="1" customWidth="1"/>
    <col min="9762" max="9762" width="6.75" style="1" customWidth="1"/>
    <col min="9763" max="9763" width="22.75" style="1" customWidth="1"/>
    <col min="9764" max="9765" width="11" style="1"/>
    <col min="9766" max="9766" width="11.75" style="1" customWidth="1"/>
    <col min="9767" max="9767" width="11" style="1"/>
    <col min="9768" max="9768" width="12.75" style="1" bestFit="1" customWidth="1"/>
    <col min="9769" max="9984" width="11" style="1"/>
    <col min="9985" max="10014" width="3.25" style="1" customWidth="1"/>
    <col min="10015" max="10015" width="9.25" style="1" customWidth="1"/>
    <col min="10016" max="10016" width="7.125" style="1" customWidth="1"/>
    <col min="10017" max="10017" width="9.25" style="1" customWidth="1"/>
    <col min="10018" max="10018" width="6.75" style="1" customWidth="1"/>
    <col min="10019" max="10019" width="22.75" style="1" customWidth="1"/>
    <col min="10020" max="10021" width="11" style="1"/>
    <col min="10022" max="10022" width="11.75" style="1" customWidth="1"/>
    <col min="10023" max="10023" width="11" style="1"/>
    <col min="10024" max="10024" width="12.75" style="1" bestFit="1" customWidth="1"/>
    <col min="10025" max="10240" width="11" style="1"/>
    <col min="10241" max="10270" width="3.25" style="1" customWidth="1"/>
    <col min="10271" max="10271" width="9.25" style="1" customWidth="1"/>
    <col min="10272" max="10272" width="7.125" style="1" customWidth="1"/>
    <col min="10273" max="10273" width="9.25" style="1" customWidth="1"/>
    <col min="10274" max="10274" width="6.75" style="1" customWidth="1"/>
    <col min="10275" max="10275" width="22.75" style="1" customWidth="1"/>
    <col min="10276" max="10277" width="11" style="1"/>
    <col min="10278" max="10278" width="11.75" style="1" customWidth="1"/>
    <col min="10279" max="10279" width="11" style="1"/>
    <col min="10280" max="10280" width="12.75" style="1" bestFit="1" customWidth="1"/>
    <col min="10281" max="10496" width="11" style="1"/>
    <col min="10497" max="10526" width="3.25" style="1" customWidth="1"/>
    <col min="10527" max="10527" width="9.25" style="1" customWidth="1"/>
    <col min="10528" max="10528" width="7.125" style="1" customWidth="1"/>
    <col min="10529" max="10529" width="9.25" style="1" customWidth="1"/>
    <col min="10530" max="10530" width="6.75" style="1" customWidth="1"/>
    <col min="10531" max="10531" width="22.75" style="1" customWidth="1"/>
    <col min="10532" max="10533" width="11" style="1"/>
    <col min="10534" max="10534" width="11.75" style="1" customWidth="1"/>
    <col min="10535" max="10535" width="11" style="1"/>
    <col min="10536" max="10536" width="12.75" style="1" bestFit="1" customWidth="1"/>
    <col min="10537" max="10752" width="11" style="1"/>
    <col min="10753" max="10782" width="3.25" style="1" customWidth="1"/>
    <col min="10783" max="10783" width="9.25" style="1" customWidth="1"/>
    <col min="10784" max="10784" width="7.125" style="1" customWidth="1"/>
    <col min="10785" max="10785" width="9.25" style="1" customWidth="1"/>
    <col min="10786" max="10786" width="6.75" style="1" customWidth="1"/>
    <col min="10787" max="10787" width="22.75" style="1" customWidth="1"/>
    <col min="10788" max="10789" width="11" style="1"/>
    <col min="10790" max="10790" width="11.75" style="1" customWidth="1"/>
    <col min="10791" max="10791" width="11" style="1"/>
    <col min="10792" max="10792" width="12.75" style="1" bestFit="1" customWidth="1"/>
    <col min="10793" max="11008" width="11" style="1"/>
    <col min="11009" max="11038" width="3.25" style="1" customWidth="1"/>
    <col min="11039" max="11039" width="9.25" style="1" customWidth="1"/>
    <col min="11040" max="11040" width="7.125" style="1" customWidth="1"/>
    <col min="11041" max="11041" width="9.25" style="1" customWidth="1"/>
    <col min="11042" max="11042" width="6.75" style="1" customWidth="1"/>
    <col min="11043" max="11043" width="22.75" style="1" customWidth="1"/>
    <col min="11044" max="11045" width="11" style="1"/>
    <col min="11046" max="11046" width="11.75" style="1" customWidth="1"/>
    <col min="11047" max="11047" width="11" style="1"/>
    <col min="11048" max="11048" width="12.75" style="1" bestFit="1" customWidth="1"/>
    <col min="11049" max="11264" width="11" style="1"/>
    <col min="11265" max="11294" width="3.25" style="1" customWidth="1"/>
    <col min="11295" max="11295" width="9.25" style="1" customWidth="1"/>
    <col min="11296" max="11296" width="7.125" style="1" customWidth="1"/>
    <col min="11297" max="11297" width="9.25" style="1" customWidth="1"/>
    <col min="11298" max="11298" width="6.75" style="1" customWidth="1"/>
    <col min="11299" max="11299" width="22.75" style="1" customWidth="1"/>
    <col min="11300" max="11301" width="11" style="1"/>
    <col min="11302" max="11302" width="11.75" style="1" customWidth="1"/>
    <col min="11303" max="11303" width="11" style="1"/>
    <col min="11304" max="11304" width="12.75" style="1" bestFit="1" customWidth="1"/>
    <col min="11305" max="11520" width="11" style="1"/>
    <col min="11521" max="11550" width="3.25" style="1" customWidth="1"/>
    <col min="11551" max="11551" width="9.25" style="1" customWidth="1"/>
    <col min="11552" max="11552" width="7.125" style="1" customWidth="1"/>
    <col min="11553" max="11553" width="9.25" style="1" customWidth="1"/>
    <col min="11554" max="11554" width="6.75" style="1" customWidth="1"/>
    <col min="11555" max="11555" width="22.75" style="1" customWidth="1"/>
    <col min="11556" max="11557" width="11" style="1"/>
    <col min="11558" max="11558" width="11.75" style="1" customWidth="1"/>
    <col min="11559" max="11559" width="11" style="1"/>
    <col min="11560" max="11560" width="12.75" style="1" bestFit="1" customWidth="1"/>
    <col min="11561" max="11776" width="11" style="1"/>
    <col min="11777" max="11806" width="3.25" style="1" customWidth="1"/>
    <col min="11807" max="11807" width="9.25" style="1" customWidth="1"/>
    <col min="11808" max="11808" width="7.125" style="1" customWidth="1"/>
    <col min="11809" max="11809" width="9.25" style="1" customWidth="1"/>
    <col min="11810" max="11810" width="6.75" style="1" customWidth="1"/>
    <col min="11811" max="11811" width="22.75" style="1" customWidth="1"/>
    <col min="11812" max="11813" width="11" style="1"/>
    <col min="11814" max="11814" width="11.75" style="1" customWidth="1"/>
    <col min="11815" max="11815" width="11" style="1"/>
    <col min="11816" max="11816" width="12.75" style="1" bestFit="1" customWidth="1"/>
    <col min="11817" max="12032" width="11" style="1"/>
    <col min="12033" max="12062" width="3.25" style="1" customWidth="1"/>
    <col min="12063" max="12063" width="9.25" style="1" customWidth="1"/>
    <col min="12064" max="12064" width="7.125" style="1" customWidth="1"/>
    <col min="12065" max="12065" width="9.25" style="1" customWidth="1"/>
    <col min="12066" max="12066" width="6.75" style="1" customWidth="1"/>
    <col min="12067" max="12067" width="22.75" style="1" customWidth="1"/>
    <col min="12068" max="12069" width="11" style="1"/>
    <col min="12070" max="12070" width="11.75" style="1" customWidth="1"/>
    <col min="12071" max="12071" width="11" style="1"/>
    <col min="12072" max="12072" width="12.75" style="1" bestFit="1" customWidth="1"/>
    <col min="12073" max="12288" width="11" style="1"/>
    <col min="12289" max="12318" width="3.25" style="1" customWidth="1"/>
    <col min="12319" max="12319" width="9.25" style="1" customWidth="1"/>
    <col min="12320" max="12320" width="7.125" style="1" customWidth="1"/>
    <col min="12321" max="12321" width="9.25" style="1" customWidth="1"/>
    <col min="12322" max="12322" width="6.75" style="1" customWidth="1"/>
    <col min="12323" max="12323" width="22.75" style="1" customWidth="1"/>
    <col min="12324" max="12325" width="11" style="1"/>
    <col min="12326" max="12326" width="11.75" style="1" customWidth="1"/>
    <col min="12327" max="12327" width="11" style="1"/>
    <col min="12328" max="12328" width="12.75" style="1" bestFit="1" customWidth="1"/>
    <col min="12329" max="12544" width="11" style="1"/>
    <col min="12545" max="12574" width="3.25" style="1" customWidth="1"/>
    <col min="12575" max="12575" width="9.25" style="1" customWidth="1"/>
    <col min="12576" max="12576" width="7.125" style="1" customWidth="1"/>
    <col min="12577" max="12577" width="9.25" style="1" customWidth="1"/>
    <col min="12578" max="12578" width="6.75" style="1" customWidth="1"/>
    <col min="12579" max="12579" width="22.75" style="1" customWidth="1"/>
    <col min="12580" max="12581" width="11" style="1"/>
    <col min="12582" max="12582" width="11.75" style="1" customWidth="1"/>
    <col min="12583" max="12583" width="11" style="1"/>
    <col min="12584" max="12584" width="12.75" style="1" bestFit="1" customWidth="1"/>
    <col min="12585" max="12800" width="11" style="1"/>
    <col min="12801" max="12830" width="3.25" style="1" customWidth="1"/>
    <col min="12831" max="12831" width="9.25" style="1" customWidth="1"/>
    <col min="12832" max="12832" width="7.125" style="1" customWidth="1"/>
    <col min="12833" max="12833" width="9.25" style="1" customWidth="1"/>
    <col min="12834" max="12834" width="6.75" style="1" customWidth="1"/>
    <col min="12835" max="12835" width="22.75" style="1" customWidth="1"/>
    <col min="12836" max="12837" width="11" style="1"/>
    <col min="12838" max="12838" width="11.75" style="1" customWidth="1"/>
    <col min="12839" max="12839" width="11" style="1"/>
    <col min="12840" max="12840" width="12.75" style="1" bestFit="1" customWidth="1"/>
    <col min="12841" max="13056" width="11" style="1"/>
    <col min="13057" max="13086" width="3.25" style="1" customWidth="1"/>
    <col min="13087" max="13087" width="9.25" style="1" customWidth="1"/>
    <col min="13088" max="13088" width="7.125" style="1" customWidth="1"/>
    <col min="13089" max="13089" width="9.25" style="1" customWidth="1"/>
    <col min="13090" max="13090" width="6.75" style="1" customWidth="1"/>
    <col min="13091" max="13091" width="22.75" style="1" customWidth="1"/>
    <col min="13092" max="13093" width="11" style="1"/>
    <col min="13094" max="13094" width="11.75" style="1" customWidth="1"/>
    <col min="13095" max="13095" width="11" style="1"/>
    <col min="13096" max="13096" width="12.75" style="1" bestFit="1" customWidth="1"/>
    <col min="13097" max="13312" width="11" style="1"/>
    <col min="13313" max="13342" width="3.25" style="1" customWidth="1"/>
    <col min="13343" max="13343" width="9.25" style="1" customWidth="1"/>
    <col min="13344" max="13344" width="7.125" style="1" customWidth="1"/>
    <col min="13345" max="13345" width="9.25" style="1" customWidth="1"/>
    <col min="13346" max="13346" width="6.75" style="1" customWidth="1"/>
    <col min="13347" max="13347" width="22.75" style="1" customWidth="1"/>
    <col min="13348" max="13349" width="11" style="1"/>
    <col min="13350" max="13350" width="11.75" style="1" customWidth="1"/>
    <col min="13351" max="13351" width="11" style="1"/>
    <col min="13352" max="13352" width="12.75" style="1" bestFit="1" customWidth="1"/>
    <col min="13353" max="13568" width="11" style="1"/>
    <col min="13569" max="13598" width="3.25" style="1" customWidth="1"/>
    <col min="13599" max="13599" width="9.25" style="1" customWidth="1"/>
    <col min="13600" max="13600" width="7.125" style="1" customWidth="1"/>
    <col min="13601" max="13601" width="9.25" style="1" customWidth="1"/>
    <col min="13602" max="13602" width="6.75" style="1" customWidth="1"/>
    <col min="13603" max="13603" width="22.75" style="1" customWidth="1"/>
    <col min="13604" max="13605" width="11" style="1"/>
    <col min="13606" max="13606" width="11.75" style="1" customWidth="1"/>
    <col min="13607" max="13607" width="11" style="1"/>
    <col min="13608" max="13608" width="12.75" style="1" bestFit="1" customWidth="1"/>
    <col min="13609" max="13824" width="11" style="1"/>
    <col min="13825" max="13854" width="3.25" style="1" customWidth="1"/>
    <col min="13855" max="13855" width="9.25" style="1" customWidth="1"/>
    <col min="13856" max="13856" width="7.125" style="1" customWidth="1"/>
    <col min="13857" max="13857" width="9.25" style="1" customWidth="1"/>
    <col min="13858" max="13858" width="6.75" style="1" customWidth="1"/>
    <col min="13859" max="13859" width="22.75" style="1" customWidth="1"/>
    <col min="13860" max="13861" width="11" style="1"/>
    <col min="13862" max="13862" width="11.75" style="1" customWidth="1"/>
    <col min="13863" max="13863" width="11" style="1"/>
    <col min="13864" max="13864" width="12.75" style="1" bestFit="1" customWidth="1"/>
    <col min="13865" max="14080" width="11" style="1"/>
    <col min="14081" max="14110" width="3.25" style="1" customWidth="1"/>
    <col min="14111" max="14111" width="9.25" style="1" customWidth="1"/>
    <col min="14112" max="14112" width="7.125" style="1" customWidth="1"/>
    <col min="14113" max="14113" width="9.25" style="1" customWidth="1"/>
    <col min="14114" max="14114" width="6.75" style="1" customWidth="1"/>
    <col min="14115" max="14115" width="22.75" style="1" customWidth="1"/>
    <col min="14116" max="14117" width="11" style="1"/>
    <col min="14118" max="14118" width="11.75" style="1" customWidth="1"/>
    <col min="14119" max="14119" width="11" style="1"/>
    <col min="14120" max="14120" width="12.75" style="1" bestFit="1" customWidth="1"/>
    <col min="14121" max="14336" width="11" style="1"/>
    <col min="14337" max="14366" width="3.25" style="1" customWidth="1"/>
    <col min="14367" max="14367" width="9.25" style="1" customWidth="1"/>
    <col min="14368" max="14368" width="7.125" style="1" customWidth="1"/>
    <col min="14369" max="14369" width="9.25" style="1" customWidth="1"/>
    <col min="14370" max="14370" width="6.75" style="1" customWidth="1"/>
    <col min="14371" max="14371" width="22.75" style="1" customWidth="1"/>
    <col min="14372" max="14373" width="11" style="1"/>
    <col min="14374" max="14374" width="11.75" style="1" customWidth="1"/>
    <col min="14375" max="14375" width="11" style="1"/>
    <col min="14376" max="14376" width="12.75" style="1" bestFit="1" customWidth="1"/>
    <col min="14377" max="14592" width="11" style="1"/>
    <col min="14593" max="14622" width="3.25" style="1" customWidth="1"/>
    <col min="14623" max="14623" width="9.25" style="1" customWidth="1"/>
    <col min="14624" max="14624" width="7.125" style="1" customWidth="1"/>
    <col min="14625" max="14625" width="9.25" style="1" customWidth="1"/>
    <col min="14626" max="14626" width="6.75" style="1" customWidth="1"/>
    <col min="14627" max="14627" width="22.75" style="1" customWidth="1"/>
    <col min="14628" max="14629" width="11" style="1"/>
    <col min="14630" max="14630" width="11.75" style="1" customWidth="1"/>
    <col min="14631" max="14631" width="11" style="1"/>
    <col min="14632" max="14632" width="12.75" style="1" bestFit="1" customWidth="1"/>
    <col min="14633" max="14848" width="11" style="1"/>
    <col min="14849" max="14878" width="3.25" style="1" customWidth="1"/>
    <col min="14879" max="14879" width="9.25" style="1" customWidth="1"/>
    <col min="14880" max="14880" width="7.125" style="1" customWidth="1"/>
    <col min="14881" max="14881" width="9.25" style="1" customWidth="1"/>
    <col min="14882" max="14882" width="6.75" style="1" customWidth="1"/>
    <col min="14883" max="14883" width="22.75" style="1" customWidth="1"/>
    <col min="14884" max="14885" width="11" style="1"/>
    <col min="14886" max="14886" width="11.75" style="1" customWidth="1"/>
    <col min="14887" max="14887" width="11" style="1"/>
    <col min="14888" max="14888" width="12.75" style="1" bestFit="1" customWidth="1"/>
    <col min="14889" max="15104" width="11" style="1"/>
    <col min="15105" max="15134" width="3.25" style="1" customWidth="1"/>
    <col min="15135" max="15135" width="9.25" style="1" customWidth="1"/>
    <col min="15136" max="15136" width="7.125" style="1" customWidth="1"/>
    <col min="15137" max="15137" width="9.25" style="1" customWidth="1"/>
    <col min="15138" max="15138" width="6.75" style="1" customWidth="1"/>
    <col min="15139" max="15139" width="22.75" style="1" customWidth="1"/>
    <col min="15140" max="15141" width="11" style="1"/>
    <col min="15142" max="15142" width="11.75" style="1" customWidth="1"/>
    <col min="15143" max="15143" width="11" style="1"/>
    <col min="15144" max="15144" width="12.75" style="1" bestFit="1" customWidth="1"/>
    <col min="15145" max="15360" width="11" style="1"/>
    <col min="15361" max="15390" width="3.25" style="1" customWidth="1"/>
    <col min="15391" max="15391" width="9.25" style="1" customWidth="1"/>
    <col min="15392" max="15392" width="7.125" style="1" customWidth="1"/>
    <col min="15393" max="15393" width="9.25" style="1" customWidth="1"/>
    <col min="15394" max="15394" width="6.75" style="1" customWidth="1"/>
    <col min="15395" max="15395" width="22.75" style="1" customWidth="1"/>
    <col min="15396" max="15397" width="11" style="1"/>
    <col min="15398" max="15398" width="11.75" style="1" customWidth="1"/>
    <col min="15399" max="15399" width="11" style="1"/>
    <col min="15400" max="15400" width="12.75" style="1" bestFit="1" customWidth="1"/>
    <col min="15401" max="15616" width="11" style="1"/>
    <col min="15617" max="15646" width="3.25" style="1" customWidth="1"/>
    <col min="15647" max="15647" width="9.25" style="1" customWidth="1"/>
    <col min="15648" max="15648" width="7.125" style="1" customWidth="1"/>
    <col min="15649" max="15649" width="9.25" style="1" customWidth="1"/>
    <col min="15650" max="15650" width="6.75" style="1" customWidth="1"/>
    <col min="15651" max="15651" width="22.75" style="1" customWidth="1"/>
    <col min="15652" max="15653" width="11" style="1"/>
    <col min="15654" max="15654" width="11.75" style="1" customWidth="1"/>
    <col min="15655" max="15655" width="11" style="1"/>
    <col min="15656" max="15656" width="12.75" style="1" bestFit="1" customWidth="1"/>
    <col min="15657" max="15872" width="11" style="1"/>
    <col min="15873" max="15902" width="3.25" style="1" customWidth="1"/>
    <col min="15903" max="15903" width="9.25" style="1" customWidth="1"/>
    <col min="15904" max="15904" width="7.125" style="1" customWidth="1"/>
    <col min="15905" max="15905" width="9.25" style="1" customWidth="1"/>
    <col min="15906" max="15906" width="6.75" style="1" customWidth="1"/>
    <col min="15907" max="15907" width="22.75" style="1" customWidth="1"/>
    <col min="15908" max="15909" width="11" style="1"/>
    <col min="15910" max="15910" width="11.75" style="1" customWidth="1"/>
    <col min="15911" max="15911" width="11" style="1"/>
    <col min="15912" max="15912" width="12.75" style="1" bestFit="1" customWidth="1"/>
    <col min="15913" max="16128" width="11" style="1"/>
    <col min="16129" max="16158" width="3.25" style="1" customWidth="1"/>
    <col min="16159" max="16159" width="9.25" style="1" customWidth="1"/>
    <col min="16160" max="16160" width="7.125" style="1" customWidth="1"/>
    <col min="16161" max="16161" width="9.25" style="1" customWidth="1"/>
    <col min="16162" max="16162" width="6.75" style="1" customWidth="1"/>
    <col min="16163" max="16163" width="22.75" style="1" customWidth="1"/>
    <col min="16164" max="16165" width="11" style="1"/>
    <col min="16166" max="16166" width="11.75" style="1" customWidth="1"/>
    <col min="16167" max="16167" width="11" style="1"/>
    <col min="16168" max="16168" width="12.75" style="1" bestFit="1" customWidth="1"/>
    <col min="16169" max="16384" width="11" style="1"/>
  </cols>
  <sheetData>
    <row r="1" spans="1:42" ht="25.15" customHeight="1" x14ac:dyDescent="0.35">
      <c r="A1" s="443"/>
      <c r="B1" s="444"/>
      <c r="C1" s="444"/>
      <c r="D1" s="444"/>
      <c r="E1" s="444"/>
      <c r="F1" s="444"/>
      <c r="G1" s="444"/>
      <c r="H1" s="445"/>
      <c r="I1" s="449" t="s">
        <v>0</v>
      </c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450"/>
      <c r="AJ1" s="450"/>
      <c r="AK1" s="451"/>
      <c r="AL1" s="455" t="s">
        <v>1</v>
      </c>
      <c r="AM1" s="456"/>
      <c r="AN1" s="457"/>
    </row>
    <row r="2" spans="1:42" ht="25.15" customHeight="1" x14ac:dyDescent="0.35">
      <c r="A2" s="446"/>
      <c r="B2" s="447"/>
      <c r="C2" s="447"/>
      <c r="D2" s="447"/>
      <c r="E2" s="447"/>
      <c r="F2" s="447"/>
      <c r="G2" s="447"/>
      <c r="H2" s="448"/>
      <c r="I2" s="452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3"/>
      <c r="AH2" s="453"/>
      <c r="AI2" s="453"/>
      <c r="AJ2" s="453"/>
      <c r="AK2" s="454"/>
      <c r="AL2" s="458" t="s">
        <v>2</v>
      </c>
      <c r="AM2" s="459"/>
      <c r="AN2" s="460"/>
    </row>
    <row r="3" spans="1:42" ht="25.15" customHeight="1" x14ac:dyDescent="0.35">
      <c r="A3" s="446"/>
      <c r="B3" s="447"/>
      <c r="C3" s="447"/>
      <c r="D3" s="447"/>
      <c r="E3" s="447"/>
      <c r="F3" s="447"/>
      <c r="G3" s="447"/>
      <c r="H3" s="448"/>
      <c r="I3" s="461" t="s">
        <v>3</v>
      </c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3"/>
      <c r="AL3" s="464" t="s">
        <v>4</v>
      </c>
      <c r="AM3" s="465"/>
      <c r="AN3" s="466"/>
    </row>
    <row r="4" spans="1:42" s="3" customFormat="1" ht="21.4" customHeight="1" x14ac:dyDescent="0.2">
      <c r="A4" s="472" t="s">
        <v>5</v>
      </c>
      <c r="B4" s="473"/>
      <c r="C4" s="473"/>
      <c r="D4" s="473"/>
      <c r="E4" s="473"/>
      <c r="F4" s="473" t="s">
        <v>6</v>
      </c>
      <c r="G4" s="473"/>
      <c r="H4" s="474">
        <v>24</v>
      </c>
      <c r="I4" s="474"/>
      <c r="J4" s="473" t="s">
        <v>7</v>
      </c>
      <c r="K4" s="473"/>
      <c r="L4" s="474">
        <v>3</v>
      </c>
      <c r="M4" s="474"/>
      <c r="N4" s="473" t="s">
        <v>8</v>
      </c>
      <c r="O4" s="473"/>
      <c r="P4" s="474">
        <v>2024</v>
      </c>
      <c r="Q4" s="474"/>
      <c r="R4" s="2"/>
      <c r="S4" s="2"/>
      <c r="T4" s="2"/>
      <c r="U4" s="473" t="s">
        <v>9</v>
      </c>
      <c r="V4" s="473"/>
      <c r="W4" s="473"/>
      <c r="X4" s="473"/>
      <c r="Y4" s="473"/>
      <c r="Z4" s="475"/>
      <c r="AA4" s="475"/>
      <c r="AB4" s="475"/>
      <c r="AC4" s="475"/>
      <c r="AD4" s="475"/>
      <c r="AE4" s="475"/>
      <c r="AF4" s="475"/>
      <c r="AG4" s="473" t="s">
        <v>10</v>
      </c>
      <c r="AH4" s="473"/>
      <c r="AI4" s="473"/>
      <c r="AJ4" s="476"/>
      <c r="AK4" s="476"/>
      <c r="AL4" s="476"/>
      <c r="AM4" s="476"/>
      <c r="AN4" s="477"/>
    </row>
    <row r="5" spans="1:42" ht="40.9" customHeight="1" x14ac:dyDescent="0.2">
      <c r="A5" s="467" t="s">
        <v>11</v>
      </c>
      <c r="B5" s="468"/>
      <c r="C5" s="468"/>
      <c r="D5" s="468"/>
      <c r="E5" s="468"/>
      <c r="F5" s="468"/>
      <c r="G5" s="468"/>
      <c r="H5" s="468"/>
      <c r="I5" s="469" t="s">
        <v>431</v>
      </c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1"/>
    </row>
    <row r="6" spans="1:42" ht="20.25" x14ac:dyDescent="0.3">
      <c r="A6" s="472" t="s">
        <v>12</v>
      </c>
      <c r="B6" s="473"/>
      <c r="C6" s="473"/>
      <c r="D6" s="473"/>
      <c r="E6" s="473"/>
      <c r="F6" s="473"/>
      <c r="G6" s="473"/>
      <c r="H6" s="473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9" t="s">
        <v>13</v>
      </c>
      <c r="AF6" s="480"/>
      <c r="AG6" s="480"/>
      <c r="AH6" s="481"/>
      <c r="AI6" s="4"/>
      <c r="AJ6" s="484" t="s">
        <v>14</v>
      </c>
      <c r="AK6" s="485"/>
      <c r="AL6" s="486"/>
      <c r="AM6" s="482"/>
      <c r="AN6" s="483"/>
    </row>
    <row r="7" spans="1:42" ht="20.25" x14ac:dyDescent="0.3">
      <c r="A7" s="472" t="s">
        <v>15</v>
      </c>
      <c r="B7" s="473"/>
      <c r="C7" s="473"/>
      <c r="D7" s="473"/>
      <c r="E7" s="473"/>
      <c r="F7" s="473"/>
      <c r="G7" s="473"/>
      <c r="H7" s="473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9" t="s">
        <v>13</v>
      </c>
      <c r="AF7" s="480"/>
      <c r="AG7" s="480"/>
      <c r="AH7" s="481"/>
      <c r="AI7" s="4"/>
      <c r="AJ7" s="479" t="s">
        <v>16</v>
      </c>
      <c r="AK7" s="480"/>
      <c r="AL7" s="481"/>
      <c r="AM7" s="482"/>
      <c r="AN7" s="483"/>
    </row>
    <row r="8" spans="1:42" ht="16.5" thickBot="1" x14ac:dyDescent="0.2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6"/>
      <c r="AJ8" s="6"/>
      <c r="AK8" s="6"/>
      <c r="AL8" s="6"/>
      <c r="AM8" s="7"/>
      <c r="AN8" s="8"/>
    </row>
    <row r="9" spans="1:42" ht="39.75" customHeight="1" thickBot="1" x14ac:dyDescent="0.25">
      <c r="A9" s="506" t="s">
        <v>107</v>
      </c>
      <c r="B9" s="507"/>
      <c r="C9" s="507"/>
      <c r="D9" s="507"/>
      <c r="E9" s="507"/>
      <c r="F9" s="507"/>
      <c r="G9" s="507"/>
      <c r="H9" s="508" t="s">
        <v>108</v>
      </c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10"/>
      <c r="U9" s="507" t="s">
        <v>18</v>
      </c>
      <c r="V9" s="507"/>
      <c r="W9" s="507"/>
      <c r="X9" s="507"/>
      <c r="Y9" s="507"/>
      <c r="Z9" s="507"/>
      <c r="AA9" s="507"/>
      <c r="AB9" s="507"/>
      <c r="AC9" s="507"/>
      <c r="AD9" s="507"/>
      <c r="AE9" s="511" t="str">
        <f>+'P. Adecuación'!C66</f>
        <v>ASEO GENERAL ENTREGA</v>
      </c>
      <c r="AF9" s="512"/>
      <c r="AG9" s="513"/>
      <c r="AH9" s="513"/>
      <c r="AI9" s="514"/>
      <c r="AJ9" s="32" t="s">
        <v>19</v>
      </c>
      <c r="AK9" s="9" t="s">
        <v>20</v>
      </c>
      <c r="AL9" s="10" t="s">
        <v>21</v>
      </c>
      <c r="AM9" s="515" t="s">
        <v>22</v>
      </c>
      <c r="AN9" s="516"/>
    </row>
    <row r="10" spans="1:42" ht="15.75" customHeight="1" x14ac:dyDescent="0.2">
      <c r="A10" s="487"/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9"/>
      <c r="AG10" s="494" t="s">
        <v>23</v>
      </c>
      <c r="AH10" s="495"/>
      <c r="AI10" s="498" t="s">
        <v>24</v>
      </c>
      <c r="AJ10" s="500" t="s">
        <v>25</v>
      </c>
      <c r="AK10" s="501"/>
      <c r="AL10" s="501"/>
      <c r="AM10" s="498" t="s">
        <v>26</v>
      </c>
      <c r="AN10" s="517" t="s">
        <v>27</v>
      </c>
    </row>
    <row r="11" spans="1:42" ht="16.5" customHeight="1" thickBot="1" x14ac:dyDescent="0.25">
      <c r="A11" s="490"/>
      <c r="B11" s="493"/>
      <c r="C11" s="493"/>
      <c r="D11" s="493"/>
      <c r="E11" s="493"/>
      <c r="F11" s="493"/>
      <c r="G11" s="493"/>
      <c r="H11" s="493"/>
      <c r="I11" s="493"/>
      <c r="J11" s="493"/>
      <c r="K11" s="493"/>
      <c r="L11" s="493"/>
      <c r="M11" s="493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2"/>
      <c r="AG11" s="496"/>
      <c r="AH11" s="497"/>
      <c r="AI11" s="499"/>
      <c r="AJ11" s="11" t="s">
        <v>28</v>
      </c>
      <c r="AK11" s="11" t="s">
        <v>29</v>
      </c>
      <c r="AL11" s="11" t="s">
        <v>30</v>
      </c>
      <c r="AM11" s="499"/>
      <c r="AN11" s="518"/>
    </row>
    <row r="12" spans="1:42" ht="15.75" customHeight="1" x14ac:dyDescent="0.2">
      <c r="A12" s="490"/>
      <c r="B12" s="493"/>
      <c r="C12" s="493"/>
      <c r="D12" s="493"/>
      <c r="E12" s="493"/>
      <c r="F12" s="493"/>
      <c r="G12" s="493"/>
      <c r="H12" s="493"/>
      <c r="I12" s="493"/>
      <c r="J12" s="493"/>
      <c r="K12" s="493"/>
      <c r="L12" s="493"/>
      <c r="M12" s="493"/>
      <c r="N12" s="493"/>
      <c r="O12" s="493"/>
      <c r="P12" s="493"/>
      <c r="Q12" s="493"/>
      <c r="R12" s="493"/>
      <c r="S12" s="493"/>
      <c r="T12" s="493"/>
      <c r="U12" s="493"/>
      <c r="V12" s="493"/>
      <c r="W12" s="493"/>
      <c r="X12" s="493"/>
      <c r="Y12" s="493"/>
      <c r="Z12" s="493"/>
      <c r="AA12" s="493"/>
      <c r="AB12" s="493"/>
      <c r="AC12" s="493"/>
      <c r="AD12" s="493"/>
      <c r="AE12" s="493"/>
      <c r="AF12" s="492"/>
      <c r="AG12" s="519"/>
      <c r="AH12" s="520"/>
      <c r="AI12" s="17"/>
      <c r="AJ12" s="12"/>
      <c r="AK12" s="13"/>
      <c r="AL12" s="13"/>
      <c r="AM12" s="14"/>
      <c r="AN12" s="15"/>
    </row>
    <row r="13" spans="1:42" ht="15.75" customHeight="1" x14ac:dyDescent="0.2">
      <c r="A13" s="490"/>
      <c r="B13" s="493"/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2"/>
      <c r="AG13" s="502"/>
      <c r="AH13" s="503"/>
      <c r="AI13" s="28" t="s">
        <v>461</v>
      </c>
      <c r="AJ13" s="12">
        <v>3.65</v>
      </c>
      <c r="AK13" s="13"/>
      <c r="AL13" s="12">
        <v>6.45</v>
      </c>
      <c r="AM13" s="14"/>
      <c r="AN13" s="15">
        <f>+AL13*AJ13</f>
        <v>23.5425</v>
      </c>
    </row>
    <row r="14" spans="1:42" ht="15.75" customHeight="1" x14ac:dyDescent="0.2">
      <c r="A14" s="490"/>
      <c r="B14" s="493"/>
      <c r="C14" s="493"/>
      <c r="D14" s="493"/>
      <c r="E14" s="493"/>
      <c r="F14" s="493"/>
      <c r="G14" s="493"/>
      <c r="H14" s="493"/>
      <c r="I14" s="493"/>
      <c r="J14" s="493"/>
      <c r="K14" s="493"/>
      <c r="L14" s="493"/>
      <c r="M14" s="493"/>
      <c r="N14" s="493"/>
      <c r="O14" s="493"/>
      <c r="P14" s="493"/>
      <c r="Q14" s="493"/>
      <c r="R14" s="493"/>
      <c r="S14" s="493"/>
      <c r="T14" s="493"/>
      <c r="U14" s="493"/>
      <c r="V14" s="493"/>
      <c r="W14" s="493"/>
      <c r="X14" s="493"/>
      <c r="Y14" s="493"/>
      <c r="Z14" s="493"/>
      <c r="AA14" s="493"/>
      <c r="AB14" s="493"/>
      <c r="AC14" s="493"/>
      <c r="AD14" s="493"/>
      <c r="AE14" s="493"/>
      <c r="AF14" s="492"/>
      <c r="AG14" s="502"/>
      <c r="AH14" s="503"/>
      <c r="AI14" s="28" t="s">
        <v>462</v>
      </c>
      <c r="AJ14" s="12">
        <v>3.43</v>
      </c>
      <c r="AK14" s="13"/>
      <c r="AL14" s="12">
        <v>6.45</v>
      </c>
      <c r="AM14" s="14"/>
      <c r="AN14" s="15">
        <f t="shared" ref="AN14:AN25" si="0">+AL14*AJ14</f>
        <v>22.1235</v>
      </c>
    </row>
    <row r="15" spans="1:42" ht="15.75" customHeight="1" x14ac:dyDescent="0.2">
      <c r="A15" s="490"/>
      <c r="B15" s="493"/>
      <c r="C15" s="493"/>
      <c r="D15" s="493"/>
      <c r="E15" s="493"/>
      <c r="F15" s="493"/>
      <c r="G15" s="493"/>
      <c r="H15" s="493"/>
      <c r="I15" s="493"/>
      <c r="J15" s="493"/>
      <c r="K15" s="493"/>
      <c r="L15" s="493"/>
      <c r="M15" s="493"/>
      <c r="N15" s="493"/>
      <c r="O15" s="493"/>
      <c r="P15" s="493"/>
      <c r="Q15" s="493"/>
      <c r="R15" s="493"/>
      <c r="S15" s="493"/>
      <c r="T15" s="493"/>
      <c r="U15" s="493"/>
      <c r="V15" s="493"/>
      <c r="W15" s="493"/>
      <c r="X15" s="493"/>
      <c r="Y15" s="493"/>
      <c r="Z15" s="493"/>
      <c r="AA15" s="493"/>
      <c r="AB15" s="493"/>
      <c r="AC15" s="493"/>
      <c r="AD15" s="493"/>
      <c r="AE15" s="493"/>
      <c r="AF15" s="492"/>
      <c r="AG15" s="502"/>
      <c r="AH15" s="503"/>
      <c r="AI15" s="28" t="s">
        <v>463</v>
      </c>
      <c r="AJ15" s="12">
        <v>5.73</v>
      </c>
      <c r="AK15" s="13"/>
      <c r="AL15" s="12">
        <v>6.45</v>
      </c>
      <c r="AM15" s="14"/>
      <c r="AN15" s="15">
        <f t="shared" si="0"/>
        <v>36.958500000000001</v>
      </c>
      <c r="AP15" s="16"/>
    </row>
    <row r="16" spans="1:42" ht="15.75" customHeight="1" x14ac:dyDescent="0.2">
      <c r="A16" s="490"/>
      <c r="B16" s="493"/>
      <c r="C16" s="493"/>
      <c r="D16" s="493"/>
      <c r="E16" s="493"/>
      <c r="F16" s="493"/>
      <c r="G16" s="493"/>
      <c r="H16" s="493"/>
      <c r="I16" s="493"/>
      <c r="J16" s="493"/>
      <c r="K16" s="493"/>
      <c r="L16" s="493"/>
      <c r="M16" s="493"/>
      <c r="N16" s="493"/>
      <c r="O16" s="493"/>
      <c r="P16" s="493"/>
      <c r="Q16" s="493"/>
      <c r="R16" s="493"/>
      <c r="S16" s="493"/>
      <c r="T16" s="493"/>
      <c r="U16" s="493"/>
      <c r="V16" s="493"/>
      <c r="W16" s="493"/>
      <c r="X16" s="493"/>
      <c r="Y16" s="493"/>
      <c r="Z16" s="493"/>
      <c r="AA16" s="493"/>
      <c r="AB16" s="493"/>
      <c r="AC16" s="493"/>
      <c r="AD16" s="493"/>
      <c r="AE16" s="493"/>
      <c r="AF16" s="492"/>
      <c r="AG16" s="502"/>
      <c r="AH16" s="503"/>
      <c r="AI16" s="28" t="s">
        <v>464</v>
      </c>
      <c r="AJ16" s="12">
        <v>8.08</v>
      </c>
      <c r="AK16" s="13"/>
      <c r="AL16" s="13">
        <v>4.22</v>
      </c>
      <c r="AM16" s="14"/>
      <c r="AN16" s="15">
        <f t="shared" si="0"/>
        <v>34.0976</v>
      </c>
    </row>
    <row r="17" spans="1:42" ht="15.75" customHeight="1" x14ac:dyDescent="0.2">
      <c r="A17" s="490"/>
      <c r="B17" s="493"/>
      <c r="C17" s="493"/>
      <c r="D17" s="493"/>
      <c r="E17" s="493"/>
      <c r="F17" s="493"/>
      <c r="G17" s="493"/>
      <c r="H17" s="493"/>
      <c r="I17" s="493"/>
      <c r="J17" s="493"/>
      <c r="K17" s="493"/>
      <c r="L17" s="493"/>
      <c r="M17" s="493"/>
      <c r="N17" s="493"/>
      <c r="O17" s="493"/>
      <c r="P17" s="493"/>
      <c r="Q17" s="493"/>
      <c r="R17" s="493"/>
      <c r="S17" s="493"/>
      <c r="T17" s="493"/>
      <c r="U17" s="493"/>
      <c r="V17" s="493"/>
      <c r="W17" s="493"/>
      <c r="X17" s="493"/>
      <c r="Y17" s="493"/>
      <c r="Z17" s="493"/>
      <c r="AA17" s="493"/>
      <c r="AB17" s="493"/>
      <c r="AC17" s="493"/>
      <c r="AD17" s="493"/>
      <c r="AE17" s="493"/>
      <c r="AF17" s="492"/>
      <c r="AG17" s="502"/>
      <c r="AH17" s="503"/>
      <c r="AI17" s="28" t="s">
        <v>465</v>
      </c>
      <c r="AJ17" s="12">
        <v>1.84</v>
      </c>
      <c r="AK17" s="13"/>
      <c r="AL17" s="13">
        <v>6</v>
      </c>
      <c r="AM17" s="14"/>
      <c r="AN17" s="15">
        <f t="shared" si="0"/>
        <v>11.040000000000001</v>
      </c>
      <c r="AO17" s="27"/>
    </row>
    <row r="18" spans="1:42" ht="15.75" customHeight="1" x14ac:dyDescent="0.2">
      <c r="A18" s="490"/>
      <c r="B18" s="493"/>
      <c r="C18" s="493"/>
      <c r="D18" s="493"/>
      <c r="E18" s="493"/>
      <c r="F18" s="493"/>
      <c r="G18" s="493"/>
      <c r="H18" s="493"/>
      <c r="I18" s="493"/>
      <c r="J18" s="493"/>
      <c r="K18" s="493"/>
      <c r="L18" s="493"/>
      <c r="M18" s="493"/>
      <c r="N18" s="493"/>
      <c r="O18" s="493"/>
      <c r="P18" s="493"/>
      <c r="Q18" s="493"/>
      <c r="R18" s="493"/>
      <c r="S18" s="493"/>
      <c r="T18" s="493"/>
      <c r="U18" s="493"/>
      <c r="V18" s="493"/>
      <c r="W18" s="493"/>
      <c r="X18" s="493"/>
      <c r="Y18" s="493"/>
      <c r="Z18" s="493"/>
      <c r="AA18" s="493"/>
      <c r="AB18" s="493"/>
      <c r="AC18" s="493"/>
      <c r="AD18" s="493"/>
      <c r="AE18" s="493"/>
      <c r="AF18" s="492"/>
      <c r="AG18" s="502"/>
      <c r="AH18" s="503"/>
      <c r="AI18" s="28" t="s">
        <v>466</v>
      </c>
      <c r="AJ18" s="12">
        <v>3.7</v>
      </c>
      <c r="AK18" s="13"/>
      <c r="AL18" s="13">
        <f>+(1.1*0.72)+(2.25*2.3)+(3.7*3.65)</f>
        <v>19.472000000000001</v>
      </c>
      <c r="AM18" s="13"/>
      <c r="AN18" s="15">
        <f t="shared" si="0"/>
        <v>72.046400000000006</v>
      </c>
    </row>
    <row r="19" spans="1:42" ht="15.75" customHeight="1" x14ac:dyDescent="0.2">
      <c r="A19" s="490"/>
      <c r="B19" s="493"/>
      <c r="C19" s="493"/>
      <c r="D19" s="493"/>
      <c r="E19" s="493"/>
      <c r="F19" s="493"/>
      <c r="G19" s="493"/>
      <c r="H19" s="493"/>
      <c r="I19" s="493"/>
      <c r="J19" s="493"/>
      <c r="K19" s="493"/>
      <c r="L19" s="493"/>
      <c r="M19" s="493"/>
      <c r="N19" s="493"/>
      <c r="O19" s="493"/>
      <c r="P19" s="493"/>
      <c r="Q19" s="493"/>
      <c r="R19" s="493"/>
      <c r="S19" s="493"/>
      <c r="T19" s="493"/>
      <c r="U19" s="493"/>
      <c r="V19" s="493"/>
      <c r="W19" s="493"/>
      <c r="X19" s="493"/>
      <c r="Y19" s="493"/>
      <c r="Z19" s="493"/>
      <c r="AA19" s="493"/>
      <c r="AB19" s="493"/>
      <c r="AC19" s="493"/>
      <c r="AD19" s="493"/>
      <c r="AE19" s="493"/>
      <c r="AF19" s="492"/>
      <c r="AG19" s="502"/>
      <c r="AH19" s="503"/>
      <c r="AI19" s="28" t="s">
        <v>467</v>
      </c>
      <c r="AJ19" s="12">
        <v>3.18</v>
      </c>
      <c r="AK19" s="13"/>
      <c r="AL19" s="13">
        <v>3.15</v>
      </c>
      <c r="AM19" s="13"/>
      <c r="AN19" s="15">
        <f t="shared" si="0"/>
        <v>10.016999999999999</v>
      </c>
    </row>
    <row r="20" spans="1:42" ht="15.75" customHeight="1" x14ac:dyDescent="0.2">
      <c r="A20" s="490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493"/>
      <c r="M20" s="493"/>
      <c r="N20" s="493"/>
      <c r="O20" s="493"/>
      <c r="P20" s="493"/>
      <c r="Q20" s="493"/>
      <c r="R20" s="493"/>
      <c r="S20" s="493"/>
      <c r="T20" s="493"/>
      <c r="U20" s="493"/>
      <c r="V20" s="493"/>
      <c r="W20" s="493"/>
      <c r="X20" s="493"/>
      <c r="Y20" s="493"/>
      <c r="Z20" s="493"/>
      <c r="AA20" s="493"/>
      <c r="AB20" s="493"/>
      <c r="AC20" s="493"/>
      <c r="AD20" s="493"/>
      <c r="AE20" s="493"/>
      <c r="AF20" s="492"/>
      <c r="AG20" s="502"/>
      <c r="AH20" s="503"/>
      <c r="AI20" s="28" t="s">
        <v>468</v>
      </c>
      <c r="AJ20" s="12">
        <v>4.75</v>
      </c>
      <c r="AK20" s="13"/>
      <c r="AL20" s="13">
        <v>5.85</v>
      </c>
      <c r="AM20" s="14"/>
      <c r="AN20" s="15">
        <f t="shared" si="0"/>
        <v>27.787499999999998</v>
      </c>
    </row>
    <row r="21" spans="1:42" ht="15.75" customHeight="1" x14ac:dyDescent="0.2">
      <c r="A21" s="490"/>
      <c r="B21" s="493"/>
      <c r="C21" s="493"/>
      <c r="D21" s="493"/>
      <c r="E21" s="493"/>
      <c r="F21" s="493"/>
      <c r="G21" s="493"/>
      <c r="H21" s="493"/>
      <c r="I21" s="493"/>
      <c r="J21" s="493"/>
      <c r="K21" s="493"/>
      <c r="L21" s="493"/>
      <c r="M21" s="493"/>
      <c r="N21" s="493"/>
      <c r="O21" s="493"/>
      <c r="P21" s="493"/>
      <c r="Q21" s="493"/>
      <c r="R21" s="493"/>
      <c r="S21" s="493"/>
      <c r="T21" s="493"/>
      <c r="U21" s="493"/>
      <c r="V21" s="493"/>
      <c r="W21" s="493"/>
      <c r="X21" s="493"/>
      <c r="Y21" s="493"/>
      <c r="Z21" s="493"/>
      <c r="AA21" s="493"/>
      <c r="AB21" s="493"/>
      <c r="AC21" s="493"/>
      <c r="AD21" s="493"/>
      <c r="AE21" s="493"/>
      <c r="AF21" s="492"/>
      <c r="AG21" s="502"/>
      <c r="AH21" s="503"/>
      <c r="AI21" s="28" t="s">
        <v>469</v>
      </c>
      <c r="AJ21" s="12">
        <f>5.05+4.75</f>
        <v>9.8000000000000007</v>
      </c>
      <c r="AK21" s="13"/>
      <c r="AL21" s="13">
        <v>3.6</v>
      </c>
      <c r="AM21" s="13"/>
      <c r="AN21" s="15">
        <f t="shared" si="0"/>
        <v>35.28</v>
      </c>
    </row>
    <row r="22" spans="1:42" ht="15.75" customHeight="1" x14ac:dyDescent="0.2">
      <c r="A22" s="490"/>
      <c r="B22" s="493"/>
      <c r="C22" s="493"/>
      <c r="D22" s="493"/>
      <c r="E22" s="493"/>
      <c r="F22" s="493"/>
      <c r="G22" s="493"/>
      <c r="H22" s="493"/>
      <c r="I22" s="493"/>
      <c r="J22" s="493"/>
      <c r="K22" s="493"/>
      <c r="L22" s="493"/>
      <c r="M22" s="493"/>
      <c r="N22" s="493"/>
      <c r="O22" s="493"/>
      <c r="P22" s="493"/>
      <c r="Q22" s="493"/>
      <c r="R22" s="493"/>
      <c r="S22" s="493"/>
      <c r="T22" s="493"/>
      <c r="U22" s="493"/>
      <c r="V22" s="493"/>
      <c r="W22" s="493"/>
      <c r="X22" s="493"/>
      <c r="Y22" s="493"/>
      <c r="Z22" s="493"/>
      <c r="AA22" s="493"/>
      <c r="AB22" s="493"/>
      <c r="AC22" s="493"/>
      <c r="AD22" s="493"/>
      <c r="AE22" s="493"/>
      <c r="AF22" s="492"/>
      <c r="AG22" s="502"/>
      <c r="AH22" s="503"/>
      <c r="AI22" s="28" t="s">
        <v>470</v>
      </c>
      <c r="AJ22" s="12">
        <v>8.86</v>
      </c>
      <c r="AK22" s="13"/>
      <c r="AL22" s="13">
        <v>1.2</v>
      </c>
      <c r="AM22" s="13"/>
      <c r="AN22" s="15">
        <f t="shared" si="0"/>
        <v>10.632</v>
      </c>
    </row>
    <row r="23" spans="1:42" ht="15.75" customHeight="1" x14ac:dyDescent="0.2">
      <c r="A23" s="490"/>
      <c r="B23" s="493"/>
      <c r="C23" s="493"/>
      <c r="D23" s="493"/>
      <c r="E23" s="493"/>
      <c r="F23" s="493"/>
      <c r="G23" s="493"/>
      <c r="H23" s="493"/>
      <c r="I23" s="493"/>
      <c r="J23" s="493"/>
      <c r="K23" s="493"/>
      <c r="L23" s="493"/>
      <c r="M23" s="493"/>
      <c r="N23" s="493"/>
      <c r="O23" s="493"/>
      <c r="P23" s="493"/>
      <c r="Q23" s="493"/>
      <c r="R23" s="493"/>
      <c r="S23" s="493"/>
      <c r="T23" s="493"/>
      <c r="U23" s="493"/>
      <c r="V23" s="493"/>
      <c r="W23" s="493"/>
      <c r="X23" s="493"/>
      <c r="Y23" s="493"/>
      <c r="Z23" s="493"/>
      <c r="AA23" s="493"/>
      <c r="AB23" s="493"/>
      <c r="AC23" s="493"/>
      <c r="AD23" s="493"/>
      <c r="AE23" s="493"/>
      <c r="AF23" s="492"/>
      <c r="AG23" s="502"/>
      <c r="AH23" s="503"/>
      <c r="AI23" s="28" t="s">
        <v>471</v>
      </c>
      <c r="AJ23" s="12">
        <v>7.23</v>
      </c>
      <c r="AK23" s="13"/>
      <c r="AL23" s="13">
        <v>6.1</v>
      </c>
      <c r="AM23" s="14"/>
      <c r="AN23" s="15">
        <f t="shared" si="0"/>
        <v>44.103000000000002</v>
      </c>
    </row>
    <row r="24" spans="1:42" ht="15.75" customHeight="1" x14ac:dyDescent="0.2">
      <c r="A24" s="490"/>
      <c r="B24" s="493"/>
      <c r="C24" s="493"/>
      <c r="D24" s="493"/>
      <c r="E24" s="493"/>
      <c r="F24" s="493"/>
      <c r="G24" s="493"/>
      <c r="H24" s="493"/>
      <c r="I24" s="493"/>
      <c r="J24" s="493"/>
      <c r="K24" s="493"/>
      <c r="L24" s="493"/>
      <c r="M24" s="493"/>
      <c r="N24" s="493"/>
      <c r="O24" s="493"/>
      <c r="P24" s="493"/>
      <c r="Q24" s="493"/>
      <c r="R24" s="493"/>
      <c r="S24" s="493"/>
      <c r="T24" s="493"/>
      <c r="U24" s="493"/>
      <c r="V24" s="493"/>
      <c r="W24" s="493"/>
      <c r="X24" s="493"/>
      <c r="Y24" s="493"/>
      <c r="Z24" s="493"/>
      <c r="AA24" s="493"/>
      <c r="AB24" s="493"/>
      <c r="AC24" s="493"/>
      <c r="AD24" s="493"/>
      <c r="AE24" s="493"/>
      <c r="AF24" s="492"/>
      <c r="AG24" s="502"/>
      <c r="AH24" s="503"/>
      <c r="AI24" s="28" t="s">
        <v>472</v>
      </c>
      <c r="AJ24" s="12">
        <v>13.52</v>
      </c>
      <c r="AK24" s="13"/>
      <c r="AL24" s="13">
        <v>2</v>
      </c>
      <c r="AM24" s="14"/>
      <c r="AN24" s="15">
        <f t="shared" si="0"/>
        <v>27.04</v>
      </c>
    </row>
    <row r="25" spans="1:42" ht="15.75" customHeight="1" x14ac:dyDescent="0.2">
      <c r="A25" s="490"/>
      <c r="B25" s="493"/>
      <c r="C25" s="493"/>
      <c r="D25" s="493"/>
      <c r="E25" s="493"/>
      <c r="F25" s="493"/>
      <c r="G25" s="493"/>
      <c r="H25" s="493"/>
      <c r="I25" s="493"/>
      <c r="J25" s="493"/>
      <c r="K25" s="493"/>
      <c r="L25" s="493"/>
      <c r="M25" s="493"/>
      <c r="N25" s="493"/>
      <c r="O25" s="493"/>
      <c r="P25" s="493"/>
      <c r="Q25" s="493"/>
      <c r="R25" s="493"/>
      <c r="S25" s="493"/>
      <c r="T25" s="493"/>
      <c r="U25" s="493"/>
      <c r="V25" s="493"/>
      <c r="W25" s="493"/>
      <c r="X25" s="493"/>
      <c r="Y25" s="493"/>
      <c r="Z25" s="493"/>
      <c r="AA25" s="493"/>
      <c r="AB25" s="493"/>
      <c r="AC25" s="493"/>
      <c r="AD25" s="493"/>
      <c r="AE25" s="493"/>
      <c r="AF25" s="492"/>
      <c r="AG25" s="502"/>
      <c r="AH25" s="503"/>
      <c r="AI25" s="28" t="s">
        <v>473</v>
      </c>
      <c r="AJ25" s="12">
        <f>6.83+1.13</f>
        <v>7.96</v>
      </c>
      <c r="AK25" s="13"/>
      <c r="AL25" s="13">
        <v>3.2288944723618065</v>
      </c>
      <c r="AM25" s="13"/>
      <c r="AN25" s="15">
        <f t="shared" si="0"/>
        <v>25.70199999999998</v>
      </c>
      <c r="AO25" s="27"/>
    </row>
    <row r="26" spans="1:42" ht="15.75" customHeight="1" x14ac:dyDescent="0.2">
      <c r="A26" s="490"/>
      <c r="B26" s="493"/>
      <c r="C26" s="493"/>
      <c r="D26" s="493"/>
      <c r="E26" s="493"/>
      <c r="F26" s="493"/>
      <c r="G26" s="493"/>
      <c r="H26" s="493"/>
      <c r="I26" s="493"/>
      <c r="J26" s="493"/>
      <c r="K26" s="493"/>
      <c r="L26" s="493"/>
      <c r="M26" s="493"/>
      <c r="N26" s="493"/>
      <c r="O26" s="493"/>
      <c r="P26" s="493"/>
      <c r="Q26" s="493"/>
      <c r="R26" s="493"/>
      <c r="S26" s="493"/>
      <c r="T26" s="493"/>
      <c r="U26" s="493"/>
      <c r="V26" s="493"/>
      <c r="W26" s="493"/>
      <c r="X26" s="493"/>
      <c r="Y26" s="493"/>
      <c r="Z26" s="493"/>
      <c r="AA26" s="493"/>
      <c r="AB26" s="493"/>
      <c r="AC26" s="493"/>
      <c r="AD26" s="493"/>
      <c r="AE26" s="493"/>
      <c r="AF26" s="492"/>
      <c r="AG26" s="504"/>
      <c r="AH26" s="505"/>
      <c r="AI26" s="28" t="s">
        <v>474</v>
      </c>
      <c r="AJ26" s="12">
        <v>2.9109070233214376</v>
      </c>
      <c r="AK26" s="12"/>
      <c r="AL26" s="13">
        <v>8.9</v>
      </c>
      <c r="AM26" s="13"/>
      <c r="AN26" s="15">
        <f>+AL26*AJ26</f>
        <v>25.907072507560795</v>
      </c>
    </row>
    <row r="27" spans="1:42" ht="15.75" customHeight="1" x14ac:dyDescent="0.2">
      <c r="A27" s="490"/>
      <c r="B27" s="493"/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3"/>
      <c r="Q27" s="493"/>
      <c r="R27" s="493"/>
      <c r="S27" s="493"/>
      <c r="T27" s="493"/>
      <c r="U27" s="493"/>
      <c r="V27" s="493"/>
      <c r="W27" s="493"/>
      <c r="X27" s="493"/>
      <c r="Y27" s="493"/>
      <c r="Z27" s="493"/>
      <c r="AA27" s="493"/>
      <c r="AB27" s="493"/>
      <c r="AC27" s="493"/>
      <c r="AD27" s="493"/>
      <c r="AE27" s="493"/>
      <c r="AF27" s="492"/>
      <c r="AG27" s="30"/>
      <c r="AH27" s="31"/>
      <c r="AI27" s="28"/>
      <c r="AJ27" s="12"/>
      <c r="AK27" s="13"/>
      <c r="AL27" s="13"/>
      <c r="AM27" s="14"/>
      <c r="AN27" s="15"/>
    </row>
    <row r="28" spans="1:42" ht="15.75" customHeight="1" x14ac:dyDescent="0.2">
      <c r="A28" s="490"/>
      <c r="B28" s="493"/>
      <c r="C28" s="493"/>
      <c r="D28" s="493"/>
      <c r="E28" s="493"/>
      <c r="F28" s="493"/>
      <c r="G28" s="493"/>
      <c r="H28" s="493"/>
      <c r="I28" s="493"/>
      <c r="J28" s="493"/>
      <c r="K28" s="493"/>
      <c r="L28" s="493"/>
      <c r="M28" s="493"/>
      <c r="N28" s="493"/>
      <c r="O28" s="493"/>
      <c r="P28" s="493"/>
      <c r="Q28" s="493"/>
      <c r="R28" s="493"/>
      <c r="S28" s="493"/>
      <c r="T28" s="493"/>
      <c r="U28" s="493"/>
      <c r="V28" s="493"/>
      <c r="W28" s="493"/>
      <c r="X28" s="493"/>
      <c r="Y28" s="493"/>
      <c r="Z28" s="493"/>
      <c r="AA28" s="493"/>
      <c r="AB28" s="493"/>
      <c r="AC28" s="493"/>
      <c r="AD28" s="493"/>
      <c r="AE28" s="493"/>
      <c r="AF28" s="492"/>
      <c r="AG28" s="504"/>
      <c r="AH28" s="505"/>
      <c r="AI28" s="28"/>
      <c r="AJ28" s="12"/>
      <c r="AK28" s="13"/>
      <c r="AL28" s="13"/>
      <c r="AM28" s="14"/>
      <c r="AN28" s="15"/>
      <c r="AP28" s="637">
        <v>25.907072507560795</v>
      </c>
    </row>
    <row r="29" spans="1:42" ht="15.75" customHeight="1" x14ac:dyDescent="0.2">
      <c r="A29" s="490"/>
      <c r="B29" s="493"/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3"/>
      <c r="N29" s="493"/>
      <c r="O29" s="493"/>
      <c r="P29" s="493"/>
      <c r="Q29" s="493"/>
      <c r="R29" s="493"/>
      <c r="S29" s="493"/>
      <c r="T29" s="493"/>
      <c r="U29" s="493"/>
      <c r="V29" s="493"/>
      <c r="W29" s="493"/>
      <c r="X29" s="493"/>
      <c r="Y29" s="493"/>
      <c r="Z29" s="493"/>
      <c r="AA29" s="493"/>
      <c r="AB29" s="493"/>
      <c r="AC29" s="493"/>
      <c r="AD29" s="493"/>
      <c r="AE29" s="493"/>
      <c r="AF29" s="492"/>
      <c r="AG29" s="504"/>
      <c r="AH29" s="505"/>
      <c r="AI29" s="28"/>
      <c r="AJ29" s="12"/>
      <c r="AK29" s="13"/>
      <c r="AL29" s="13"/>
      <c r="AM29" s="14"/>
      <c r="AN29" s="15"/>
      <c r="AP29" s="27">
        <f>+AP28-AN26</f>
        <v>0</v>
      </c>
    </row>
    <row r="30" spans="1:42" ht="15.75" customHeight="1" x14ac:dyDescent="0.2">
      <c r="A30" s="490"/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3"/>
      <c r="T30" s="493"/>
      <c r="U30" s="493"/>
      <c r="V30" s="493"/>
      <c r="W30" s="493"/>
      <c r="X30" s="493"/>
      <c r="Y30" s="493"/>
      <c r="Z30" s="493"/>
      <c r="AA30" s="493"/>
      <c r="AB30" s="493"/>
      <c r="AC30" s="493"/>
      <c r="AD30" s="493"/>
      <c r="AE30" s="493"/>
      <c r="AF30" s="492"/>
      <c r="AG30" s="504"/>
      <c r="AH30" s="505"/>
      <c r="AI30" s="28"/>
      <c r="AJ30" s="12"/>
      <c r="AK30" s="13"/>
      <c r="AL30" s="13"/>
      <c r="AM30" s="14"/>
      <c r="AN30" s="15"/>
    </row>
    <row r="31" spans="1:42" ht="15.75" customHeight="1" x14ac:dyDescent="0.2">
      <c r="A31" s="490"/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3"/>
      <c r="T31" s="493"/>
      <c r="U31" s="493"/>
      <c r="V31" s="493"/>
      <c r="W31" s="493"/>
      <c r="X31" s="493"/>
      <c r="Y31" s="493"/>
      <c r="Z31" s="493"/>
      <c r="AA31" s="493"/>
      <c r="AB31" s="493"/>
      <c r="AC31" s="493"/>
      <c r="AD31" s="493"/>
      <c r="AE31" s="493"/>
      <c r="AF31" s="492"/>
      <c r="AG31" s="504"/>
      <c r="AH31" s="505"/>
      <c r="AI31" s="28"/>
      <c r="AJ31" s="12"/>
      <c r="AK31" s="13"/>
      <c r="AL31" s="13"/>
      <c r="AM31" s="14"/>
      <c r="AN31" s="15"/>
    </row>
    <row r="32" spans="1:42" ht="15.75" customHeight="1" x14ac:dyDescent="0.2">
      <c r="A32" s="490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3"/>
      <c r="T32" s="493"/>
      <c r="U32" s="493"/>
      <c r="V32" s="493"/>
      <c r="W32" s="493"/>
      <c r="X32" s="493"/>
      <c r="Y32" s="493"/>
      <c r="Z32" s="493"/>
      <c r="AA32" s="493"/>
      <c r="AB32" s="493"/>
      <c r="AC32" s="493"/>
      <c r="AD32" s="493"/>
      <c r="AE32" s="493"/>
      <c r="AF32" s="492"/>
      <c r="AG32" s="504"/>
      <c r="AH32" s="505"/>
      <c r="AI32" s="28"/>
      <c r="AJ32" s="12"/>
      <c r="AK32" s="13"/>
      <c r="AL32" s="13"/>
      <c r="AM32" s="14"/>
      <c r="AN32" s="15"/>
    </row>
    <row r="33" spans="1:40" ht="15.75" customHeight="1" x14ac:dyDescent="0.2">
      <c r="A33" s="490"/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3"/>
      <c r="T33" s="493"/>
      <c r="U33" s="493"/>
      <c r="V33" s="493"/>
      <c r="W33" s="493"/>
      <c r="X33" s="493"/>
      <c r="Y33" s="493"/>
      <c r="Z33" s="493"/>
      <c r="AA33" s="493"/>
      <c r="AB33" s="493"/>
      <c r="AC33" s="493"/>
      <c r="AD33" s="493"/>
      <c r="AE33" s="493"/>
      <c r="AF33" s="492"/>
      <c r="AG33" s="504"/>
      <c r="AH33" s="505"/>
      <c r="AI33" s="28"/>
      <c r="AJ33" s="12"/>
      <c r="AK33" s="13"/>
      <c r="AL33" s="13"/>
      <c r="AM33" s="14"/>
      <c r="AN33" s="15"/>
    </row>
    <row r="34" spans="1:40" ht="15.75" customHeight="1" x14ac:dyDescent="0.2">
      <c r="A34" s="490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3"/>
      <c r="T34" s="493"/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2"/>
      <c r="AG34" s="504"/>
      <c r="AH34" s="505"/>
      <c r="AI34" s="28"/>
      <c r="AJ34" s="12"/>
      <c r="AK34" s="12"/>
      <c r="AL34" s="13"/>
      <c r="AM34" s="13"/>
      <c r="AN34" s="15"/>
    </row>
    <row r="35" spans="1:40" ht="15.75" customHeight="1" x14ac:dyDescent="0.2">
      <c r="A35" s="490"/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3"/>
      <c r="T35" s="493"/>
      <c r="U35" s="493"/>
      <c r="V35" s="493"/>
      <c r="W35" s="493"/>
      <c r="X35" s="493"/>
      <c r="Y35" s="493"/>
      <c r="Z35" s="493"/>
      <c r="AA35" s="493"/>
      <c r="AB35" s="493"/>
      <c r="AC35" s="493"/>
      <c r="AD35" s="493"/>
      <c r="AE35" s="493"/>
      <c r="AF35" s="492"/>
      <c r="AG35" s="504"/>
      <c r="AH35" s="505"/>
      <c r="AI35" s="28"/>
      <c r="AJ35" s="12"/>
      <c r="AK35" s="12"/>
      <c r="AL35" s="13"/>
      <c r="AM35" s="13"/>
      <c r="AN35" s="15"/>
    </row>
    <row r="36" spans="1:40" ht="15.75" customHeight="1" x14ac:dyDescent="0.2">
      <c r="A36" s="490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3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2"/>
      <c r="AG36" s="504"/>
      <c r="AH36" s="505"/>
      <c r="AI36" s="28"/>
      <c r="AJ36" s="12"/>
      <c r="AK36" s="13"/>
      <c r="AL36" s="13"/>
      <c r="AM36" s="14"/>
      <c r="AN36" s="15"/>
    </row>
    <row r="37" spans="1:40" ht="15.75" customHeight="1" x14ac:dyDescent="0.2">
      <c r="A37" s="490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493"/>
      <c r="U37" s="493"/>
      <c r="V37" s="493"/>
      <c r="W37" s="493"/>
      <c r="X37" s="493"/>
      <c r="Y37" s="493"/>
      <c r="Z37" s="493"/>
      <c r="AA37" s="493"/>
      <c r="AB37" s="493"/>
      <c r="AC37" s="493"/>
      <c r="AD37" s="493"/>
      <c r="AE37" s="493"/>
      <c r="AF37" s="492"/>
      <c r="AG37" s="502"/>
      <c r="AH37" s="503"/>
      <c r="AI37" s="28"/>
      <c r="AJ37" s="12"/>
      <c r="AK37" s="13"/>
      <c r="AL37" s="13"/>
      <c r="AM37" s="14"/>
      <c r="AN37" s="15"/>
    </row>
    <row r="38" spans="1:40" ht="15.75" customHeight="1" x14ac:dyDescent="0.2">
      <c r="A38" s="490"/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3"/>
      <c r="T38" s="493"/>
      <c r="U38" s="493"/>
      <c r="V38" s="493"/>
      <c r="W38" s="493"/>
      <c r="X38" s="493"/>
      <c r="Y38" s="493"/>
      <c r="Z38" s="493"/>
      <c r="AA38" s="493"/>
      <c r="AB38" s="493"/>
      <c r="AC38" s="493"/>
      <c r="AD38" s="493"/>
      <c r="AE38" s="493"/>
      <c r="AF38" s="492"/>
      <c r="AG38" s="502"/>
      <c r="AH38" s="503"/>
      <c r="AI38" s="28"/>
      <c r="AJ38" s="12"/>
      <c r="AK38" s="12"/>
      <c r="AL38" s="13"/>
      <c r="AM38" s="13"/>
      <c r="AN38" s="15"/>
    </row>
    <row r="39" spans="1:40" ht="15.75" customHeight="1" x14ac:dyDescent="0.2">
      <c r="A39" s="490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2"/>
      <c r="AG39" s="502"/>
      <c r="AH39" s="503"/>
      <c r="AI39" s="17"/>
      <c r="AJ39" s="12"/>
      <c r="AK39" s="12"/>
      <c r="AL39" s="13"/>
      <c r="AM39" s="13"/>
      <c r="AN39" s="15"/>
    </row>
    <row r="40" spans="1:40" ht="15.75" customHeight="1" x14ac:dyDescent="0.2">
      <c r="A40" s="490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  <c r="X40" s="493"/>
      <c r="Y40" s="493"/>
      <c r="Z40" s="493"/>
      <c r="AA40" s="493"/>
      <c r="AB40" s="493"/>
      <c r="AC40" s="493"/>
      <c r="AD40" s="493"/>
      <c r="AE40" s="493"/>
      <c r="AF40" s="492"/>
      <c r="AG40" s="502"/>
      <c r="AH40" s="503"/>
      <c r="AI40" s="28"/>
      <c r="AJ40" s="12"/>
      <c r="AK40" s="13"/>
      <c r="AL40" s="13"/>
      <c r="AM40" s="13"/>
      <c r="AN40" s="15"/>
    </row>
    <row r="41" spans="1:40" ht="15.75" customHeight="1" x14ac:dyDescent="0.2">
      <c r="A41" s="490"/>
      <c r="B41" s="493"/>
      <c r="C41" s="493"/>
      <c r="D41" s="493"/>
      <c r="E41" s="493"/>
      <c r="F41" s="493"/>
      <c r="G41" s="493"/>
      <c r="H41" s="493"/>
      <c r="I41" s="493"/>
      <c r="J41" s="493"/>
      <c r="K41" s="493"/>
      <c r="L41" s="493"/>
      <c r="M41" s="493"/>
      <c r="N41" s="493"/>
      <c r="O41" s="493"/>
      <c r="P41" s="493"/>
      <c r="Q41" s="493"/>
      <c r="R41" s="493"/>
      <c r="S41" s="493"/>
      <c r="T41" s="493"/>
      <c r="U41" s="493"/>
      <c r="V41" s="493"/>
      <c r="W41" s="493"/>
      <c r="X41" s="493"/>
      <c r="Y41" s="493"/>
      <c r="Z41" s="493"/>
      <c r="AA41" s="493"/>
      <c r="AB41" s="493"/>
      <c r="AC41" s="493"/>
      <c r="AD41" s="493"/>
      <c r="AE41" s="493"/>
      <c r="AF41" s="492"/>
      <c r="AG41" s="502"/>
      <c r="AH41" s="503"/>
      <c r="AI41" s="28"/>
      <c r="AJ41" s="12"/>
      <c r="AK41" s="13"/>
      <c r="AL41" s="13"/>
      <c r="AM41" s="13"/>
      <c r="AN41" s="15"/>
    </row>
    <row r="42" spans="1:40" ht="15.75" customHeight="1" x14ac:dyDescent="0.2">
      <c r="A42" s="490"/>
      <c r="B42" s="493"/>
      <c r="C42" s="493"/>
      <c r="D42" s="493"/>
      <c r="E42" s="493"/>
      <c r="F42" s="493"/>
      <c r="G42" s="493"/>
      <c r="H42" s="493"/>
      <c r="I42" s="493"/>
      <c r="J42" s="493"/>
      <c r="K42" s="493"/>
      <c r="L42" s="493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3"/>
      <c r="AC42" s="493"/>
      <c r="AD42" s="493"/>
      <c r="AE42" s="493"/>
      <c r="AF42" s="492"/>
      <c r="AG42" s="502"/>
      <c r="AH42" s="503"/>
      <c r="AI42" s="28"/>
      <c r="AJ42" s="12"/>
      <c r="AK42" s="13"/>
      <c r="AL42" s="13"/>
      <c r="AM42" s="13"/>
      <c r="AN42" s="15"/>
    </row>
    <row r="43" spans="1:40" ht="15.75" customHeight="1" x14ac:dyDescent="0.2">
      <c r="A43" s="490"/>
      <c r="B43" s="493"/>
      <c r="C43" s="493"/>
      <c r="D43" s="493"/>
      <c r="E43" s="493"/>
      <c r="F43" s="493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3"/>
      <c r="AC43" s="493"/>
      <c r="AD43" s="493"/>
      <c r="AE43" s="493"/>
      <c r="AF43" s="492"/>
      <c r="AG43" s="502"/>
      <c r="AH43" s="503"/>
      <c r="AI43" s="28"/>
      <c r="AJ43" s="12"/>
      <c r="AK43" s="13"/>
      <c r="AL43" s="13"/>
      <c r="AM43" s="13"/>
      <c r="AN43" s="15"/>
    </row>
    <row r="44" spans="1:40" ht="16.5" customHeight="1" thickBot="1" x14ac:dyDescent="0.25">
      <c r="A44" s="490"/>
      <c r="B44" s="493"/>
      <c r="C44" s="493"/>
      <c r="D44" s="493"/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2"/>
      <c r="AG44" s="524"/>
      <c r="AH44" s="525"/>
      <c r="AI44" s="18"/>
      <c r="AJ44" s="19"/>
      <c r="AK44" s="19"/>
      <c r="AL44" s="19"/>
      <c r="AM44" s="19"/>
      <c r="AN44" s="20"/>
    </row>
    <row r="45" spans="1:40" ht="15" customHeight="1" x14ac:dyDescent="0.2">
      <c r="A45" s="490"/>
      <c r="B45" s="493"/>
      <c r="C45" s="493"/>
      <c r="D45" s="493"/>
      <c r="E45" s="493"/>
      <c r="F45" s="493"/>
      <c r="G45" s="493"/>
      <c r="H45" s="493"/>
      <c r="I45" s="493"/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2"/>
      <c r="AG45" s="526" t="s">
        <v>31</v>
      </c>
      <c r="AH45" s="527"/>
      <c r="AI45" s="527"/>
      <c r="AJ45" s="527"/>
      <c r="AK45" s="527"/>
      <c r="AL45" s="527"/>
      <c r="AM45" s="528"/>
      <c r="AN45" s="21">
        <f>SUM(AN12:AN44)</f>
        <v>406.27707250756083</v>
      </c>
    </row>
    <row r="46" spans="1:40" ht="15" customHeight="1" x14ac:dyDescent="0.2">
      <c r="A46" s="490"/>
      <c r="B46" s="493"/>
      <c r="C46" s="493"/>
      <c r="D46" s="493"/>
      <c r="E46" s="493"/>
      <c r="F46" s="493"/>
      <c r="G46" s="493"/>
      <c r="H46" s="493"/>
      <c r="I46" s="493"/>
      <c r="J46" s="493"/>
      <c r="K46" s="493"/>
      <c r="L46" s="493"/>
      <c r="M46" s="493"/>
      <c r="N46" s="493"/>
      <c r="O46" s="493"/>
      <c r="P46" s="493"/>
      <c r="Q46" s="493"/>
      <c r="R46" s="493"/>
      <c r="S46" s="493"/>
      <c r="T46" s="493"/>
      <c r="U46" s="493"/>
      <c r="V46" s="493"/>
      <c r="W46" s="493"/>
      <c r="X46" s="493"/>
      <c r="Y46" s="493"/>
      <c r="Z46" s="493"/>
      <c r="AA46" s="493"/>
      <c r="AB46" s="493"/>
      <c r="AC46" s="493"/>
      <c r="AD46" s="493"/>
      <c r="AE46" s="493"/>
      <c r="AF46" s="492"/>
      <c r="AG46" s="529"/>
      <c r="AH46" s="530"/>
      <c r="AI46" s="530"/>
      <c r="AJ46" s="530"/>
      <c r="AK46" s="530"/>
      <c r="AL46" s="530"/>
      <c r="AM46" s="531"/>
      <c r="AN46" s="22"/>
    </row>
    <row r="47" spans="1:40" ht="18.75" thickBot="1" x14ac:dyDescent="0.3">
      <c r="A47" s="556"/>
      <c r="B47" s="557"/>
      <c r="C47" s="557"/>
      <c r="D47" s="557"/>
      <c r="E47" s="557"/>
      <c r="F47" s="557"/>
      <c r="G47" s="557"/>
      <c r="H47" s="557"/>
      <c r="I47" s="557"/>
      <c r="J47" s="557"/>
      <c r="K47" s="557"/>
      <c r="L47" s="557"/>
      <c r="M47" s="557"/>
      <c r="N47" s="557"/>
      <c r="O47" s="557"/>
      <c r="P47" s="557"/>
      <c r="Q47" s="557"/>
      <c r="R47" s="557"/>
      <c r="S47" s="557"/>
      <c r="T47" s="557"/>
      <c r="U47" s="557"/>
      <c r="V47" s="557"/>
      <c r="W47" s="557"/>
      <c r="X47" s="557"/>
      <c r="Y47" s="557"/>
      <c r="Z47" s="557"/>
      <c r="AA47" s="557"/>
      <c r="AB47" s="557"/>
      <c r="AC47" s="557"/>
      <c r="AD47" s="557"/>
      <c r="AE47" s="557"/>
      <c r="AF47" s="558"/>
      <c r="AG47" s="559" t="s">
        <v>32</v>
      </c>
      <c r="AH47" s="560"/>
      <c r="AI47" s="560"/>
      <c r="AJ47" s="560"/>
      <c r="AK47" s="560"/>
      <c r="AL47" s="560"/>
      <c r="AM47" s="561"/>
      <c r="AN47" s="29">
        <f>ROUND(SUM(AN45:AN46),2)</f>
        <v>406.28</v>
      </c>
    </row>
    <row r="48" spans="1:40" ht="15.75" customHeight="1" x14ac:dyDescent="0.2">
      <c r="A48" s="33"/>
      <c r="B48" s="24"/>
      <c r="C48" s="34"/>
      <c r="D48" s="34"/>
      <c r="E48" s="34"/>
      <c r="F48" s="34"/>
      <c r="G48" s="34"/>
      <c r="H48" s="35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09"/>
      <c r="T48" s="309"/>
      <c r="U48" s="309"/>
      <c r="V48" s="309"/>
      <c r="W48" s="309"/>
      <c r="X48" s="309"/>
      <c r="Y48" s="309"/>
      <c r="Z48" s="309"/>
      <c r="AA48" s="309"/>
      <c r="AB48" s="309"/>
      <c r="AC48" s="309"/>
      <c r="AD48" s="309"/>
      <c r="AE48" s="309"/>
      <c r="AF48" s="309"/>
      <c r="AG48" s="309"/>
      <c r="AH48" s="309"/>
      <c r="AI48" s="25"/>
      <c r="AJ48" s="36"/>
      <c r="AK48" s="35"/>
      <c r="AL48" s="34"/>
      <c r="AM48" s="34"/>
      <c r="AN48" s="37"/>
    </row>
    <row r="49" spans="1:40" ht="15.75" customHeight="1" x14ac:dyDescent="0.2">
      <c r="A49" s="23"/>
      <c r="B49" s="293"/>
      <c r="C49" s="294"/>
      <c r="D49" s="294"/>
      <c r="E49" s="294"/>
      <c r="F49" s="294"/>
      <c r="G49" s="294"/>
      <c r="H49" s="295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296"/>
      <c r="AJ49" s="297"/>
      <c r="AK49" s="295"/>
      <c r="AL49" s="294"/>
      <c r="AM49" s="294"/>
      <c r="AN49" s="26"/>
    </row>
    <row r="50" spans="1:40" ht="15" customHeight="1" x14ac:dyDescent="0.2">
      <c r="A50" s="23"/>
      <c r="B50" s="293"/>
      <c r="C50" s="294"/>
      <c r="D50" s="294"/>
      <c r="E50" s="294"/>
      <c r="F50" s="294"/>
      <c r="G50" s="294"/>
      <c r="H50" s="295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296"/>
      <c r="AJ50" s="297"/>
      <c r="AK50" s="295"/>
      <c r="AL50" s="294"/>
      <c r="AM50" s="294"/>
      <c r="AN50" s="26"/>
    </row>
    <row r="51" spans="1:40" ht="15" customHeight="1" x14ac:dyDescent="0.2">
      <c r="A51" s="23"/>
      <c r="B51" s="293"/>
      <c r="C51" s="294"/>
      <c r="D51" s="294"/>
      <c r="E51" s="294"/>
      <c r="F51" s="294"/>
      <c r="G51" s="294"/>
      <c r="H51" s="295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296"/>
      <c r="AJ51" s="297"/>
      <c r="AK51" s="295"/>
      <c r="AL51" s="294"/>
      <c r="AM51" s="294"/>
      <c r="AN51" s="26"/>
    </row>
    <row r="52" spans="1:40" ht="15" customHeight="1" x14ac:dyDescent="0.2">
      <c r="A52" s="23"/>
      <c r="B52" s="293"/>
      <c r="C52" s="294"/>
      <c r="D52" s="294"/>
      <c r="E52" s="294"/>
      <c r="F52" s="294"/>
      <c r="G52" s="294"/>
      <c r="H52" s="295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296"/>
      <c r="AJ52" s="297"/>
      <c r="AK52" s="295"/>
      <c r="AL52" s="294"/>
      <c r="AM52" s="294"/>
      <c r="AN52" s="26"/>
    </row>
    <row r="53" spans="1:40" ht="13.15" customHeight="1" x14ac:dyDescent="0.2">
      <c r="A53" s="23"/>
      <c r="B53" s="293"/>
      <c r="C53" s="294"/>
      <c r="D53" s="294"/>
      <c r="E53" s="294"/>
      <c r="F53" s="294"/>
      <c r="G53" s="294"/>
      <c r="H53" s="295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296"/>
      <c r="AJ53" s="297"/>
      <c r="AK53" s="295"/>
      <c r="AL53" s="294"/>
      <c r="AM53" s="294"/>
      <c r="AN53" s="26"/>
    </row>
    <row r="54" spans="1:40" ht="13.15" customHeight="1" x14ac:dyDescent="0.2">
      <c r="A54" s="23"/>
      <c r="B54" s="293"/>
      <c r="C54" s="294"/>
      <c r="D54" s="294"/>
      <c r="E54" s="294"/>
      <c r="F54" s="294"/>
      <c r="G54" s="294"/>
      <c r="H54" s="295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G54" s="305"/>
      <c r="AH54" s="305"/>
      <c r="AI54" s="539"/>
      <c r="AJ54" s="539"/>
      <c r="AK54" s="539"/>
      <c r="AL54" s="539"/>
      <c r="AM54" s="539"/>
      <c r="AN54" s="540"/>
    </row>
    <row r="55" spans="1:40" ht="13.15" customHeight="1" x14ac:dyDescent="0.2">
      <c r="A55" s="306"/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G55" s="305"/>
      <c r="AH55" s="305"/>
      <c r="AI55" s="539" t="s">
        <v>396</v>
      </c>
      <c r="AJ55" s="539"/>
      <c r="AK55" s="539"/>
      <c r="AL55" s="539"/>
      <c r="AM55" s="539"/>
      <c r="AN55" s="540"/>
    </row>
    <row r="56" spans="1:40" ht="12.75" customHeight="1" x14ac:dyDescent="0.2">
      <c r="A56" s="306"/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G56" s="305"/>
      <c r="AH56" s="305"/>
      <c r="AI56" s="539" t="s">
        <v>398</v>
      </c>
      <c r="AJ56" s="539"/>
      <c r="AK56" s="539"/>
      <c r="AL56" s="539"/>
      <c r="AM56" s="539"/>
      <c r="AN56" s="540"/>
    </row>
    <row r="57" spans="1:40" ht="13.5" customHeight="1" thickBot="1" x14ac:dyDescent="0.25">
      <c r="A57" s="307"/>
      <c r="B57" s="308"/>
      <c r="C57" s="308"/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1"/>
      <c r="AE57" s="311"/>
      <c r="AF57" s="311"/>
      <c r="AG57" s="311"/>
      <c r="AH57" s="311"/>
      <c r="AI57" s="536" t="s">
        <v>410</v>
      </c>
      <c r="AJ57" s="536"/>
      <c r="AK57" s="536"/>
      <c r="AL57" s="536"/>
      <c r="AM57" s="536"/>
      <c r="AN57" s="537"/>
    </row>
  </sheetData>
  <mergeCells count="79">
    <mergeCell ref="A1:H3"/>
    <mergeCell ref="I1:AK2"/>
    <mergeCell ref="AL1:AN1"/>
    <mergeCell ref="AL2:AN2"/>
    <mergeCell ref="I3:AK3"/>
    <mergeCell ref="AL3:AN3"/>
    <mergeCell ref="A5:H5"/>
    <mergeCell ref="I5:AN5"/>
    <mergeCell ref="A4:E4"/>
    <mergeCell ref="F4:G4"/>
    <mergeCell ref="H4:I4"/>
    <mergeCell ref="J4:K4"/>
    <mergeCell ref="L4:M4"/>
    <mergeCell ref="N4:O4"/>
    <mergeCell ref="P4:Q4"/>
    <mergeCell ref="U4:Y4"/>
    <mergeCell ref="Z4:AF4"/>
    <mergeCell ref="AG4:AI4"/>
    <mergeCell ref="AJ4:AN4"/>
    <mergeCell ref="A7:H7"/>
    <mergeCell ref="I7:AD7"/>
    <mergeCell ref="AE7:AH7"/>
    <mergeCell ref="AJ7:AL7"/>
    <mergeCell ref="AM7:AN7"/>
    <mergeCell ref="A6:H6"/>
    <mergeCell ref="I6:AD6"/>
    <mergeCell ref="AE6:AH6"/>
    <mergeCell ref="AJ6:AL6"/>
    <mergeCell ref="AM6:AN6"/>
    <mergeCell ref="A10:AF47"/>
    <mergeCell ref="AG10:AH11"/>
    <mergeCell ref="AI10:AI11"/>
    <mergeCell ref="AJ10:AL10"/>
    <mergeCell ref="AM10:AM11"/>
    <mergeCell ref="AG22:AH22"/>
    <mergeCell ref="AG16:AH16"/>
    <mergeCell ref="AG17:AH17"/>
    <mergeCell ref="AG18:AH18"/>
    <mergeCell ref="AG19:AH19"/>
    <mergeCell ref="AG20:AH20"/>
    <mergeCell ref="AG21:AH21"/>
    <mergeCell ref="AG35:AH35"/>
    <mergeCell ref="AG23:AH23"/>
    <mergeCell ref="AG24:AH24"/>
    <mergeCell ref="AG25:AH25"/>
    <mergeCell ref="A9:G9"/>
    <mergeCell ref="H9:T9"/>
    <mergeCell ref="U9:AD9"/>
    <mergeCell ref="AE9:AI9"/>
    <mergeCell ref="AM9:AN9"/>
    <mergeCell ref="AN10:AN11"/>
    <mergeCell ref="AG12:AH12"/>
    <mergeCell ref="AG13:AH13"/>
    <mergeCell ref="AG14:AH14"/>
    <mergeCell ref="AG15:AH15"/>
    <mergeCell ref="AG44:AH44"/>
    <mergeCell ref="AG45:AM45"/>
    <mergeCell ref="AG46:AM46"/>
    <mergeCell ref="AG26:AH26"/>
    <mergeCell ref="AG28:AH28"/>
    <mergeCell ref="AG29:AH29"/>
    <mergeCell ref="AG30:AH30"/>
    <mergeCell ref="AG31:AH31"/>
    <mergeCell ref="AI54:AN54"/>
    <mergeCell ref="AI55:AN55"/>
    <mergeCell ref="AI56:AN56"/>
    <mergeCell ref="AI57:AN57"/>
    <mergeCell ref="AG32:AH32"/>
    <mergeCell ref="AG33:AH33"/>
    <mergeCell ref="AG34:AH34"/>
    <mergeCell ref="AG47:AM47"/>
    <mergeCell ref="AG36:AH36"/>
    <mergeCell ref="AG37:AH37"/>
    <mergeCell ref="AG38:AH38"/>
    <mergeCell ref="AG39:AH39"/>
    <mergeCell ref="AG40:AH40"/>
    <mergeCell ref="AG41:AH41"/>
    <mergeCell ref="AG42:AH42"/>
    <mergeCell ref="AG43:AH43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50" orientation="landscape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3333FF"/>
    <pageSetUpPr fitToPage="1"/>
  </sheetPr>
  <dimension ref="B1:I197"/>
  <sheetViews>
    <sheetView view="pageBreakPreview" topLeftCell="A25" zoomScale="130" zoomScaleNormal="130" zoomScaleSheetLayoutView="130" workbookViewId="0">
      <selection activeCell="I31" sqref="I31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customHeight="1" thickBot="1" x14ac:dyDescent="0.25">
      <c r="B4" s="571"/>
      <c r="C4" s="572"/>
      <c r="D4" s="573"/>
      <c r="E4" s="574" t="s">
        <v>399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 t="s">
        <v>43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SUM(I29)</f>
        <v>15039</v>
      </c>
      <c r="G9" s="116">
        <f>SUM(F9*5%)</f>
        <v>751.95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SUM(I29)</f>
        <v>15039</v>
      </c>
      <c r="G10" s="116">
        <f>SUM(F10*1.5%)</f>
        <v>225.58499999999998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977.53500000000008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ht="12.75" customHeight="1" x14ac:dyDescent="0.2">
      <c r="B15" s="590"/>
      <c r="C15" s="591"/>
      <c r="D15" s="79"/>
      <c r="E15" s="80"/>
      <c r="F15" s="81"/>
      <c r="G15" s="82"/>
      <c r="H15" s="83"/>
      <c r="I15" s="90">
        <f t="shared" ref="I15:I17" si="0">(E15*(1+F15/100)) * (G15*(1+H15/100))</f>
        <v>0</v>
      </c>
    </row>
    <row r="16" spans="2:9" x14ac:dyDescent="0.2">
      <c r="B16" s="562"/>
      <c r="C16" s="563"/>
      <c r="D16" s="91"/>
      <c r="E16" s="80"/>
      <c r="F16" s="87"/>
      <c r="G16" s="88"/>
      <c r="H16" s="89"/>
      <c r="I16" s="90">
        <f t="shared" si="0"/>
        <v>0</v>
      </c>
    </row>
    <row r="17" spans="2:9" x14ac:dyDescent="0.2">
      <c r="B17" s="562"/>
      <c r="C17" s="563"/>
      <c r="D17" s="91"/>
      <c r="E17" s="80"/>
      <c r="F17" s="87"/>
      <c r="G17" s="88"/>
      <c r="H17" s="89"/>
      <c r="I17" s="90">
        <f t="shared" si="0"/>
        <v>0</v>
      </c>
    </row>
    <row r="18" spans="2:9" x14ac:dyDescent="0.2">
      <c r="B18" s="92"/>
      <c r="C18" s="76"/>
      <c r="D18" s="75"/>
      <c r="E18" s="76"/>
      <c r="F18" s="585" t="s">
        <v>202</v>
      </c>
      <c r="G18" s="586"/>
      <c r="H18" s="287"/>
      <c r="I18" s="94">
        <f>SUM(I15:I17)</f>
        <v>0</v>
      </c>
    </row>
    <row r="19" spans="2:9" ht="14.25" x14ac:dyDescent="0.2">
      <c r="B19" s="73" t="s">
        <v>203</v>
      </c>
      <c r="C19" s="74"/>
      <c r="D19" s="75"/>
      <c r="E19" s="76"/>
      <c r="F19" s="77"/>
      <c r="G19" s="76"/>
      <c r="H19" s="76"/>
      <c r="I19" s="95"/>
    </row>
    <row r="20" spans="2:9" x14ac:dyDescent="0.2">
      <c r="B20" s="588" t="s">
        <v>188</v>
      </c>
      <c r="C20" s="589"/>
      <c r="D20" s="96" t="s">
        <v>204</v>
      </c>
      <c r="E20" s="97" t="s">
        <v>205</v>
      </c>
      <c r="F20" s="98" t="s">
        <v>206</v>
      </c>
      <c r="G20" s="97" t="s">
        <v>207</v>
      </c>
      <c r="H20" s="99"/>
      <c r="I20" s="100" t="s">
        <v>193</v>
      </c>
    </row>
    <row r="21" spans="2:9" x14ac:dyDescent="0.2">
      <c r="B21" s="623" t="s">
        <v>222</v>
      </c>
      <c r="C21" s="624"/>
      <c r="D21" s="91"/>
      <c r="E21" s="101">
        <v>0.06</v>
      </c>
      <c r="F21" s="102">
        <v>150000</v>
      </c>
      <c r="G21" s="82">
        <f>SUM(E21*F21)</f>
        <v>9000</v>
      </c>
      <c r="H21" s="83"/>
      <c r="I21" s="103"/>
    </row>
    <row r="22" spans="2:9" x14ac:dyDescent="0.2">
      <c r="B22" s="625"/>
      <c r="C22" s="626"/>
      <c r="D22" s="91"/>
      <c r="E22" s="101"/>
      <c r="F22" s="104"/>
      <c r="G22" s="88">
        <f>F22</f>
        <v>0</v>
      </c>
      <c r="H22" s="85"/>
      <c r="I22" s="103"/>
    </row>
    <row r="23" spans="2:9" x14ac:dyDescent="0.2">
      <c r="B23" s="105"/>
      <c r="C23" s="106"/>
      <c r="D23" s="75"/>
      <c r="E23" s="106"/>
      <c r="F23" s="107" t="s">
        <v>208</v>
      </c>
      <c r="G23" s="106"/>
      <c r="H23" s="108"/>
      <c r="I23" s="109">
        <f>SUM(G21:G22)</f>
        <v>9000</v>
      </c>
    </row>
    <row r="24" spans="2:9" ht="14.25" x14ac:dyDescent="0.2">
      <c r="B24" s="73" t="s">
        <v>209</v>
      </c>
      <c r="C24" s="76"/>
      <c r="D24" s="75"/>
      <c r="E24" s="76"/>
      <c r="F24" s="77"/>
      <c r="G24" s="76"/>
      <c r="H24" s="76"/>
      <c r="I24" s="95"/>
    </row>
    <row r="25" spans="2:9" x14ac:dyDescent="0.2">
      <c r="B25" s="588" t="s">
        <v>188</v>
      </c>
      <c r="C25" s="589"/>
      <c r="D25" s="96" t="s">
        <v>136</v>
      </c>
      <c r="E25" s="110" t="s">
        <v>137</v>
      </c>
      <c r="F25" s="111" t="s">
        <v>201</v>
      </c>
      <c r="G25" s="112" t="s">
        <v>205</v>
      </c>
      <c r="H25" s="112"/>
      <c r="I25" s="100" t="s">
        <v>193</v>
      </c>
    </row>
    <row r="26" spans="2:9" ht="42.75" customHeight="1" x14ac:dyDescent="0.2">
      <c r="B26" s="590" t="s">
        <v>210</v>
      </c>
      <c r="C26" s="591"/>
      <c r="D26" s="91" t="s">
        <v>211</v>
      </c>
      <c r="E26" s="88">
        <v>1</v>
      </c>
      <c r="F26" s="104">
        <f>+(80000+50000*2)*1.671</f>
        <v>300780</v>
      </c>
      <c r="G26" s="113">
        <v>0.05</v>
      </c>
      <c r="H26" s="114"/>
      <c r="I26" s="115">
        <f>SUM(F26*E26)*G26</f>
        <v>15039</v>
      </c>
    </row>
    <row r="27" spans="2:9" x14ac:dyDescent="0.2">
      <c r="B27" s="627"/>
      <c r="C27" s="617"/>
      <c r="D27" s="91"/>
      <c r="E27" s="116"/>
      <c r="F27" s="117"/>
      <c r="G27" s="114"/>
      <c r="H27" s="114"/>
      <c r="I27" s="94">
        <f>SUM(F27*E27)*G27</f>
        <v>0</v>
      </c>
    </row>
    <row r="28" spans="2:9" x14ac:dyDescent="0.2">
      <c r="B28" s="598"/>
      <c r="C28" s="599"/>
      <c r="D28" s="91"/>
      <c r="E28" s="118"/>
      <c r="F28" s="117"/>
      <c r="G28" s="114"/>
      <c r="H28" s="114"/>
      <c r="I28" s="94">
        <f>SUM(F28*E28)*G28</f>
        <v>0</v>
      </c>
    </row>
    <row r="29" spans="2:9" x14ac:dyDescent="0.2">
      <c r="B29" s="92"/>
      <c r="C29" s="76"/>
      <c r="D29" s="75"/>
      <c r="E29" s="76"/>
      <c r="F29" s="605" t="s">
        <v>212</v>
      </c>
      <c r="G29" s="605"/>
      <c r="H29" s="285"/>
      <c r="I29" s="94">
        <f>I26</f>
        <v>15039</v>
      </c>
    </row>
    <row r="30" spans="2:9" ht="13.5" thickBot="1" x14ac:dyDescent="0.25">
      <c r="B30" s="92"/>
      <c r="C30" s="76"/>
      <c r="D30" s="75"/>
      <c r="E30" s="76"/>
      <c r="F30" s="120"/>
      <c r="G30" s="285"/>
      <c r="H30" s="285"/>
      <c r="I30" s="78"/>
    </row>
    <row r="31" spans="2:9" ht="13.5" thickBot="1" x14ac:dyDescent="0.25">
      <c r="B31" s="92"/>
      <c r="C31" s="76"/>
      <c r="D31" s="75"/>
      <c r="E31" s="606" t="s">
        <v>213</v>
      </c>
      <c r="F31" s="606"/>
      <c r="G31" s="606"/>
      <c r="H31" s="286"/>
      <c r="I31" s="122">
        <f>ROUND(SUM(I12+I18+I23+I29),0)</f>
        <v>25017</v>
      </c>
    </row>
    <row r="32" spans="2:9" ht="15" thickBot="1" x14ac:dyDescent="0.25">
      <c r="B32" s="73" t="s">
        <v>214</v>
      </c>
      <c r="C32" s="76"/>
      <c r="D32" s="123"/>
      <c r="E32" s="124"/>
      <c r="F32" s="77"/>
      <c r="G32" s="76"/>
      <c r="H32" s="76"/>
      <c r="I32" s="78"/>
    </row>
    <row r="33" spans="2:9" x14ac:dyDescent="0.2">
      <c r="B33" s="607" t="s">
        <v>215</v>
      </c>
      <c r="C33" s="608"/>
      <c r="D33" s="613" t="s">
        <v>216</v>
      </c>
      <c r="E33" s="614"/>
      <c r="F33" s="125" t="s">
        <v>195</v>
      </c>
      <c r="G33" s="126" t="s">
        <v>217</v>
      </c>
      <c r="H33" s="127"/>
      <c r="I33" s="615"/>
    </row>
    <row r="34" spans="2:9" x14ac:dyDescent="0.2">
      <c r="B34" s="609"/>
      <c r="C34" s="610"/>
      <c r="D34" s="617" t="s">
        <v>218</v>
      </c>
      <c r="E34" s="618"/>
      <c r="F34" s="128">
        <v>25</v>
      </c>
      <c r="G34" s="116">
        <f>I31*20%</f>
        <v>5003.4000000000005</v>
      </c>
      <c r="H34" s="129"/>
      <c r="I34" s="616"/>
    </row>
    <row r="35" spans="2:9" x14ac:dyDescent="0.2">
      <c r="B35" s="609"/>
      <c r="C35" s="610"/>
      <c r="D35" s="617" t="s">
        <v>168</v>
      </c>
      <c r="E35" s="618"/>
      <c r="F35" s="128">
        <v>5</v>
      </c>
      <c r="G35" s="116">
        <f>I31*5%</f>
        <v>1250.8500000000001</v>
      </c>
      <c r="H35" s="129"/>
      <c r="I35" s="616"/>
    </row>
    <row r="36" spans="2:9" x14ac:dyDescent="0.2">
      <c r="B36" s="609"/>
      <c r="C36" s="610"/>
      <c r="D36" s="619" t="s">
        <v>219</v>
      </c>
      <c r="E36" s="617"/>
      <c r="F36" s="128">
        <f>SUM(F34:F35)</f>
        <v>30</v>
      </c>
      <c r="G36" s="116">
        <f>SUM(G34:G35)</f>
        <v>6254.2500000000009</v>
      </c>
      <c r="H36" s="129"/>
      <c r="I36" s="616"/>
    </row>
    <row r="37" spans="2:9" ht="15" thickBot="1" x14ac:dyDescent="0.25">
      <c r="B37" s="609"/>
      <c r="C37" s="610"/>
      <c r="D37" s="130"/>
      <c r="E37" s="620" t="s">
        <v>220</v>
      </c>
      <c r="F37" s="621"/>
      <c r="G37" s="622"/>
      <c r="H37" s="281"/>
      <c r="I37" s="131">
        <f>SUM(G36:G36)</f>
        <v>6254.2500000000009</v>
      </c>
    </row>
    <row r="38" spans="2:9" ht="16.5" customHeight="1" thickBot="1" x14ac:dyDescent="0.3">
      <c r="B38" s="611"/>
      <c r="C38" s="612"/>
      <c r="D38" s="628" t="s">
        <v>221</v>
      </c>
      <c r="E38" s="629"/>
      <c r="F38" s="630"/>
      <c r="G38" s="602">
        <f>SUM(I31+I37)</f>
        <v>31271.25</v>
      </c>
      <c r="H38" s="603"/>
      <c r="I38" s="604"/>
    </row>
    <row r="39" spans="2:9" x14ac:dyDescent="0.2">
      <c r="D39" s="132"/>
      <c r="F39" s="133"/>
    </row>
    <row r="40" spans="2:9" ht="18.75" thickBot="1" x14ac:dyDescent="0.3">
      <c r="B40" s="564" t="s">
        <v>180</v>
      </c>
      <c r="C40" s="564"/>
      <c r="D40" s="564"/>
      <c r="E40" s="564"/>
      <c r="F40" s="564"/>
      <c r="G40" s="564"/>
      <c r="H40" s="564"/>
      <c r="I40" s="564"/>
    </row>
    <row r="41" spans="2:9" ht="15.75" thickBot="1" x14ac:dyDescent="0.3">
      <c r="B41" s="59" t="s">
        <v>181</v>
      </c>
      <c r="C41" s="565" t="s">
        <v>393</v>
      </c>
      <c r="D41" s="566"/>
      <c r="E41" s="566"/>
      <c r="F41" s="567"/>
      <c r="G41" s="60" t="s">
        <v>5</v>
      </c>
      <c r="H41" s="61"/>
      <c r="I41" s="62">
        <v>45373</v>
      </c>
    </row>
    <row r="42" spans="2:9" ht="13.5" thickBot="1" x14ac:dyDescent="0.25">
      <c r="B42" s="568" t="s">
        <v>182</v>
      </c>
      <c r="C42" s="569"/>
      <c r="D42" s="570"/>
      <c r="E42" s="568" t="s">
        <v>183</v>
      </c>
      <c r="F42" s="569"/>
      <c r="G42" s="569"/>
      <c r="H42" s="569"/>
      <c r="I42" s="570"/>
    </row>
    <row r="43" spans="2:9" ht="13.5" thickBot="1" x14ac:dyDescent="0.25">
      <c r="B43" s="571"/>
      <c r="C43" s="572"/>
      <c r="D43" s="573"/>
      <c r="E43" s="574" t="str">
        <f>+'P. Adecuación'!C8</f>
        <v>DESMONTES (VENTANAS)</v>
      </c>
      <c r="F43" s="575"/>
      <c r="G43" s="575"/>
      <c r="H43" s="575"/>
      <c r="I43" s="576"/>
    </row>
    <row r="44" spans="2:9" ht="13.5" thickBot="1" x14ac:dyDescent="0.25">
      <c r="B44" s="63" t="s">
        <v>184</v>
      </c>
      <c r="C44" s="64" t="s">
        <v>185</v>
      </c>
      <c r="D44" s="65" t="s">
        <v>43</v>
      </c>
      <c r="E44" s="577"/>
      <c r="F44" s="578"/>
      <c r="G44" s="578"/>
      <c r="H44" s="578"/>
      <c r="I44" s="579"/>
    </row>
    <row r="45" spans="2:9" ht="13.5" thickBot="1" x14ac:dyDescent="0.25">
      <c r="B45" s="583" t="s">
        <v>186</v>
      </c>
      <c r="C45" s="584"/>
      <c r="D45" s="66"/>
      <c r="E45" s="580"/>
      <c r="F45" s="581"/>
      <c r="G45" s="581"/>
      <c r="H45" s="581"/>
      <c r="I45" s="582"/>
    </row>
    <row r="46" spans="2:9" x14ac:dyDescent="0.2">
      <c r="B46" s="67" t="s">
        <v>187</v>
      </c>
      <c r="C46" s="68"/>
      <c r="D46" s="592"/>
      <c r="E46" s="592"/>
      <c r="F46" s="592"/>
      <c r="G46" s="592"/>
      <c r="H46" s="592"/>
      <c r="I46" s="593"/>
    </row>
    <row r="47" spans="2:9" x14ac:dyDescent="0.2">
      <c r="B47" s="588" t="s">
        <v>188</v>
      </c>
      <c r="C47" s="589"/>
      <c r="D47" s="96" t="s">
        <v>189</v>
      </c>
      <c r="E47" s="134" t="s">
        <v>190</v>
      </c>
      <c r="F47" s="111" t="s">
        <v>191</v>
      </c>
      <c r="G47" s="110" t="s">
        <v>192</v>
      </c>
      <c r="H47" s="112"/>
      <c r="I47" s="100" t="s">
        <v>193</v>
      </c>
    </row>
    <row r="48" spans="2:9" x14ac:dyDescent="0.2">
      <c r="B48" s="594" t="s">
        <v>194</v>
      </c>
      <c r="C48" s="595"/>
      <c r="D48" s="91" t="s">
        <v>195</v>
      </c>
      <c r="E48" s="135">
        <v>5</v>
      </c>
      <c r="F48" s="135">
        <f>SUM(I74)</f>
        <v>15039</v>
      </c>
      <c r="G48" s="116">
        <f>SUM(F48*5%)</f>
        <v>751.95</v>
      </c>
      <c r="H48" s="69"/>
      <c r="I48" s="596"/>
    </row>
    <row r="49" spans="2:9" x14ac:dyDescent="0.2">
      <c r="B49" s="598" t="s">
        <v>196</v>
      </c>
      <c r="C49" s="599"/>
      <c r="D49" s="91" t="s">
        <v>195</v>
      </c>
      <c r="E49" s="135">
        <v>1.5</v>
      </c>
      <c r="F49" s="135">
        <f>SUM(I74)</f>
        <v>15039</v>
      </c>
      <c r="G49" s="116">
        <f>SUM(F49*1.5%)</f>
        <v>225.58499999999998</v>
      </c>
      <c r="H49" s="70"/>
      <c r="I49" s="597"/>
    </row>
    <row r="50" spans="2:9" x14ac:dyDescent="0.2">
      <c r="B50" s="600"/>
      <c r="C50" s="601"/>
      <c r="D50" s="91"/>
      <c r="E50" s="104"/>
      <c r="F50" s="104"/>
      <c r="G50" s="88">
        <f>SUM(E50*F50)</f>
        <v>0</v>
      </c>
      <c r="H50" s="70"/>
      <c r="I50" s="597"/>
    </row>
    <row r="51" spans="2:9" x14ac:dyDescent="0.2">
      <c r="B51" s="587"/>
      <c r="C51" s="585"/>
      <c r="D51" s="585"/>
      <c r="E51" s="585"/>
      <c r="F51" s="71"/>
      <c r="G51" s="72" t="s">
        <v>197</v>
      </c>
      <c r="H51" s="72"/>
      <c r="I51" s="94">
        <f>SUM(G48:G50)</f>
        <v>977.53500000000008</v>
      </c>
    </row>
    <row r="52" spans="2:9" x14ac:dyDescent="0.2">
      <c r="B52" s="73" t="s">
        <v>198</v>
      </c>
      <c r="C52" s="74"/>
      <c r="D52" s="75"/>
      <c r="E52" s="76"/>
      <c r="F52" s="77"/>
      <c r="G52" s="76"/>
      <c r="H52" s="76"/>
      <c r="I52" s="78"/>
    </row>
    <row r="53" spans="2:9" x14ac:dyDescent="0.2">
      <c r="B53" s="588" t="s">
        <v>188</v>
      </c>
      <c r="C53" s="589"/>
      <c r="D53" s="96" t="s">
        <v>199</v>
      </c>
      <c r="E53" s="110" t="s">
        <v>137</v>
      </c>
      <c r="F53" s="111" t="s">
        <v>200</v>
      </c>
      <c r="G53" s="110" t="s">
        <v>201</v>
      </c>
      <c r="H53" s="112"/>
      <c r="I53" s="100" t="s">
        <v>193</v>
      </c>
    </row>
    <row r="54" spans="2:9" x14ac:dyDescent="0.2">
      <c r="B54" s="590"/>
      <c r="C54" s="591"/>
      <c r="D54" s="79"/>
      <c r="E54" s="80"/>
      <c r="F54" s="81"/>
      <c r="G54" s="82"/>
      <c r="H54" s="83"/>
      <c r="I54" s="90">
        <f t="shared" ref="I54:I62" si="1">(E54*(1+F54/100)) * (G54*(1+H54/100))</f>
        <v>0</v>
      </c>
    </row>
    <row r="55" spans="2:9" x14ac:dyDescent="0.2">
      <c r="B55" s="590"/>
      <c r="C55" s="591"/>
      <c r="D55" s="79"/>
      <c r="E55" s="80"/>
      <c r="F55" s="136"/>
      <c r="G55" s="82"/>
      <c r="H55" s="84"/>
      <c r="I55" s="90">
        <f t="shared" si="1"/>
        <v>0</v>
      </c>
    </row>
    <row r="56" spans="2:9" x14ac:dyDescent="0.2">
      <c r="B56" s="590"/>
      <c r="C56" s="591"/>
      <c r="D56" s="79"/>
      <c r="E56" s="80"/>
      <c r="F56" s="87"/>
      <c r="G56" s="82"/>
      <c r="H56" s="85"/>
      <c r="I56" s="90">
        <f t="shared" si="1"/>
        <v>0</v>
      </c>
    </row>
    <row r="57" spans="2:9" x14ac:dyDescent="0.2">
      <c r="B57" s="590"/>
      <c r="C57" s="591"/>
      <c r="D57" s="79"/>
      <c r="E57" s="80"/>
      <c r="F57" s="87"/>
      <c r="G57" s="82"/>
      <c r="H57" s="85"/>
      <c r="I57" s="90">
        <f t="shared" si="1"/>
        <v>0</v>
      </c>
    </row>
    <row r="58" spans="2:9" x14ac:dyDescent="0.2">
      <c r="B58" s="590"/>
      <c r="C58" s="591"/>
      <c r="D58" s="79"/>
      <c r="E58" s="80"/>
      <c r="F58" s="87"/>
      <c r="G58" s="82"/>
      <c r="H58" s="85"/>
      <c r="I58" s="90">
        <f t="shared" si="1"/>
        <v>0</v>
      </c>
    </row>
    <row r="59" spans="2:9" x14ac:dyDescent="0.2">
      <c r="B59" s="590"/>
      <c r="C59" s="591"/>
      <c r="D59" s="79"/>
      <c r="E59" s="80"/>
      <c r="F59" s="87"/>
      <c r="G59" s="82"/>
      <c r="H59" s="85"/>
      <c r="I59" s="90">
        <f t="shared" si="1"/>
        <v>0</v>
      </c>
    </row>
    <row r="60" spans="2:9" x14ac:dyDescent="0.2">
      <c r="B60" s="590"/>
      <c r="C60" s="591"/>
      <c r="D60" s="86"/>
      <c r="E60" s="80"/>
      <c r="F60" s="87"/>
      <c r="G60" s="82"/>
      <c r="H60" s="85"/>
      <c r="I60" s="90">
        <f t="shared" si="1"/>
        <v>0</v>
      </c>
    </row>
    <row r="61" spans="2:9" x14ac:dyDescent="0.2">
      <c r="B61" s="562"/>
      <c r="C61" s="563"/>
      <c r="D61" s="91"/>
      <c r="E61" s="80"/>
      <c r="F61" s="87"/>
      <c r="G61" s="88"/>
      <c r="H61" s="89"/>
      <c r="I61" s="90">
        <f t="shared" si="1"/>
        <v>0</v>
      </c>
    </row>
    <row r="62" spans="2:9" x14ac:dyDescent="0.2">
      <c r="B62" s="562"/>
      <c r="C62" s="563"/>
      <c r="D62" s="91"/>
      <c r="E62" s="80"/>
      <c r="F62" s="87"/>
      <c r="G62" s="88"/>
      <c r="H62" s="89"/>
      <c r="I62" s="90">
        <f t="shared" si="1"/>
        <v>0</v>
      </c>
    </row>
    <row r="63" spans="2:9" x14ac:dyDescent="0.2">
      <c r="B63" s="92"/>
      <c r="C63" s="76"/>
      <c r="D63" s="75"/>
      <c r="E63" s="76"/>
      <c r="F63" s="585" t="s">
        <v>202</v>
      </c>
      <c r="G63" s="586"/>
      <c r="H63" s="93"/>
      <c r="I63" s="94">
        <f>SUM(I54:I62)</f>
        <v>0</v>
      </c>
    </row>
    <row r="64" spans="2:9" ht="14.25" x14ac:dyDescent="0.2">
      <c r="B64" s="73" t="s">
        <v>203</v>
      </c>
      <c r="C64" s="74"/>
      <c r="D64" s="75"/>
      <c r="E64" s="76"/>
      <c r="F64" s="77"/>
      <c r="G64" s="76"/>
      <c r="H64" s="76"/>
      <c r="I64" s="95"/>
    </row>
    <row r="65" spans="2:9" x14ac:dyDescent="0.2">
      <c r="B65" s="588" t="s">
        <v>188</v>
      </c>
      <c r="C65" s="589"/>
      <c r="D65" s="96" t="s">
        <v>204</v>
      </c>
      <c r="E65" s="97" t="s">
        <v>205</v>
      </c>
      <c r="F65" s="98" t="s">
        <v>206</v>
      </c>
      <c r="G65" s="97" t="s">
        <v>207</v>
      </c>
      <c r="H65" s="99"/>
      <c r="I65" s="100" t="s">
        <v>193</v>
      </c>
    </row>
    <row r="66" spans="2:9" x14ac:dyDescent="0.2">
      <c r="B66" s="623" t="s">
        <v>222</v>
      </c>
      <c r="C66" s="624"/>
      <c r="D66" s="91"/>
      <c r="E66" s="101">
        <v>0.06</v>
      </c>
      <c r="F66" s="102">
        <v>150000</v>
      </c>
      <c r="G66" s="82">
        <f>SUM(E66*F66)</f>
        <v>9000</v>
      </c>
      <c r="H66" s="83"/>
      <c r="I66" s="103"/>
    </row>
    <row r="67" spans="2:9" x14ac:dyDescent="0.2">
      <c r="B67" s="625"/>
      <c r="C67" s="626"/>
      <c r="D67" s="91"/>
      <c r="E67" s="101"/>
      <c r="F67" s="104"/>
      <c r="G67" s="88">
        <f>F67</f>
        <v>0</v>
      </c>
      <c r="H67" s="85"/>
      <c r="I67" s="103"/>
    </row>
    <row r="68" spans="2:9" x14ac:dyDescent="0.2">
      <c r="B68" s="105"/>
      <c r="C68" s="106"/>
      <c r="D68" s="75"/>
      <c r="E68" s="106"/>
      <c r="F68" s="107" t="s">
        <v>208</v>
      </c>
      <c r="G68" s="106"/>
      <c r="H68" s="108"/>
      <c r="I68" s="109">
        <f>SUM(G66:G67)</f>
        <v>9000</v>
      </c>
    </row>
    <row r="69" spans="2:9" ht="14.25" x14ac:dyDescent="0.2">
      <c r="B69" s="73" t="s">
        <v>209</v>
      </c>
      <c r="C69" s="76"/>
      <c r="D69" s="75"/>
      <c r="E69" s="76"/>
      <c r="F69" s="77"/>
      <c r="G69" s="76"/>
      <c r="H69" s="76"/>
      <c r="I69" s="95"/>
    </row>
    <row r="70" spans="2:9" x14ac:dyDescent="0.2">
      <c r="B70" s="588" t="s">
        <v>188</v>
      </c>
      <c r="C70" s="589"/>
      <c r="D70" s="96" t="s">
        <v>136</v>
      </c>
      <c r="E70" s="110" t="s">
        <v>137</v>
      </c>
      <c r="F70" s="111" t="s">
        <v>201</v>
      </c>
      <c r="G70" s="112" t="s">
        <v>205</v>
      </c>
      <c r="H70" s="112"/>
      <c r="I70" s="100" t="s">
        <v>193</v>
      </c>
    </row>
    <row r="71" spans="2:9" x14ac:dyDescent="0.2">
      <c r="B71" s="590" t="s">
        <v>210</v>
      </c>
      <c r="C71" s="591"/>
      <c r="D71" s="91" t="s">
        <v>211</v>
      </c>
      <c r="E71" s="88">
        <v>1</v>
      </c>
      <c r="F71" s="104">
        <f>+(80000+50000*2)*1.671</f>
        <v>300780</v>
      </c>
      <c r="G71" s="113">
        <v>0.05</v>
      </c>
      <c r="H71" s="114"/>
      <c r="I71" s="115">
        <f>SUM(F71*E71)*G71</f>
        <v>15039</v>
      </c>
    </row>
    <row r="72" spans="2:9" x14ac:dyDescent="0.2">
      <c r="B72" s="627"/>
      <c r="C72" s="617"/>
      <c r="D72" s="91"/>
      <c r="E72" s="116"/>
      <c r="F72" s="117"/>
      <c r="G72" s="114"/>
      <c r="H72" s="114"/>
      <c r="I72" s="94">
        <f>SUM(F72*E72)*G72</f>
        <v>0</v>
      </c>
    </row>
    <row r="73" spans="2:9" x14ac:dyDescent="0.2">
      <c r="B73" s="598"/>
      <c r="C73" s="599"/>
      <c r="D73" s="91"/>
      <c r="E73" s="118"/>
      <c r="F73" s="117"/>
      <c r="G73" s="114"/>
      <c r="H73" s="114"/>
      <c r="I73" s="94">
        <f>SUM(F73*E73)*G73</f>
        <v>0</v>
      </c>
    </row>
    <row r="74" spans="2:9" x14ac:dyDescent="0.2">
      <c r="B74" s="92"/>
      <c r="C74" s="76"/>
      <c r="D74" s="75"/>
      <c r="E74" s="76"/>
      <c r="F74" s="605" t="s">
        <v>212</v>
      </c>
      <c r="G74" s="605"/>
      <c r="H74" s="119"/>
      <c r="I74" s="94">
        <f>I71</f>
        <v>15039</v>
      </c>
    </row>
    <row r="75" spans="2:9" ht="13.5" thickBot="1" x14ac:dyDescent="0.25">
      <c r="B75" s="92"/>
      <c r="C75" s="76"/>
      <c r="D75" s="75"/>
      <c r="E75" s="76"/>
      <c r="F75" s="120"/>
      <c r="G75" s="119"/>
      <c r="H75" s="119"/>
      <c r="I75" s="78"/>
    </row>
    <row r="76" spans="2:9" ht="13.5" thickBot="1" x14ac:dyDescent="0.25">
      <c r="B76" s="92"/>
      <c r="C76" s="76"/>
      <c r="D76" s="75"/>
      <c r="E76" s="606" t="s">
        <v>213</v>
      </c>
      <c r="F76" s="606"/>
      <c r="G76" s="606"/>
      <c r="H76" s="121"/>
      <c r="I76" s="122">
        <f>ROUND(SUM(I51+I63+I68+I74),0)</f>
        <v>25017</v>
      </c>
    </row>
    <row r="77" spans="2:9" ht="15" thickBot="1" x14ac:dyDescent="0.25">
      <c r="B77" s="73" t="s">
        <v>214</v>
      </c>
      <c r="C77" s="76"/>
      <c r="D77" s="123"/>
      <c r="E77" s="124"/>
      <c r="F77" s="77"/>
      <c r="G77" s="76"/>
      <c r="H77" s="76"/>
      <c r="I77" s="78"/>
    </row>
    <row r="78" spans="2:9" x14ac:dyDescent="0.2">
      <c r="B78" s="607" t="s">
        <v>215</v>
      </c>
      <c r="C78" s="608"/>
      <c r="D78" s="613" t="s">
        <v>216</v>
      </c>
      <c r="E78" s="614"/>
      <c r="F78" s="125" t="s">
        <v>195</v>
      </c>
      <c r="G78" s="126" t="s">
        <v>217</v>
      </c>
      <c r="H78" s="127"/>
      <c r="I78" s="615"/>
    </row>
    <row r="79" spans="2:9" x14ac:dyDescent="0.2">
      <c r="B79" s="609"/>
      <c r="C79" s="610"/>
      <c r="D79" s="617" t="s">
        <v>218</v>
      </c>
      <c r="E79" s="618"/>
      <c r="F79" s="128">
        <v>25</v>
      </c>
      <c r="G79" s="116">
        <f>I76*20%</f>
        <v>5003.4000000000005</v>
      </c>
      <c r="H79" s="129"/>
      <c r="I79" s="616"/>
    </row>
    <row r="80" spans="2:9" x14ac:dyDescent="0.2">
      <c r="B80" s="609"/>
      <c r="C80" s="610"/>
      <c r="D80" s="617" t="s">
        <v>168</v>
      </c>
      <c r="E80" s="618"/>
      <c r="F80" s="128">
        <v>5</v>
      </c>
      <c r="G80" s="116">
        <f>I76*5%</f>
        <v>1250.8500000000001</v>
      </c>
      <c r="H80" s="129"/>
      <c r="I80" s="616"/>
    </row>
    <row r="81" spans="2:9" x14ac:dyDescent="0.2">
      <c r="B81" s="609"/>
      <c r="C81" s="610"/>
      <c r="D81" s="619" t="s">
        <v>219</v>
      </c>
      <c r="E81" s="617"/>
      <c r="F81" s="128">
        <f>SUM(F79:F80)</f>
        <v>30</v>
      </c>
      <c r="G81" s="116">
        <f>SUM(G79:G80)</f>
        <v>6254.2500000000009</v>
      </c>
      <c r="H81" s="129"/>
      <c r="I81" s="616"/>
    </row>
    <row r="82" spans="2:9" ht="15" thickBot="1" x14ac:dyDescent="0.25">
      <c r="B82" s="609"/>
      <c r="C82" s="610"/>
      <c r="D82" s="130"/>
      <c r="E82" s="620" t="s">
        <v>220</v>
      </c>
      <c r="F82" s="621"/>
      <c r="G82" s="622"/>
      <c r="H82" s="38"/>
      <c r="I82" s="131">
        <f>SUM(G81:G81)</f>
        <v>6254.2500000000009</v>
      </c>
    </row>
    <row r="83" spans="2:9" ht="16.5" thickBot="1" x14ac:dyDescent="0.3">
      <c r="B83" s="611"/>
      <c r="C83" s="612"/>
      <c r="D83" s="628" t="s">
        <v>221</v>
      </c>
      <c r="E83" s="629"/>
      <c r="F83" s="630"/>
      <c r="G83" s="602">
        <f>SUM(I76+I82)</f>
        <v>31271.25</v>
      </c>
      <c r="H83" s="603"/>
      <c r="I83" s="604"/>
    </row>
    <row r="85" spans="2:9" ht="18.75" thickBot="1" x14ac:dyDescent="0.3">
      <c r="B85" s="564" t="s">
        <v>180</v>
      </c>
      <c r="C85" s="564"/>
      <c r="D85" s="564"/>
      <c r="E85" s="564"/>
      <c r="F85" s="564"/>
      <c r="G85" s="564"/>
      <c r="H85" s="564"/>
      <c r="I85" s="564"/>
    </row>
    <row r="86" spans="2:9" ht="15.75" thickBot="1" x14ac:dyDescent="0.3">
      <c r="B86" s="59" t="s">
        <v>181</v>
      </c>
      <c r="C86" s="565" t="s">
        <v>393</v>
      </c>
      <c r="D86" s="566"/>
      <c r="E86" s="566"/>
      <c r="F86" s="567"/>
      <c r="G86" s="60" t="s">
        <v>5</v>
      </c>
      <c r="H86" s="61"/>
      <c r="I86" s="62">
        <v>45373</v>
      </c>
    </row>
    <row r="87" spans="2:9" ht="13.5" thickBot="1" x14ac:dyDescent="0.25">
      <c r="B87" s="568" t="s">
        <v>182</v>
      </c>
      <c r="C87" s="569"/>
      <c r="D87" s="570"/>
      <c r="E87" s="568" t="s">
        <v>183</v>
      </c>
      <c r="F87" s="569"/>
      <c r="G87" s="569"/>
      <c r="H87" s="569"/>
      <c r="I87" s="570"/>
    </row>
    <row r="88" spans="2:9" ht="13.5" thickBot="1" x14ac:dyDescent="0.25">
      <c r="B88" s="571"/>
      <c r="C88" s="572"/>
      <c r="D88" s="573"/>
      <c r="E88" s="574" t="str">
        <f>+'P. Adecuación'!C9</f>
        <v>DESMONTE DE APARATOS SANITARIOS, LAVAMANOS Y LAVAPLATOS</v>
      </c>
      <c r="F88" s="575"/>
      <c r="G88" s="575"/>
      <c r="H88" s="575"/>
      <c r="I88" s="576"/>
    </row>
    <row r="89" spans="2:9" ht="13.5" thickBot="1" x14ac:dyDescent="0.25">
      <c r="B89" s="63" t="s">
        <v>184</v>
      </c>
      <c r="C89" s="64" t="s">
        <v>185</v>
      </c>
      <c r="D89" s="65" t="s">
        <v>42</v>
      </c>
      <c r="E89" s="577"/>
      <c r="F89" s="578"/>
      <c r="G89" s="578"/>
      <c r="H89" s="578"/>
      <c r="I89" s="579"/>
    </row>
    <row r="90" spans="2:9" ht="13.5" thickBot="1" x14ac:dyDescent="0.25">
      <c r="B90" s="583" t="s">
        <v>186</v>
      </c>
      <c r="C90" s="584"/>
      <c r="D90" s="66"/>
      <c r="E90" s="580"/>
      <c r="F90" s="581"/>
      <c r="G90" s="581"/>
      <c r="H90" s="581"/>
      <c r="I90" s="582"/>
    </row>
    <row r="91" spans="2:9" x14ac:dyDescent="0.2">
      <c r="B91" s="67" t="s">
        <v>187</v>
      </c>
      <c r="C91" s="68"/>
      <c r="D91" s="592"/>
      <c r="E91" s="592"/>
      <c r="F91" s="592"/>
      <c r="G91" s="592"/>
      <c r="H91" s="592"/>
      <c r="I91" s="593"/>
    </row>
    <row r="92" spans="2:9" x14ac:dyDescent="0.2">
      <c r="B92" s="588" t="s">
        <v>188</v>
      </c>
      <c r="C92" s="589"/>
      <c r="D92" s="96" t="s">
        <v>189</v>
      </c>
      <c r="E92" s="134" t="s">
        <v>190</v>
      </c>
      <c r="F92" s="111" t="s">
        <v>191</v>
      </c>
      <c r="G92" s="110" t="s">
        <v>192</v>
      </c>
      <c r="H92" s="112"/>
      <c r="I92" s="100" t="s">
        <v>193</v>
      </c>
    </row>
    <row r="93" spans="2:9" x14ac:dyDescent="0.2">
      <c r="B93" s="594" t="s">
        <v>194</v>
      </c>
      <c r="C93" s="595"/>
      <c r="D93" s="91" t="s">
        <v>195</v>
      </c>
      <c r="E93" s="135">
        <v>5</v>
      </c>
      <c r="F93" s="135">
        <f>SUM(I112)</f>
        <v>24062.400000000001</v>
      </c>
      <c r="G93" s="116">
        <f>SUM(F93*5%)</f>
        <v>1203.1200000000001</v>
      </c>
      <c r="H93" s="69"/>
      <c r="I93" s="596"/>
    </row>
    <row r="94" spans="2:9" x14ac:dyDescent="0.2">
      <c r="B94" s="598" t="s">
        <v>196</v>
      </c>
      <c r="C94" s="599"/>
      <c r="D94" s="91" t="s">
        <v>195</v>
      </c>
      <c r="E94" s="135">
        <v>1</v>
      </c>
      <c r="F94" s="135">
        <f>SUM(I112)</f>
        <v>24062.400000000001</v>
      </c>
      <c r="G94" s="116">
        <f>SUM(F94*1%)</f>
        <v>240.62400000000002</v>
      </c>
      <c r="H94" s="70"/>
      <c r="I94" s="597"/>
    </row>
    <row r="95" spans="2:9" x14ac:dyDescent="0.2">
      <c r="B95" s="600"/>
      <c r="C95" s="601"/>
      <c r="D95" s="91"/>
      <c r="E95" s="104"/>
      <c r="F95" s="104"/>
      <c r="G95" s="88"/>
      <c r="H95" s="70"/>
      <c r="I95" s="597"/>
    </row>
    <row r="96" spans="2:9" x14ac:dyDescent="0.2">
      <c r="B96" s="587"/>
      <c r="C96" s="585"/>
      <c r="D96" s="585"/>
      <c r="E96" s="585"/>
      <c r="F96" s="71"/>
      <c r="G96" s="72" t="s">
        <v>197</v>
      </c>
      <c r="H96" s="72"/>
      <c r="I96" s="94">
        <f>SUM(G93:G95)</f>
        <v>1443.7440000000001</v>
      </c>
    </row>
    <row r="97" spans="2:9" x14ac:dyDescent="0.2">
      <c r="B97" s="73" t="s">
        <v>198</v>
      </c>
      <c r="C97" s="74"/>
      <c r="D97" s="75"/>
      <c r="E97" s="76"/>
      <c r="F97" s="77"/>
      <c r="G97" s="76"/>
      <c r="H97" s="76"/>
      <c r="I97" s="78"/>
    </row>
    <row r="98" spans="2:9" x14ac:dyDescent="0.2">
      <c r="B98" s="588" t="s">
        <v>188</v>
      </c>
      <c r="C98" s="589"/>
      <c r="D98" s="96" t="s">
        <v>199</v>
      </c>
      <c r="E98" s="110" t="s">
        <v>137</v>
      </c>
      <c r="F98" s="111" t="s">
        <v>200</v>
      </c>
      <c r="G98" s="110" t="s">
        <v>201</v>
      </c>
      <c r="H98" s="112"/>
      <c r="I98" s="100" t="s">
        <v>193</v>
      </c>
    </row>
    <row r="99" spans="2:9" x14ac:dyDescent="0.2">
      <c r="B99" s="590"/>
      <c r="C99" s="591"/>
      <c r="D99" s="79"/>
      <c r="E99" s="80"/>
      <c r="F99" s="81"/>
      <c r="G99" s="82"/>
      <c r="H99" s="83"/>
      <c r="I99" s="90">
        <f t="shared" ref="I99:I100" si="2">(E99*(1+F99/100)) * (G99*(1+H99/100))</f>
        <v>0</v>
      </c>
    </row>
    <row r="100" spans="2:9" x14ac:dyDescent="0.2">
      <c r="B100" s="562"/>
      <c r="C100" s="563"/>
      <c r="D100" s="91"/>
      <c r="E100" s="80"/>
      <c r="F100" s="87"/>
      <c r="G100" s="88"/>
      <c r="H100" s="89"/>
      <c r="I100" s="90">
        <f t="shared" si="2"/>
        <v>0</v>
      </c>
    </row>
    <row r="101" spans="2:9" x14ac:dyDescent="0.2">
      <c r="B101" s="92"/>
      <c r="C101" s="76"/>
      <c r="D101" s="75"/>
      <c r="E101" s="76"/>
      <c r="F101" s="585" t="s">
        <v>202</v>
      </c>
      <c r="G101" s="586"/>
      <c r="H101" s="93"/>
      <c r="I101" s="94">
        <f>SUM(I99:I100)</f>
        <v>0</v>
      </c>
    </row>
    <row r="102" spans="2:9" ht="14.25" x14ac:dyDescent="0.2">
      <c r="B102" s="73" t="s">
        <v>203</v>
      </c>
      <c r="C102" s="74"/>
      <c r="D102" s="75"/>
      <c r="E102" s="76"/>
      <c r="F102" s="77"/>
      <c r="G102" s="76"/>
      <c r="H102" s="76"/>
      <c r="I102" s="95"/>
    </row>
    <row r="103" spans="2:9" x14ac:dyDescent="0.2">
      <c r="B103" s="588" t="s">
        <v>188</v>
      </c>
      <c r="C103" s="589"/>
      <c r="D103" s="96" t="s">
        <v>204</v>
      </c>
      <c r="E103" s="97" t="s">
        <v>205</v>
      </c>
      <c r="F103" s="98" t="s">
        <v>206</v>
      </c>
      <c r="G103" s="97" t="s">
        <v>207</v>
      </c>
      <c r="H103" s="99"/>
      <c r="I103" s="100" t="s">
        <v>193</v>
      </c>
    </row>
    <row r="104" spans="2:9" x14ac:dyDescent="0.2">
      <c r="B104" s="623" t="s">
        <v>222</v>
      </c>
      <c r="C104" s="624"/>
      <c r="D104" s="91"/>
      <c r="E104" s="101">
        <v>1.4999999999999999E-2</v>
      </c>
      <c r="F104" s="102">
        <v>150000</v>
      </c>
      <c r="G104" s="82">
        <f>SUM(E104*F104)</f>
        <v>2250</v>
      </c>
      <c r="H104" s="83"/>
      <c r="I104" s="103"/>
    </row>
    <row r="105" spans="2:9" x14ac:dyDescent="0.2">
      <c r="B105" s="625"/>
      <c r="C105" s="626"/>
      <c r="D105" s="91"/>
      <c r="E105" s="101"/>
      <c r="F105" s="104"/>
      <c r="G105" s="88">
        <f>F105</f>
        <v>0</v>
      </c>
      <c r="H105" s="85"/>
      <c r="I105" s="103"/>
    </row>
    <row r="106" spans="2:9" x14ac:dyDescent="0.2">
      <c r="B106" s="105"/>
      <c r="C106" s="106"/>
      <c r="D106" s="75"/>
      <c r="E106" s="106"/>
      <c r="F106" s="107" t="s">
        <v>208</v>
      </c>
      <c r="G106" s="106"/>
      <c r="H106" s="108"/>
      <c r="I106" s="109">
        <f>SUM(G104:G105)</f>
        <v>2250</v>
      </c>
    </row>
    <row r="107" spans="2:9" ht="14.25" x14ac:dyDescent="0.2">
      <c r="B107" s="73" t="s">
        <v>209</v>
      </c>
      <c r="C107" s="76"/>
      <c r="D107" s="75"/>
      <c r="E107" s="76"/>
      <c r="F107" s="77"/>
      <c r="G107" s="76"/>
      <c r="H107" s="76"/>
      <c r="I107" s="95"/>
    </row>
    <row r="108" spans="2:9" x14ac:dyDescent="0.2">
      <c r="B108" s="588" t="s">
        <v>188</v>
      </c>
      <c r="C108" s="589"/>
      <c r="D108" s="96" t="s">
        <v>136</v>
      </c>
      <c r="E108" s="110" t="s">
        <v>137</v>
      </c>
      <c r="F108" s="111" t="s">
        <v>201</v>
      </c>
      <c r="G108" s="112" t="s">
        <v>205</v>
      </c>
      <c r="H108" s="112"/>
      <c r="I108" s="100" t="s">
        <v>193</v>
      </c>
    </row>
    <row r="109" spans="2:9" x14ac:dyDescent="0.2">
      <c r="B109" s="590" t="s">
        <v>210</v>
      </c>
      <c r="C109" s="591"/>
      <c r="D109" s="91" t="s">
        <v>211</v>
      </c>
      <c r="E109" s="88">
        <v>1</v>
      </c>
      <c r="F109" s="104">
        <f>+(80000+50000*2)*1.671</f>
        <v>300780</v>
      </c>
      <c r="G109" s="113">
        <v>0.08</v>
      </c>
      <c r="H109" s="114"/>
      <c r="I109" s="115">
        <f>SUM(F109*E109)*G109</f>
        <v>24062.400000000001</v>
      </c>
    </row>
    <row r="110" spans="2:9" x14ac:dyDescent="0.2">
      <c r="B110" s="627"/>
      <c r="C110" s="617"/>
      <c r="D110" s="91"/>
      <c r="E110" s="116"/>
      <c r="F110" s="117"/>
      <c r="G110" s="114"/>
      <c r="H110" s="114"/>
      <c r="I110" s="94">
        <f>SUM(F110*E110)*G110</f>
        <v>0</v>
      </c>
    </row>
    <row r="111" spans="2:9" x14ac:dyDescent="0.2">
      <c r="B111" s="598"/>
      <c r="C111" s="599"/>
      <c r="D111" s="91"/>
      <c r="E111" s="118"/>
      <c r="F111" s="117"/>
      <c r="G111" s="114"/>
      <c r="H111" s="114"/>
      <c r="I111" s="94">
        <f>SUM(F111*E111)*G111</f>
        <v>0</v>
      </c>
    </row>
    <row r="112" spans="2:9" x14ac:dyDescent="0.2">
      <c r="B112" s="92"/>
      <c r="C112" s="76"/>
      <c r="D112" s="75"/>
      <c r="E112" s="76"/>
      <c r="F112" s="605" t="s">
        <v>212</v>
      </c>
      <c r="G112" s="605"/>
      <c r="H112" s="119"/>
      <c r="I112" s="94">
        <f>I109</f>
        <v>24062.400000000001</v>
      </c>
    </row>
    <row r="113" spans="2:9" ht="13.5" thickBot="1" x14ac:dyDescent="0.25">
      <c r="B113" s="92"/>
      <c r="C113" s="76"/>
      <c r="D113" s="75"/>
      <c r="E113" s="76"/>
      <c r="F113" s="120"/>
      <c r="G113" s="119"/>
      <c r="H113" s="119"/>
      <c r="I113" s="78"/>
    </row>
    <row r="114" spans="2:9" ht="13.5" thickBot="1" x14ac:dyDescent="0.25">
      <c r="B114" s="92"/>
      <c r="C114" s="76"/>
      <c r="D114" s="75"/>
      <c r="E114" s="606" t="s">
        <v>213</v>
      </c>
      <c r="F114" s="606"/>
      <c r="G114" s="606"/>
      <c r="H114" s="121"/>
      <c r="I114" s="122">
        <f>ROUND(SUM(I96+I101+I106+I112),0)</f>
        <v>27756</v>
      </c>
    </row>
    <row r="115" spans="2:9" ht="15" thickBot="1" x14ac:dyDescent="0.25">
      <c r="B115" s="73" t="s">
        <v>214</v>
      </c>
      <c r="C115" s="76"/>
      <c r="D115" s="123"/>
      <c r="E115" s="124"/>
      <c r="F115" s="77"/>
      <c r="G115" s="76"/>
      <c r="H115" s="76"/>
      <c r="I115" s="78"/>
    </row>
    <row r="116" spans="2:9" x14ac:dyDescent="0.2">
      <c r="B116" s="607" t="s">
        <v>215</v>
      </c>
      <c r="C116" s="608"/>
      <c r="D116" s="613" t="s">
        <v>216</v>
      </c>
      <c r="E116" s="614"/>
      <c r="F116" s="125" t="s">
        <v>195</v>
      </c>
      <c r="G116" s="126" t="s">
        <v>217</v>
      </c>
      <c r="H116" s="127"/>
      <c r="I116" s="615"/>
    </row>
    <row r="117" spans="2:9" x14ac:dyDescent="0.2">
      <c r="B117" s="609"/>
      <c r="C117" s="610"/>
      <c r="D117" s="617" t="s">
        <v>218</v>
      </c>
      <c r="E117" s="618"/>
      <c r="F117" s="128">
        <v>25</v>
      </c>
      <c r="G117" s="116">
        <f>I114*20%</f>
        <v>5551.2000000000007</v>
      </c>
      <c r="H117" s="129"/>
      <c r="I117" s="616"/>
    </row>
    <row r="118" spans="2:9" x14ac:dyDescent="0.2">
      <c r="B118" s="609"/>
      <c r="C118" s="610"/>
      <c r="D118" s="617" t="s">
        <v>168</v>
      </c>
      <c r="E118" s="618"/>
      <c r="F118" s="128">
        <v>5</v>
      </c>
      <c r="G118" s="116">
        <f>I114*5%</f>
        <v>1387.8000000000002</v>
      </c>
      <c r="H118" s="129"/>
      <c r="I118" s="616"/>
    </row>
    <row r="119" spans="2:9" x14ac:dyDescent="0.2">
      <c r="B119" s="609"/>
      <c r="C119" s="610"/>
      <c r="D119" s="619" t="s">
        <v>219</v>
      </c>
      <c r="E119" s="617"/>
      <c r="F119" s="128">
        <f>SUM(F117:F118)</f>
        <v>30</v>
      </c>
      <c r="G119" s="116">
        <f>SUM(G117:G118)</f>
        <v>6939.0000000000009</v>
      </c>
      <c r="H119" s="129"/>
      <c r="I119" s="616"/>
    </row>
    <row r="120" spans="2:9" ht="15" thickBot="1" x14ac:dyDescent="0.25">
      <c r="B120" s="609"/>
      <c r="C120" s="610"/>
      <c r="D120" s="130"/>
      <c r="E120" s="620" t="s">
        <v>220</v>
      </c>
      <c r="F120" s="621"/>
      <c r="G120" s="622"/>
      <c r="H120" s="38"/>
      <c r="I120" s="131">
        <f>SUM(G119:G119)</f>
        <v>6939.0000000000009</v>
      </c>
    </row>
    <row r="121" spans="2:9" ht="16.5" thickBot="1" x14ac:dyDescent="0.3">
      <c r="B121" s="611"/>
      <c r="C121" s="612"/>
      <c r="D121" s="628" t="s">
        <v>221</v>
      </c>
      <c r="E121" s="629"/>
      <c r="F121" s="630"/>
      <c r="G121" s="602">
        <f>SUM(I114+I120)</f>
        <v>34695</v>
      </c>
      <c r="H121" s="603"/>
      <c r="I121" s="604"/>
    </row>
    <row r="123" spans="2:9" ht="18.75" thickBot="1" x14ac:dyDescent="0.3">
      <c r="B123" s="564" t="s">
        <v>180</v>
      </c>
      <c r="C123" s="564"/>
      <c r="D123" s="564"/>
      <c r="E123" s="564"/>
      <c r="F123" s="564"/>
      <c r="G123" s="564"/>
      <c r="H123" s="564"/>
      <c r="I123" s="564"/>
    </row>
    <row r="124" spans="2:9" ht="15.75" thickBot="1" x14ac:dyDescent="0.3">
      <c r="B124" s="59" t="s">
        <v>181</v>
      </c>
      <c r="C124" s="565" t="s">
        <v>393</v>
      </c>
      <c r="D124" s="566"/>
      <c r="E124" s="566"/>
      <c r="F124" s="567"/>
      <c r="G124" s="60" t="s">
        <v>5</v>
      </c>
      <c r="H124" s="61"/>
      <c r="I124" s="62">
        <v>45373</v>
      </c>
    </row>
    <row r="125" spans="2:9" ht="13.5" thickBot="1" x14ac:dyDescent="0.25">
      <c r="B125" s="568" t="s">
        <v>182</v>
      </c>
      <c r="C125" s="569"/>
      <c r="D125" s="570"/>
      <c r="E125" s="568" t="s">
        <v>183</v>
      </c>
      <c r="F125" s="569"/>
      <c r="G125" s="569"/>
      <c r="H125" s="569"/>
      <c r="I125" s="570"/>
    </row>
    <row r="126" spans="2:9" ht="13.5" thickBot="1" x14ac:dyDescent="0.25">
      <c r="B126" s="571"/>
      <c r="C126" s="572"/>
      <c r="D126" s="573"/>
      <c r="E126" s="574" t="str">
        <f>+'P. Adecuación'!C10</f>
        <v>DESMONTES (CIELO RASOS)</v>
      </c>
      <c r="F126" s="575"/>
      <c r="G126" s="575"/>
      <c r="H126" s="575"/>
      <c r="I126" s="576"/>
    </row>
    <row r="127" spans="2:9" ht="13.5" thickBot="1" x14ac:dyDescent="0.25">
      <c r="B127" s="63" t="s">
        <v>184</v>
      </c>
      <c r="C127" s="64" t="s">
        <v>185</v>
      </c>
      <c r="D127" s="65" t="str">
        <f>+'P. Adecuación'!B10</f>
        <v>1.4</v>
      </c>
      <c r="E127" s="577"/>
      <c r="F127" s="578"/>
      <c r="G127" s="578"/>
      <c r="H127" s="578"/>
      <c r="I127" s="579"/>
    </row>
    <row r="128" spans="2:9" ht="13.5" thickBot="1" x14ac:dyDescent="0.25">
      <c r="B128" s="583" t="s">
        <v>186</v>
      </c>
      <c r="C128" s="584"/>
      <c r="D128" s="66"/>
      <c r="E128" s="580"/>
      <c r="F128" s="581"/>
      <c r="G128" s="581"/>
      <c r="H128" s="581"/>
      <c r="I128" s="582"/>
    </row>
    <row r="129" spans="2:9" x14ac:dyDescent="0.2">
      <c r="B129" s="67" t="s">
        <v>187</v>
      </c>
      <c r="C129" s="68"/>
      <c r="D129" s="592"/>
      <c r="E129" s="592"/>
      <c r="F129" s="592"/>
      <c r="G129" s="592"/>
      <c r="H129" s="592"/>
      <c r="I129" s="593"/>
    </row>
    <row r="130" spans="2:9" x14ac:dyDescent="0.2">
      <c r="B130" s="588" t="s">
        <v>188</v>
      </c>
      <c r="C130" s="589"/>
      <c r="D130" s="96" t="s">
        <v>189</v>
      </c>
      <c r="E130" s="134" t="s">
        <v>190</v>
      </c>
      <c r="F130" s="111" t="s">
        <v>191</v>
      </c>
      <c r="G130" s="110" t="s">
        <v>192</v>
      </c>
      <c r="H130" s="112"/>
      <c r="I130" s="100" t="s">
        <v>193</v>
      </c>
    </row>
    <row r="131" spans="2:9" x14ac:dyDescent="0.2">
      <c r="B131" s="594" t="s">
        <v>194</v>
      </c>
      <c r="C131" s="595"/>
      <c r="D131" s="91" t="s">
        <v>195</v>
      </c>
      <c r="E131" s="135">
        <v>5</v>
      </c>
      <c r="F131" s="135">
        <f>SUM(I150)</f>
        <v>24062.400000000001</v>
      </c>
      <c r="G131" s="116">
        <f>SUM(F131*5%)</f>
        <v>1203.1200000000001</v>
      </c>
      <c r="H131" s="69"/>
      <c r="I131" s="596"/>
    </row>
    <row r="132" spans="2:9" x14ac:dyDescent="0.2">
      <c r="B132" s="598" t="s">
        <v>196</v>
      </c>
      <c r="C132" s="599"/>
      <c r="D132" s="91" t="s">
        <v>195</v>
      </c>
      <c r="E132" s="135">
        <v>1</v>
      </c>
      <c r="F132" s="135">
        <f>SUM(I150)</f>
        <v>24062.400000000001</v>
      </c>
      <c r="G132" s="116">
        <f>SUM(F132*1%)</f>
        <v>240.62400000000002</v>
      </c>
      <c r="H132" s="70"/>
      <c r="I132" s="597"/>
    </row>
    <row r="133" spans="2:9" x14ac:dyDescent="0.2">
      <c r="B133" s="600" t="s">
        <v>406</v>
      </c>
      <c r="C133" s="601"/>
      <c r="D133" s="91" t="s">
        <v>211</v>
      </c>
      <c r="E133" s="104">
        <v>0.5</v>
      </c>
      <c r="F133" s="104">
        <v>2737</v>
      </c>
      <c r="G133" s="88">
        <f>+F133*E133</f>
        <v>1368.5</v>
      </c>
      <c r="H133" s="70"/>
      <c r="I133" s="597"/>
    </row>
    <row r="134" spans="2:9" x14ac:dyDescent="0.2">
      <c r="B134" s="587"/>
      <c r="C134" s="585"/>
      <c r="D134" s="585"/>
      <c r="E134" s="585"/>
      <c r="F134" s="71"/>
      <c r="G134" s="72" t="s">
        <v>197</v>
      </c>
      <c r="H134" s="72"/>
      <c r="I134" s="94">
        <f>SUM(G131:G133)</f>
        <v>2812.2440000000001</v>
      </c>
    </row>
    <row r="135" spans="2:9" x14ac:dyDescent="0.2">
      <c r="B135" s="73" t="s">
        <v>198</v>
      </c>
      <c r="C135" s="74"/>
      <c r="D135" s="75"/>
      <c r="E135" s="76"/>
      <c r="F135" s="77"/>
      <c r="G135" s="76"/>
      <c r="H135" s="76"/>
      <c r="I135" s="78"/>
    </row>
    <row r="136" spans="2:9" x14ac:dyDescent="0.2">
      <c r="B136" s="588" t="s">
        <v>188</v>
      </c>
      <c r="C136" s="589"/>
      <c r="D136" s="96" t="s">
        <v>199</v>
      </c>
      <c r="E136" s="110" t="s">
        <v>137</v>
      </c>
      <c r="F136" s="111" t="s">
        <v>200</v>
      </c>
      <c r="G136" s="110" t="s">
        <v>201</v>
      </c>
      <c r="H136" s="112"/>
      <c r="I136" s="100" t="s">
        <v>193</v>
      </c>
    </row>
    <row r="137" spans="2:9" x14ac:dyDescent="0.2">
      <c r="B137" s="590"/>
      <c r="C137" s="591"/>
      <c r="D137" s="79"/>
      <c r="E137" s="80"/>
      <c r="F137" s="81"/>
      <c r="G137" s="82"/>
      <c r="H137" s="83"/>
      <c r="I137" s="90">
        <f t="shared" ref="I137:I138" si="3">(E137*(1+F137/100)) * (G137*(1+H137/100))</f>
        <v>0</v>
      </c>
    </row>
    <row r="138" spans="2:9" x14ac:dyDescent="0.2">
      <c r="B138" s="562"/>
      <c r="C138" s="563"/>
      <c r="D138" s="91"/>
      <c r="E138" s="80"/>
      <c r="F138" s="87"/>
      <c r="G138" s="88"/>
      <c r="H138" s="89"/>
      <c r="I138" s="90">
        <f t="shared" si="3"/>
        <v>0</v>
      </c>
    </row>
    <row r="139" spans="2:9" x14ac:dyDescent="0.2">
      <c r="B139" s="92"/>
      <c r="C139" s="76"/>
      <c r="D139" s="75"/>
      <c r="E139" s="76"/>
      <c r="F139" s="585" t="s">
        <v>202</v>
      </c>
      <c r="G139" s="586"/>
      <c r="H139" s="287"/>
      <c r="I139" s="94">
        <f>SUM(I137:I138)</f>
        <v>0</v>
      </c>
    </row>
    <row r="140" spans="2:9" ht="14.25" x14ac:dyDescent="0.2">
      <c r="B140" s="73" t="s">
        <v>203</v>
      </c>
      <c r="C140" s="74"/>
      <c r="D140" s="75"/>
      <c r="E140" s="76"/>
      <c r="F140" s="77"/>
      <c r="G140" s="76"/>
      <c r="H140" s="76"/>
      <c r="I140" s="95"/>
    </row>
    <row r="141" spans="2:9" x14ac:dyDescent="0.2">
      <c r="B141" s="588" t="s">
        <v>188</v>
      </c>
      <c r="C141" s="589"/>
      <c r="D141" s="96" t="s">
        <v>204</v>
      </c>
      <c r="E141" s="97" t="s">
        <v>205</v>
      </c>
      <c r="F141" s="98" t="s">
        <v>206</v>
      </c>
      <c r="G141" s="97" t="s">
        <v>207</v>
      </c>
      <c r="H141" s="99"/>
      <c r="I141" s="100" t="s">
        <v>193</v>
      </c>
    </row>
    <row r="142" spans="2:9" x14ac:dyDescent="0.2">
      <c r="B142" s="623" t="s">
        <v>222</v>
      </c>
      <c r="C142" s="624"/>
      <c r="D142" s="91"/>
      <c r="E142" s="101">
        <v>1.4999999999999999E-2</v>
      </c>
      <c r="F142" s="102">
        <v>150000</v>
      </c>
      <c r="G142" s="82">
        <f>SUM(E142*F142)</f>
        <v>2250</v>
      </c>
      <c r="H142" s="83"/>
      <c r="I142" s="103"/>
    </row>
    <row r="143" spans="2:9" x14ac:dyDescent="0.2">
      <c r="B143" s="625"/>
      <c r="C143" s="626"/>
      <c r="D143" s="91"/>
      <c r="E143" s="101"/>
      <c r="F143" s="104"/>
      <c r="G143" s="88">
        <f>F143</f>
        <v>0</v>
      </c>
      <c r="H143" s="85"/>
      <c r="I143" s="103"/>
    </row>
    <row r="144" spans="2:9" x14ac:dyDescent="0.2">
      <c r="B144" s="105"/>
      <c r="C144" s="106"/>
      <c r="D144" s="75"/>
      <c r="E144" s="106"/>
      <c r="F144" s="107" t="s">
        <v>208</v>
      </c>
      <c r="G144" s="106"/>
      <c r="H144" s="108"/>
      <c r="I144" s="109">
        <f>SUM(G142:G143)</f>
        <v>2250</v>
      </c>
    </row>
    <row r="145" spans="2:9" ht="14.25" x14ac:dyDescent="0.2">
      <c r="B145" s="73" t="s">
        <v>209</v>
      </c>
      <c r="C145" s="76"/>
      <c r="D145" s="75"/>
      <c r="E145" s="76"/>
      <c r="F145" s="77"/>
      <c r="G145" s="76"/>
      <c r="H145" s="76"/>
      <c r="I145" s="95"/>
    </row>
    <row r="146" spans="2:9" x14ac:dyDescent="0.2">
      <c r="B146" s="588" t="s">
        <v>188</v>
      </c>
      <c r="C146" s="589"/>
      <c r="D146" s="96" t="s">
        <v>136</v>
      </c>
      <c r="E146" s="110" t="s">
        <v>137</v>
      </c>
      <c r="F146" s="111" t="s">
        <v>201</v>
      </c>
      <c r="G146" s="112" t="s">
        <v>205</v>
      </c>
      <c r="H146" s="112"/>
      <c r="I146" s="100" t="s">
        <v>193</v>
      </c>
    </row>
    <row r="147" spans="2:9" x14ac:dyDescent="0.2">
      <c r="B147" s="590" t="s">
        <v>210</v>
      </c>
      <c r="C147" s="591"/>
      <c r="D147" s="91" t="s">
        <v>211</v>
      </c>
      <c r="E147" s="88">
        <v>1</v>
      </c>
      <c r="F147" s="104">
        <f>+(80000+50000*2)*1.671</f>
        <v>300780</v>
      </c>
      <c r="G147" s="113">
        <v>0.08</v>
      </c>
      <c r="H147" s="114"/>
      <c r="I147" s="115">
        <f>SUM(F147*E147)*G147</f>
        <v>24062.400000000001</v>
      </c>
    </row>
    <row r="148" spans="2:9" x14ac:dyDescent="0.2">
      <c r="B148" s="627"/>
      <c r="C148" s="617"/>
      <c r="D148" s="91"/>
      <c r="E148" s="116"/>
      <c r="F148" s="117"/>
      <c r="G148" s="114"/>
      <c r="H148" s="114"/>
      <c r="I148" s="94">
        <f>SUM(F148*E148)*G148</f>
        <v>0</v>
      </c>
    </row>
    <row r="149" spans="2:9" x14ac:dyDescent="0.2">
      <c r="B149" s="598"/>
      <c r="C149" s="599"/>
      <c r="D149" s="91"/>
      <c r="E149" s="118"/>
      <c r="F149" s="117"/>
      <c r="G149" s="114"/>
      <c r="H149" s="114"/>
      <c r="I149" s="94">
        <f>SUM(F149*E149)*G149</f>
        <v>0</v>
      </c>
    </row>
    <row r="150" spans="2:9" x14ac:dyDescent="0.2">
      <c r="B150" s="92"/>
      <c r="C150" s="76"/>
      <c r="D150" s="75"/>
      <c r="E150" s="76"/>
      <c r="F150" s="605" t="s">
        <v>212</v>
      </c>
      <c r="G150" s="605"/>
      <c r="H150" s="285"/>
      <c r="I150" s="94">
        <f>I147</f>
        <v>24062.400000000001</v>
      </c>
    </row>
    <row r="151" spans="2:9" ht="13.5" thickBot="1" x14ac:dyDescent="0.25">
      <c r="B151" s="92"/>
      <c r="C151" s="76"/>
      <c r="D151" s="75"/>
      <c r="E151" s="76"/>
      <c r="F151" s="120"/>
      <c r="G151" s="285"/>
      <c r="H151" s="285"/>
      <c r="I151" s="78"/>
    </row>
    <row r="152" spans="2:9" ht="13.5" thickBot="1" x14ac:dyDescent="0.25">
      <c r="B152" s="92"/>
      <c r="C152" s="76"/>
      <c r="D152" s="75"/>
      <c r="E152" s="606" t="s">
        <v>213</v>
      </c>
      <c r="F152" s="606"/>
      <c r="G152" s="606"/>
      <c r="H152" s="286"/>
      <c r="I152" s="122">
        <f>ROUND(SUM(I134+I139+I144+I150),0)</f>
        <v>29125</v>
      </c>
    </row>
    <row r="153" spans="2:9" ht="15" thickBot="1" x14ac:dyDescent="0.25">
      <c r="B153" s="73" t="s">
        <v>214</v>
      </c>
      <c r="C153" s="76"/>
      <c r="D153" s="123"/>
      <c r="E153" s="124"/>
      <c r="F153" s="77"/>
      <c r="G153" s="76"/>
      <c r="H153" s="76"/>
      <c r="I153" s="78"/>
    </row>
    <row r="154" spans="2:9" x14ac:dyDescent="0.2">
      <c r="B154" s="607" t="s">
        <v>215</v>
      </c>
      <c r="C154" s="608"/>
      <c r="D154" s="613" t="s">
        <v>216</v>
      </c>
      <c r="E154" s="614"/>
      <c r="F154" s="125" t="s">
        <v>195</v>
      </c>
      <c r="G154" s="126" t="s">
        <v>217</v>
      </c>
      <c r="H154" s="127"/>
      <c r="I154" s="615"/>
    </row>
    <row r="155" spans="2:9" x14ac:dyDescent="0.2">
      <c r="B155" s="609"/>
      <c r="C155" s="610"/>
      <c r="D155" s="617" t="s">
        <v>218</v>
      </c>
      <c r="E155" s="618"/>
      <c r="F155" s="128">
        <v>25</v>
      </c>
      <c r="G155" s="116">
        <f>I152*20%</f>
        <v>5825</v>
      </c>
      <c r="H155" s="129"/>
      <c r="I155" s="616"/>
    </row>
    <row r="156" spans="2:9" x14ac:dyDescent="0.2">
      <c r="B156" s="609"/>
      <c r="C156" s="610"/>
      <c r="D156" s="617" t="s">
        <v>168</v>
      </c>
      <c r="E156" s="618"/>
      <c r="F156" s="128">
        <v>5</v>
      </c>
      <c r="G156" s="116">
        <f>I152*5%</f>
        <v>1456.25</v>
      </c>
      <c r="H156" s="129"/>
      <c r="I156" s="616"/>
    </row>
    <row r="157" spans="2:9" x14ac:dyDescent="0.2">
      <c r="B157" s="609"/>
      <c r="C157" s="610"/>
      <c r="D157" s="619" t="s">
        <v>219</v>
      </c>
      <c r="E157" s="617"/>
      <c r="F157" s="128">
        <f>SUM(F155:F156)</f>
        <v>30</v>
      </c>
      <c r="G157" s="116">
        <f>SUM(G155:G156)</f>
        <v>7281.25</v>
      </c>
      <c r="H157" s="129"/>
      <c r="I157" s="616"/>
    </row>
    <row r="158" spans="2:9" ht="15" thickBot="1" x14ac:dyDescent="0.25">
      <c r="B158" s="609"/>
      <c r="C158" s="610"/>
      <c r="D158" s="130"/>
      <c r="E158" s="620" t="s">
        <v>220</v>
      </c>
      <c r="F158" s="621"/>
      <c r="G158" s="622"/>
      <c r="H158" s="281"/>
      <c r="I158" s="131">
        <f>SUM(G157:G157)</f>
        <v>7281.25</v>
      </c>
    </row>
    <row r="159" spans="2:9" ht="16.5" thickBot="1" x14ac:dyDescent="0.3">
      <c r="B159" s="611"/>
      <c r="C159" s="612"/>
      <c r="D159" s="628" t="s">
        <v>221</v>
      </c>
      <c r="E159" s="629"/>
      <c r="F159" s="630"/>
      <c r="G159" s="602">
        <f>SUM(I152+I158)</f>
        <v>36406.25</v>
      </c>
      <c r="H159" s="603"/>
      <c r="I159" s="604"/>
    </row>
    <row r="161" spans="2:9" ht="18.75" thickBot="1" x14ac:dyDescent="0.3">
      <c r="B161" s="564" t="s">
        <v>180</v>
      </c>
      <c r="C161" s="564"/>
      <c r="D161" s="564"/>
      <c r="E161" s="564"/>
      <c r="F161" s="564"/>
      <c r="G161" s="564"/>
      <c r="H161" s="564"/>
      <c r="I161" s="564"/>
    </row>
    <row r="162" spans="2:9" ht="15.75" thickBot="1" x14ac:dyDescent="0.3">
      <c r="B162" s="59" t="s">
        <v>181</v>
      </c>
      <c r="C162" s="565" t="s">
        <v>393</v>
      </c>
      <c r="D162" s="566"/>
      <c r="E162" s="566"/>
      <c r="F162" s="567"/>
      <c r="G162" s="60" t="s">
        <v>5</v>
      </c>
      <c r="H162" s="61"/>
      <c r="I162" s="62">
        <v>45373</v>
      </c>
    </row>
    <row r="163" spans="2:9" ht="13.5" thickBot="1" x14ac:dyDescent="0.25">
      <c r="B163" s="568" t="s">
        <v>182</v>
      </c>
      <c r="C163" s="569"/>
      <c r="D163" s="570"/>
      <c r="E163" s="568" t="s">
        <v>183</v>
      </c>
      <c r="F163" s="569"/>
      <c r="G163" s="569"/>
      <c r="H163" s="569"/>
      <c r="I163" s="570"/>
    </row>
    <row r="164" spans="2:9" ht="13.5" thickBot="1" x14ac:dyDescent="0.25">
      <c r="B164" s="571"/>
      <c r="C164" s="572"/>
      <c r="D164" s="573"/>
      <c r="E164" s="574" t="str">
        <f>+'P. Adecuación'!C11</f>
        <v>DESMONTES (PUERTAS)</v>
      </c>
      <c r="F164" s="575"/>
      <c r="G164" s="575"/>
      <c r="H164" s="575"/>
      <c r="I164" s="576"/>
    </row>
    <row r="165" spans="2:9" ht="13.5" thickBot="1" x14ac:dyDescent="0.25">
      <c r="B165" s="63" t="s">
        <v>184</v>
      </c>
      <c r="C165" s="64" t="s">
        <v>185</v>
      </c>
      <c r="D165" s="65" t="str">
        <f>+'P. Adecuación'!B11</f>
        <v>1.5</v>
      </c>
      <c r="E165" s="577"/>
      <c r="F165" s="578"/>
      <c r="G165" s="578"/>
      <c r="H165" s="578"/>
      <c r="I165" s="579"/>
    </row>
    <row r="166" spans="2:9" ht="13.5" thickBot="1" x14ac:dyDescent="0.25">
      <c r="B166" s="583" t="s">
        <v>186</v>
      </c>
      <c r="C166" s="584"/>
      <c r="D166" s="66"/>
      <c r="E166" s="580"/>
      <c r="F166" s="581"/>
      <c r="G166" s="581"/>
      <c r="H166" s="581"/>
      <c r="I166" s="582"/>
    </row>
    <row r="167" spans="2:9" x14ac:dyDescent="0.2">
      <c r="B167" s="67" t="s">
        <v>187</v>
      </c>
      <c r="C167" s="68"/>
      <c r="D167" s="592"/>
      <c r="E167" s="592"/>
      <c r="F167" s="592"/>
      <c r="G167" s="592"/>
      <c r="H167" s="592"/>
      <c r="I167" s="593"/>
    </row>
    <row r="168" spans="2:9" x14ac:dyDescent="0.2">
      <c r="B168" s="588" t="s">
        <v>188</v>
      </c>
      <c r="C168" s="589"/>
      <c r="D168" s="96" t="s">
        <v>189</v>
      </c>
      <c r="E168" s="134" t="s">
        <v>190</v>
      </c>
      <c r="F168" s="111" t="s">
        <v>191</v>
      </c>
      <c r="G168" s="110" t="s">
        <v>192</v>
      </c>
      <c r="H168" s="112"/>
      <c r="I168" s="100" t="s">
        <v>193</v>
      </c>
    </row>
    <row r="169" spans="2:9" x14ac:dyDescent="0.2">
      <c r="B169" s="594" t="s">
        <v>194</v>
      </c>
      <c r="C169" s="595"/>
      <c r="D169" s="91" t="s">
        <v>195</v>
      </c>
      <c r="E169" s="135">
        <v>5</v>
      </c>
      <c r="F169" s="135">
        <f>SUM(I188)</f>
        <v>24062.400000000001</v>
      </c>
      <c r="G169" s="116">
        <f>SUM(F169*5%)</f>
        <v>1203.1200000000001</v>
      </c>
      <c r="H169" s="69"/>
      <c r="I169" s="596"/>
    </row>
    <row r="170" spans="2:9" x14ac:dyDescent="0.2">
      <c r="B170" s="598" t="s">
        <v>196</v>
      </c>
      <c r="C170" s="599"/>
      <c r="D170" s="91" t="s">
        <v>195</v>
      </c>
      <c r="E170" s="135">
        <v>1</v>
      </c>
      <c r="F170" s="135">
        <f>SUM(I188)</f>
        <v>24062.400000000001</v>
      </c>
      <c r="G170" s="116">
        <f>SUM(F170*1%)</f>
        <v>240.62400000000002</v>
      </c>
      <c r="H170" s="70"/>
      <c r="I170" s="597"/>
    </row>
    <row r="171" spans="2:9" x14ac:dyDescent="0.2">
      <c r="B171" s="600"/>
      <c r="C171" s="601"/>
      <c r="D171" s="91"/>
      <c r="E171" s="104"/>
      <c r="F171" s="104"/>
      <c r="G171" s="88"/>
      <c r="H171" s="70"/>
      <c r="I171" s="597"/>
    </row>
    <row r="172" spans="2:9" x14ac:dyDescent="0.2">
      <c r="B172" s="587"/>
      <c r="C172" s="585"/>
      <c r="D172" s="585"/>
      <c r="E172" s="585"/>
      <c r="F172" s="71"/>
      <c r="G172" s="72" t="s">
        <v>197</v>
      </c>
      <c r="H172" s="72"/>
      <c r="I172" s="94">
        <f>SUM(G169:G171)</f>
        <v>1443.7440000000001</v>
      </c>
    </row>
    <row r="173" spans="2:9" x14ac:dyDescent="0.2">
      <c r="B173" s="73" t="s">
        <v>198</v>
      </c>
      <c r="C173" s="74"/>
      <c r="D173" s="75"/>
      <c r="E173" s="76"/>
      <c r="F173" s="77"/>
      <c r="G173" s="76"/>
      <c r="H173" s="76"/>
      <c r="I173" s="78"/>
    </row>
    <row r="174" spans="2:9" x14ac:dyDescent="0.2">
      <c r="B174" s="588" t="s">
        <v>188</v>
      </c>
      <c r="C174" s="589"/>
      <c r="D174" s="96" t="s">
        <v>199</v>
      </c>
      <c r="E174" s="110" t="s">
        <v>137</v>
      </c>
      <c r="F174" s="111" t="s">
        <v>200</v>
      </c>
      <c r="G174" s="110" t="s">
        <v>201</v>
      </c>
      <c r="H174" s="112"/>
      <c r="I174" s="100" t="s">
        <v>193</v>
      </c>
    </row>
    <row r="175" spans="2:9" x14ac:dyDescent="0.2">
      <c r="B175" s="590"/>
      <c r="C175" s="591"/>
      <c r="D175" s="79"/>
      <c r="E175" s="80"/>
      <c r="F175" s="81"/>
      <c r="G175" s="82"/>
      <c r="H175" s="83"/>
      <c r="I175" s="90">
        <f t="shared" ref="I175:I176" si="4">(E175*(1+F175/100)) * (G175*(1+H175/100))</f>
        <v>0</v>
      </c>
    </row>
    <row r="176" spans="2:9" x14ac:dyDescent="0.2">
      <c r="B176" s="562"/>
      <c r="C176" s="563"/>
      <c r="D176" s="91"/>
      <c r="E176" s="80"/>
      <c r="F176" s="87"/>
      <c r="G176" s="88"/>
      <c r="H176" s="89"/>
      <c r="I176" s="90">
        <f t="shared" si="4"/>
        <v>0</v>
      </c>
    </row>
    <row r="177" spans="2:9" x14ac:dyDescent="0.2">
      <c r="B177" s="92"/>
      <c r="C177" s="76"/>
      <c r="D177" s="75"/>
      <c r="E177" s="76"/>
      <c r="F177" s="585" t="s">
        <v>202</v>
      </c>
      <c r="G177" s="586"/>
      <c r="H177" s="287"/>
      <c r="I177" s="94">
        <f>SUM(I175:I176)</f>
        <v>0</v>
      </c>
    </row>
    <row r="178" spans="2:9" ht="14.25" x14ac:dyDescent="0.2">
      <c r="B178" s="73" t="s">
        <v>203</v>
      </c>
      <c r="C178" s="74"/>
      <c r="D178" s="75"/>
      <c r="E178" s="76"/>
      <c r="F178" s="77"/>
      <c r="G178" s="76"/>
      <c r="H178" s="76"/>
      <c r="I178" s="95"/>
    </row>
    <row r="179" spans="2:9" x14ac:dyDescent="0.2">
      <c r="B179" s="588" t="s">
        <v>188</v>
      </c>
      <c r="C179" s="589"/>
      <c r="D179" s="96" t="s">
        <v>204</v>
      </c>
      <c r="E179" s="97" t="s">
        <v>205</v>
      </c>
      <c r="F179" s="98" t="s">
        <v>206</v>
      </c>
      <c r="G179" s="97" t="s">
        <v>207</v>
      </c>
      <c r="H179" s="99"/>
      <c r="I179" s="100" t="s">
        <v>193</v>
      </c>
    </row>
    <row r="180" spans="2:9" x14ac:dyDescent="0.2">
      <c r="B180" s="623" t="s">
        <v>222</v>
      </c>
      <c r="C180" s="624"/>
      <c r="D180" s="91"/>
      <c r="E180" s="101">
        <v>1.4999999999999999E-2</v>
      </c>
      <c r="F180" s="102">
        <v>150000</v>
      </c>
      <c r="G180" s="82">
        <f>SUM(E180*F180)</f>
        <v>2250</v>
      </c>
      <c r="H180" s="83"/>
      <c r="I180" s="103"/>
    </row>
    <row r="181" spans="2:9" x14ac:dyDescent="0.2">
      <c r="B181" s="625"/>
      <c r="C181" s="626"/>
      <c r="D181" s="91"/>
      <c r="E181" s="101"/>
      <c r="F181" s="104"/>
      <c r="G181" s="88">
        <f>F181</f>
        <v>0</v>
      </c>
      <c r="H181" s="85"/>
      <c r="I181" s="103"/>
    </row>
    <row r="182" spans="2:9" x14ac:dyDescent="0.2">
      <c r="B182" s="105"/>
      <c r="C182" s="106"/>
      <c r="D182" s="75"/>
      <c r="E182" s="106"/>
      <c r="F182" s="107" t="s">
        <v>208</v>
      </c>
      <c r="G182" s="106"/>
      <c r="H182" s="108"/>
      <c r="I182" s="109">
        <f>SUM(G180:G181)</f>
        <v>2250</v>
      </c>
    </row>
    <row r="183" spans="2:9" ht="14.25" x14ac:dyDescent="0.2">
      <c r="B183" s="73" t="s">
        <v>209</v>
      </c>
      <c r="C183" s="76"/>
      <c r="D183" s="75"/>
      <c r="E183" s="76"/>
      <c r="F183" s="77"/>
      <c r="G183" s="76"/>
      <c r="H183" s="76"/>
      <c r="I183" s="95"/>
    </row>
    <row r="184" spans="2:9" x14ac:dyDescent="0.2">
      <c r="B184" s="588" t="s">
        <v>188</v>
      </c>
      <c r="C184" s="589"/>
      <c r="D184" s="96" t="s">
        <v>136</v>
      </c>
      <c r="E184" s="110" t="s">
        <v>137</v>
      </c>
      <c r="F184" s="111" t="s">
        <v>201</v>
      </c>
      <c r="G184" s="112" t="s">
        <v>205</v>
      </c>
      <c r="H184" s="112"/>
      <c r="I184" s="100" t="s">
        <v>193</v>
      </c>
    </row>
    <row r="185" spans="2:9" x14ac:dyDescent="0.2">
      <c r="B185" s="590" t="s">
        <v>210</v>
      </c>
      <c r="C185" s="591"/>
      <c r="D185" s="91" t="s">
        <v>211</v>
      </c>
      <c r="E185" s="88">
        <v>1</v>
      </c>
      <c r="F185" s="104">
        <f>+(80000+50000*2)*1.671</f>
        <v>300780</v>
      </c>
      <c r="G185" s="113">
        <v>0.08</v>
      </c>
      <c r="H185" s="114"/>
      <c r="I185" s="115">
        <f>SUM(F185*E185)*G185</f>
        <v>24062.400000000001</v>
      </c>
    </row>
    <row r="186" spans="2:9" x14ac:dyDescent="0.2">
      <c r="B186" s="627"/>
      <c r="C186" s="617"/>
      <c r="D186" s="91"/>
      <c r="E186" s="116"/>
      <c r="F186" s="117"/>
      <c r="G186" s="114"/>
      <c r="H186" s="114"/>
      <c r="I186" s="94">
        <f>SUM(F186*E186)*G186</f>
        <v>0</v>
      </c>
    </row>
    <row r="187" spans="2:9" x14ac:dyDescent="0.2">
      <c r="B187" s="598"/>
      <c r="C187" s="599"/>
      <c r="D187" s="91"/>
      <c r="E187" s="118"/>
      <c r="F187" s="117"/>
      <c r="G187" s="114"/>
      <c r="H187" s="114"/>
      <c r="I187" s="94">
        <f>SUM(F187*E187)*G187</f>
        <v>0</v>
      </c>
    </row>
    <row r="188" spans="2:9" x14ac:dyDescent="0.2">
      <c r="B188" s="92"/>
      <c r="C188" s="76"/>
      <c r="D188" s="75"/>
      <c r="E188" s="76"/>
      <c r="F188" s="605" t="s">
        <v>212</v>
      </c>
      <c r="G188" s="605"/>
      <c r="H188" s="285"/>
      <c r="I188" s="94">
        <f>I185</f>
        <v>24062.400000000001</v>
      </c>
    </row>
    <row r="189" spans="2:9" ht="13.5" thickBot="1" x14ac:dyDescent="0.25">
      <c r="B189" s="92"/>
      <c r="C189" s="76"/>
      <c r="D189" s="75"/>
      <c r="E189" s="76"/>
      <c r="F189" s="120"/>
      <c r="G189" s="285"/>
      <c r="H189" s="285"/>
      <c r="I189" s="78"/>
    </row>
    <row r="190" spans="2:9" ht="13.5" thickBot="1" x14ac:dyDescent="0.25">
      <c r="B190" s="92"/>
      <c r="C190" s="76"/>
      <c r="D190" s="75"/>
      <c r="E190" s="606" t="s">
        <v>213</v>
      </c>
      <c r="F190" s="606"/>
      <c r="G190" s="606"/>
      <c r="H190" s="286"/>
      <c r="I190" s="122">
        <f>ROUND(SUM(I172+I177+I182+I188),0)</f>
        <v>27756</v>
      </c>
    </row>
    <row r="191" spans="2:9" ht="15" thickBot="1" x14ac:dyDescent="0.25">
      <c r="B191" s="73" t="s">
        <v>214</v>
      </c>
      <c r="C191" s="76"/>
      <c r="D191" s="123"/>
      <c r="E191" s="124"/>
      <c r="F191" s="77"/>
      <c r="G191" s="76"/>
      <c r="H191" s="76"/>
      <c r="I191" s="78"/>
    </row>
    <row r="192" spans="2:9" x14ac:dyDescent="0.2">
      <c r="B192" s="607" t="s">
        <v>215</v>
      </c>
      <c r="C192" s="608"/>
      <c r="D192" s="613" t="s">
        <v>216</v>
      </c>
      <c r="E192" s="614"/>
      <c r="F192" s="125" t="s">
        <v>195</v>
      </c>
      <c r="G192" s="126" t="s">
        <v>217</v>
      </c>
      <c r="H192" s="127"/>
      <c r="I192" s="615"/>
    </row>
    <row r="193" spans="2:9" x14ac:dyDescent="0.2">
      <c r="B193" s="609"/>
      <c r="C193" s="610"/>
      <c r="D193" s="617" t="s">
        <v>218</v>
      </c>
      <c r="E193" s="618"/>
      <c r="F193" s="128">
        <v>25</v>
      </c>
      <c r="G193" s="116">
        <f>I190*20%</f>
        <v>5551.2000000000007</v>
      </c>
      <c r="H193" s="129"/>
      <c r="I193" s="616"/>
    </row>
    <row r="194" spans="2:9" x14ac:dyDescent="0.2">
      <c r="B194" s="609"/>
      <c r="C194" s="610"/>
      <c r="D194" s="617" t="s">
        <v>168</v>
      </c>
      <c r="E194" s="618"/>
      <c r="F194" s="128">
        <v>5</v>
      </c>
      <c r="G194" s="116">
        <f>I190*5%</f>
        <v>1387.8000000000002</v>
      </c>
      <c r="H194" s="129"/>
      <c r="I194" s="616"/>
    </row>
    <row r="195" spans="2:9" x14ac:dyDescent="0.2">
      <c r="B195" s="609"/>
      <c r="C195" s="610"/>
      <c r="D195" s="619" t="s">
        <v>219</v>
      </c>
      <c r="E195" s="617"/>
      <c r="F195" s="128">
        <f>SUM(F193:F194)</f>
        <v>30</v>
      </c>
      <c r="G195" s="116">
        <f>SUM(G193:G194)</f>
        <v>6939.0000000000009</v>
      </c>
      <c r="H195" s="129"/>
      <c r="I195" s="616"/>
    </row>
    <row r="196" spans="2:9" ht="15" thickBot="1" x14ac:dyDescent="0.25">
      <c r="B196" s="609"/>
      <c r="C196" s="610"/>
      <c r="D196" s="130"/>
      <c r="E196" s="620" t="s">
        <v>220</v>
      </c>
      <c r="F196" s="621"/>
      <c r="G196" s="622"/>
      <c r="H196" s="281"/>
      <c r="I196" s="131">
        <f>SUM(G195:G195)</f>
        <v>6939.0000000000009</v>
      </c>
    </row>
    <row r="197" spans="2:9" ht="16.5" thickBot="1" x14ac:dyDescent="0.3">
      <c r="B197" s="611"/>
      <c r="C197" s="612"/>
      <c r="D197" s="628" t="s">
        <v>221</v>
      </c>
      <c r="E197" s="629"/>
      <c r="F197" s="630"/>
      <c r="G197" s="602">
        <f>SUM(I190+I196)</f>
        <v>34695</v>
      </c>
      <c r="H197" s="603"/>
      <c r="I197" s="604"/>
    </row>
  </sheetData>
  <mergeCells count="188">
    <mergeCell ref="B192:C197"/>
    <mergeCell ref="D192:E192"/>
    <mergeCell ref="I192:I195"/>
    <mergeCell ref="D193:E193"/>
    <mergeCell ref="D194:E194"/>
    <mergeCell ref="D195:E195"/>
    <mergeCell ref="E196:G196"/>
    <mergeCell ref="D197:F197"/>
    <mergeCell ref="G197:I197"/>
    <mergeCell ref="B179:C179"/>
    <mergeCell ref="B180:C180"/>
    <mergeCell ref="B181:C181"/>
    <mergeCell ref="B184:C184"/>
    <mergeCell ref="B185:C185"/>
    <mergeCell ref="B186:C186"/>
    <mergeCell ref="B187:C187"/>
    <mergeCell ref="F188:G188"/>
    <mergeCell ref="E190:G190"/>
    <mergeCell ref="B169:C169"/>
    <mergeCell ref="I169:I171"/>
    <mergeCell ref="B170:C170"/>
    <mergeCell ref="B171:C171"/>
    <mergeCell ref="B172:E172"/>
    <mergeCell ref="B174:C174"/>
    <mergeCell ref="B175:C175"/>
    <mergeCell ref="B176:C176"/>
    <mergeCell ref="F177:G177"/>
    <mergeCell ref="B161:I161"/>
    <mergeCell ref="C162:F162"/>
    <mergeCell ref="B163:D163"/>
    <mergeCell ref="E163:I163"/>
    <mergeCell ref="B164:D164"/>
    <mergeCell ref="E164:I166"/>
    <mergeCell ref="B166:C166"/>
    <mergeCell ref="D167:I167"/>
    <mergeCell ref="B168:C168"/>
    <mergeCell ref="E152:G152"/>
    <mergeCell ref="B154:C159"/>
    <mergeCell ref="D154:E154"/>
    <mergeCell ref="I154:I157"/>
    <mergeCell ref="D155:E155"/>
    <mergeCell ref="D156:E156"/>
    <mergeCell ref="D157:E157"/>
    <mergeCell ref="E158:G158"/>
    <mergeCell ref="D159:F159"/>
    <mergeCell ref="G159:I159"/>
    <mergeCell ref="I131:I133"/>
    <mergeCell ref="B132:C132"/>
    <mergeCell ref="B133:C133"/>
    <mergeCell ref="B134:E134"/>
    <mergeCell ref="B136:C136"/>
    <mergeCell ref="B137:C137"/>
    <mergeCell ref="B138:C138"/>
    <mergeCell ref="F139:G139"/>
    <mergeCell ref="B141:C141"/>
    <mergeCell ref="B142:C142"/>
    <mergeCell ref="B143:C143"/>
    <mergeCell ref="B146:C146"/>
    <mergeCell ref="B147:C147"/>
    <mergeCell ref="B148:C148"/>
    <mergeCell ref="B149:C149"/>
    <mergeCell ref="F150:G150"/>
    <mergeCell ref="B130:C130"/>
    <mergeCell ref="B131:C131"/>
    <mergeCell ref="B123:I123"/>
    <mergeCell ref="C124:F124"/>
    <mergeCell ref="B125:D125"/>
    <mergeCell ref="E125:I125"/>
    <mergeCell ref="B126:D126"/>
    <mergeCell ref="E126:I128"/>
    <mergeCell ref="B128:C128"/>
    <mergeCell ref="D129:I129"/>
    <mergeCell ref="D121:F121"/>
    <mergeCell ref="G121:I121"/>
    <mergeCell ref="B111:C111"/>
    <mergeCell ref="F112:G112"/>
    <mergeCell ref="E114:G114"/>
    <mergeCell ref="B116:C121"/>
    <mergeCell ref="D116:E116"/>
    <mergeCell ref="I116:I119"/>
    <mergeCell ref="D117:E117"/>
    <mergeCell ref="D118:E118"/>
    <mergeCell ref="D119:E119"/>
    <mergeCell ref="E120:G120"/>
    <mergeCell ref="B103:C103"/>
    <mergeCell ref="B104:C104"/>
    <mergeCell ref="B105:C105"/>
    <mergeCell ref="B108:C108"/>
    <mergeCell ref="B109:C109"/>
    <mergeCell ref="B110:C110"/>
    <mergeCell ref="B100:C100"/>
    <mergeCell ref="F101:G101"/>
    <mergeCell ref="B96:E96"/>
    <mergeCell ref="B98:C98"/>
    <mergeCell ref="B99:C99"/>
    <mergeCell ref="B88:D88"/>
    <mergeCell ref="E88:I90"/>
    <mergeCell ref="B90:C90"/>
    <mergeCell ref="D91:I91"/>
    <mergeCell ref="B92:C92"/>
    <mergeCell ref="B93:C93"/>
    <mergeCell ref="I93:I95"/>
    <mergeCell ref="B94:C94"/>
    <mergeCell ref="B95:C95"/>
    <mergeCell ref="D83:F83"/>
    <mergeCell ref="G83:I83"/>
    <mergeCell ref="B85:I85"/>
    <mergeCell ref="C86:F86"/>
    <mergeCell ref="B87:D87"/>
    <mergeCell ref="E87:I87"/>
    <mergeCell ref="B73:C73"/>
    <mergeCell ref="F74:G74"/>
    <mergeCell ref="E76:G76"/>
    <mergeCell ref="B78:C83"/>
    <mergeCell ref="D78:E78"/>
    <mergeCell ref="I78:I81"/>
    <mergeCell ref="D79:E79"/>
    <mergeCell ref="D80:E80"/>
    <mergeCell ref="D81:E81"/>
    <mergeCell ref="E82:G82"/>
    <mergeCell ref="B65:C65"/>
    <mergeCell ref="B66:C66"/>
    <mergeCell ref="B67:C67"/>
    <mergeCell ref="B70:C70"/>
    <mergeCell ref="B71:C71"/>
    <mergeCell ref="B72:C72"/>
    <mergeCell ref="B58:C58"/>
    <mergeCell ref="B59:C59"/>
    <mergeCell ref="B60:C60"/>
    <mergeCell ref="B61:C61"/>
    <mergeCell ref="B62:C62"/>
    <mergeCell ref="B20:C20"/>
    <mergeCell ref="B21:C21"/>
    <mergeCell ref="B22:C22"/>
    <mergeCell ref="B25:C25"/>
    <mergeCell ref="B26:C26"/>
    <mergeCell ref="B27:C27"/>
    <mergeCell ref="B16:C16"/>
    <mergeCell ref="F63:G63"/>
    <mergeCell ref="B51:E51"/>
    <mergeCell ref="B53:C53"/>
    <mergeCell ref="B54:C54"/>
    <mergeCell ref="B55:C55"/>
    <mergeCell ref="B56:C56"/>
    <mergeCell ref="B57:C57"/>
    <mergeCell ref="B43:D43"/>
    <mergeCell ref="E43:I45"/>
    <mergeCell ref="B45:C45"/>
    <mergeCell ref="D46:I46"/>
    <mergeCell ref="B47:C47"/>
    <mergeCell ref="B48:C48"/>
    <mergeCell ref="I48:I50"/>
    <mergeCell ref="B49:C49"/>
    <mergeCell ref="B50:C50"/>
    <mergeCell ref="D38:F38"/>
    <mergeCell ref="G38:I38"/>
    <mergeCell ref="B40:I40"/>
    <mergeCell ref="C41:F41"/>
    <mergeCell ref="B42:D42"/>
    <mergeCell ref="E42:I42"/>
    <mergeCell ref="B28:C28"/>
    <mergeCell ref="F29:G29"/>
    <mergeCell ref="E31:G31"/>
    <mergeCell ref="B33:C38"/>
    <mergeCell ref="D33:E33"/>
    <mergeCell ref="I33:I36"/>
    <mergeCell ref="D34:E34"/>
    <mergeCell ref="D35:E35"/>
    <mergeCell ref="D36:E36"/>
    <mergeCell ref="E37:G37"/>
    <mergeCell ref="B17:C17"/>
    <mergeCell ref="B1:I1"/>
    <mergeCell ref="C2:F2"/>
    <mergeCell ref="B3:D3"/>
    <mergeCell ref="E3:I3"/>
    <mergeCell ref="B4:D4"/>
    <mergeCell ref="E4:I6"/>
    <mergeCell ref="B6:C6"/>
    <mergeCell ref="F18:G18"/>
    <mergeCell ref="B12:E12"/>
    <mergeCell ref="B14:C14"/>
    <mergeCell ref="B15:C15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2" manualBreakCount="2">
    <brk id="39" min="1" max="8" man="1"/>
    <brk id="84" min="1" max="8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3333FF"/>
    <pageSetUpPr fitToPage="1"/>
  </sheetPr>
  <dimension ref="B1:I45"/>
  <sheetViews>
    <sheetView view="pageBreakPreview" topLeftCell="A31" zoomScale="130" zoomScaleNormal="130" zoomScaleSheetLayoutView="130" workbookViewId="0">
      <selection activeCell="A10" sqref="A10:AF47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x14ac:dyDescent="0.2">
      <c r="D1" s="132"/>
      <c r="F1" s="133"/>
    </row>
    <row r="2" spans="2:9" ht="18.75" thickBot="1" x14ac:dyDescent="0.3">
      <c r="B2" s="564" t="s">
        <v>180</v>
      </c>
      <c r="C2" s="564"/>
      <c r="D2" s="564"/>
      <c r="E2" s="564"/>
      <c r="F2" s="564"/>
      <c r="G2" s="564"/>
      <c r="H2" s="564"/>
      <c r="I2" s="564"/>
    </row>
    <row r="3" spans="2:9" ht="15.75" thickBot="1" x14ac:dyDescent="0.3">
      <c r="B3" s="59" t="s">
        <v>181</v>
      </c>
      <c r="C3" s="565" t="s">
        <v>393</v>
      </c>
      <c r="D3" s="566"/>
      <c r="E3" s="566"/>
      <c r="F3" s="567"/>
      <c r="G3" s="60" t="s">
        <v>5</v>
      </c>
      <c r="H3" s="61"/>
      <c r="I3" s="62">
        <v>45373</v>
      </c>
    </row>
    <row r="4" spans="2:9" ht="13.5" thickBot="1" x14ac:dyDescent="0.25">
      <c r="B4" s="568" t="s">
        <v>182</v>
      </c>
      <c r="C4" s="569"/>
      <c r="D4" s="570"/>
      <c r="E4" s="568" t="s">
        <v>183</v>
      </c>
      <c r="F4" s="569"/>
      <c r="G4" s="569"/>
      <c r="H4" s="569"/>
      <c r="I4" s="570"/>
    </row>
    <row r="5" spans="2:9" ht="13.5" thickBot="1" x14ac:dyDescent="0.25">
      <c r="B5" s="571"/>
      <c r="C5" s="572"/>
      <c r="D5" s="573"/>
      <c r="E5" s="574" t="s">
        <v>360</v>
      </c>
      <c r="F5" s="575"/>
      <c r="G5" s="575"/>
      <c r="H5" s="575"/>
      <c r="I5" s="576"/>
    </row>
    <row r="6" spans="2:9" ht="13.5" thickBot="1" x14ac:dyDescent="0.25">
      <c r="B6" s="63" t="s">
        <v>184</v>
      </c>
      <c r="C6" s="64" t="s">
        <v>185</v>
      </c>
      <c r="D6" s="65" t="s">
        <v>37</v>
      </c>
      <c r="E6" s="577"/>
      <c r="F6" s="578"/>
      <c r="G6" s="578"/>
      <c r="H6" s="578"/>
      <c r="I6" s="579"/>
    </row>
    <row r="7" spans="2:9" ht="13.5" thickBot="1" x14ac:dyDescent="0.25">
      <c r="B7" s="583" t="s">
        <v>186</v>
      </c>
      <c r="C7" s="584"/>
      <c r="D7" s="66"/>
      <c r="E7" s="580"/>
      <c r="F7" s="581"/>
      <c r="G7" s="581"/>
      <c r="H7" s="581"/>
      <c r="I7" s="582"/>
    </row>
    <row r="8" spans="2:9" x14ac:dyDescent="0.2">
      <c r="B8" s="67" t="s">
        <v>187</v>
      </c>
      <c r="C8" s="68"/>
      <c r="D8" s="592"/>
      <c r="E8" s="592"/>
      <c r="F8" s="592"/>
      <c r="G8" s="592"/>
      <c r="H8" s="592"/>
      <c r="I8" s="593"/>
    </row>
    <row r="9" spans="2:9" x14ac:dyDescent="0.2">
      <c r="B9" s="588" t="s">
        <v>188</v>
      </c>
      <c r="C9" s="589"/>
      <c r="D9" s="96" t="s">
        <v>189</v>
      </c>
      <c r="E9" s="134" t="s">
        <v>190</v>
      </c>
      <c r="F9" s="111" t="s">
        <v>191</v>
      </c>
      <c r="G9" s="110" t="s">
        <v>192</v>
      </c>
      <c r="H9" s="112"/>
      <c r="I9" s="100" t="s">
        <v>193</v>
      </c>
    </row>
    <row r="10" spans="2:9" x14ac:dyDescent="0.2">
      <c r="B10" s="594" t="s">
        <v>194</v>
      </c>
      <c r="C10" s="595"/>
      <c r="D10" s="91" t="s">
        <v>195</v>
      </c>
      <c r="E10" s="135">
        <v>5</v>
      </c>
      <c r="F10" s="135">
        <f>SUM(I36)</f>
        <v>15373.2</v>
      </c>
      <c r="G10" s="116">
        <f>SUM(F10*5%)</f>
        <v>768.66000000000008</v>
      </c>
      <c r="H10" s="69"/>
      <c r="I10" s="596"/>
    </row>
    <row r="11" spans="2:9" x14ac:dyDescent="0.2">
      <c r="B11" s="598" t="s">
        <v>196</v>
      </c>
      <c r="C11" s="599"/>
      <c r="D11" s="91" t="s">
        <v>195</v>
      </c>
      <c r="E11" s="135">
        <v>1.5</v>
      </c>
      <c r="F11" s="135">
        <f>SUM(I36)</f>
        <v>15373.2</v>
      </c>
      <c r="G11" s="116">
        <f>SUM(F11*1.5%)</f>
        <v>230.59800000000001</v>
      </c>
      <c r="H11" s="70"/>
      <c r="I11" s="597"/>
    </row>
    <row r="12" spans="2:9" x14ac:dyDescent="0.2">
      <c r="B12" s="600"/>
      <c r="C12" s="601"/>
      <c r="D12" s="91"/>
      <c r="E12" s="104"/>
      <c r="F12" s="104"/>
      <c r="G12" s="88">
        <f>SUM(E12*F12)</f>
        <v>0</v>
      </c>
      <c r="H12" s="70"/>
      <c r="I12" s="597"/>
    </row>
    <row r="13" spans="2:9" x14ac:dyDescent="0.2">
      <c r="B13" s="587"/>
      <c r="C13" s="585"/>
      <c r="D13" s="585"/>
      <c r="E13" s="585"/>
      <c r="F13" s="71"/>
      <c r="G13" s="72" t="s">
        <v>197</v>
      </c>
      <c r="H13" s="72"/>
      <c r="I13" s="94">
        <f>SUM(G10:G12)</f>
        <v>999.25800000000004</v>
      </c>
    </row>
    <row r="14" spans="2:9" x14ac:dyDescent="0.2">
      <c r="B14" s="73" t="s">
        <v>198</v>
      </c>
      <c r="C14" s="74"/>
      <c r="D14" s="75"/>
      <c r="E14" s="76"/>
      <c r="F14" s="77"/>
      <c r="G14" s="76"/>
      <c r="H14" s="76"/>
      <c r="I14" s="78"/>
    </row>
    <row r="15" spans="2:9" x14ac:dyDescent="0.2">
      <c r="B15" s="588" t="s">
        <v>188</v>
      </c>
      <c r="C15" s="589"/>
      <c r="D15" s="96" t="s">
        <v>199</v>
      </c>
      <c r="E15" s="110" t="s">
        <v>137</v>
      </c>
      <c r="F15" s="111" t="s">
        <v>200</v>
      </c>
      <c r="G15" s="110" t="s">
        <v>201</v>
      </c>
      <c r="H15" s="112"/>
      <c r="I15" s="100" t="s">
        <v>193</v>
      </c>
    </row>
    <row r="16" spans="2:9" x14ac:dyDescent="0.2">
      <c r="B16" s="590" t="s">
        <v>226</v>
      </c>
      <c r="C16" s="591"/>
      <c r="D16" s="79" t="s">
        <v>227</v>
      </c>
      <c r="E16" s="80">
        <f>350*0.1</f>
        <v>35</v>
      </c>
      <c r="F16" s="81">
        <v>5</v>
      </c>
      <c r="G16" s="82">
        <f>34500/50</f>
        <v>690</v>
      </c>
      <c r="H16" s="83"/>
      <c r="I16" s="90">
        <f t="shared" ref="I16:I24" si="0">(E16*(1+F16/100)) * (G16*(1+H16/100))</f>
        <v>25357.5</v>
      </c>
    </row>
    <row r="17" spans="2:9" x14ac:dyDescent="0.2">
      <c r="B17" s="590" t="s">
        <v>228</v>
      </c>
      <c r="C17" s="591"/>
      <c r="D17" s="79" t="s">
        <v>229</v>
      </c>
      <c r="E17" s="80">
        <f>180*0.1</f>
        <v>18</v>
      </c>
      <c r="F17" s="136">
        <v>5</v>
      </c>
      <c r="G17" s="82">
        <v>65</v>
      </c>
      <c r="H17" s="84"/>
      <c r="I17" s="90">
        <f t="shared" si="0"/>
        <v>1228.5000000000002</v>
      </c>
    </row>
    <row r="18" spans="2:9" x14ac:dyDescent="0.2">
      <c r="B18" s="590" t="s">
        <v>230</v>
      </c>
      <c r="C18" s="591"/>
      <c r="D18" s="79" t="s">
        <v>231</v>
      </c>
      <c r="E18" s="80">
        <f>0.56*0.1</f>
        <v>5.6000000000000008E-2</v>
      </c>
      <c r="F18" s="87">
        <v>5</v>
      </c>
      <c r="G18" s="82">
        <v>39270</v>
      </c>
      <c r="H18" s="85"/>
      <c r="I18" s="90">
        <f t="shared" si="0"/>
        <v>2309.0760000000005</v>
      </c>
    </row>
    <row r="19" spans="2:9" x14ac:dyDescent="0.2">
      <c r="B19" s="590" t="s">
        <v>232</v>
      </c>
      <c r="C19" s="591"/>
      <c r="D19" s="79" t="s">
        <v>231</v>
      </c>
      <c r="E19" s="80">
        <f>0.84*0.1</f>
        <v>8.4000000000000005E-2</v>
      </c>
      <c r="F19" s="87">
        <v>5</v>
      </c>
      <c r="G19" s="82">
        <v>102000</v>
      </c>
      <c r="H19" s="85"/>
      <c r="I19" s="90">
        <f t="shared" si="0"/>
        <v>8996.4000000000015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79"/>
      <c r="E21" s="80"/>
      <c r="F21" s="87"/>
      <c r="G21" s="82"/>
      <c r="H21" s="85"/>
      <c r="I21" s="90">
        <f t="shared" si="0"/>
        <v>0</v>
      </c>
    </row>
    <row r="22" spans="2:9" x14ac:dyDescent="0.2">
      <c r="B22" s="590"/>
      <c r="C22" s="591"/>
      <c r="D22" s="86"/>
      <c r="E22" s="80"/>
      <c r="F22" s="87"/>
      <c r="G22" s="82"/>
      <c r="H22" s="85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562"/>
      <c r="C24" s="563"/>
      <c r="D24" s="91"/>
      <c r="E24" s="80"/>
      <c r="F24" s="87"/>
      <c r="G24" s="88"/>
      <c r="H24" s="89"/>
      <c r="I24" s="90">
        <f t="shared" si="0"/>
        <v>0</v>
      </c>
    </row>
    <row r="25" spans="2:9" x14ac:dyDescent="0.2">
      <c r="B25" s="92"/>
      <c r="C25" s="76"/>
      <c r="D25" s="75"/>
      <c r="E25" s="76"/>
      <c r="F25" s="585" t="s">
        <v>202</v>
      </c>
      <c r="G25" s="586"/>
      <c r="H25" s="93"/>
      <c r="I25" s="94">
        <f>SUM(I16:I24)</f>
        <v>37891.476000000002</v>
      </c>
    </row>
    <row r="26" spans="2:9" ht="14.25" x14ac:dyDescent="0.2">
      <c r="B26" s="73" t="s">
        <v>203</v>
      </c>
      <c r="C26" s="74"/>
      <c r="D26" s="75"/>
      <c r="E26" s="76"/>
      <c r="F26" s="77"/>
      <c r="G26" s="76"/>
      <c r="H26" s="76"/>
      <c r="I26" s="95"/>
    </row>
    <row r="27" spans="2:9" x14ac:dyDescent="0.2">
      <c r="B27" s="588" t="s">
        <v>188</v>
      </c>
      <c r="C27" s="589"/>
      <c r="D27" s="96" t="s">
        <v>204</v>
      </c>
      <c r="E27" s="97" t="s">
        <v>205</v>
      </c>
      <c r="F27" s="98" t="s">
        <v>206</v>
      </c>
      <c r="G27" s="97" t="s">
        <v>207</v>
      </c>
      <c r="H27" s="99"/>
      <c r="I27" s="100" t="s">
        <v>193</v>
      </c>
    </row>
    <row r="28" spans="2:9" x14ac:dyDescent="0.2">
      <c r="B28" s="623" t="s">
        <v>233</v>
      </c>
      <c r="C28" s="624"/>
      <c r="D28" s="137">
        <f>+E18*15</f>
        <v>0.84000000000000008</v>
      </c>
      <c r="E28" s="101"/>
      <c r="F28" s="102">
        <v>1800</v>
      </c>
      <c r="G28" s="82">
        <f>+D28*F28</f>
        <v>1512.0000000000002</v>
      </c>
      <c r="H28" s="83"/>
      <c r="I28" s="103"/>
    </row>
    <row r="29" spans="2:9" x14ac:dyDescent="0.2">
      <c r="B29" s="623" t="s">
        <v>234</v>
      </c>
      <c r="C29" s="624"/>
      <c r="D29" s="137">
        <f>+E19*15</f>
        <v>1.26</v>
      </c>
      <c r="E29" s="101"/>
      <c r="F29" s="104">
        <v>1800</v>
      </c>
      <c r="G29" s="82">
        <f>+D29*F29</f>
        <v>2268</v>
      </c>
      <c r="H29" s="85"/>
      <c r="I29" s="103"/>
    </row>
    <row r="30" spans="2:9" x14ac:dyDescent="0.2">
      <c r="B30" s="105"/>
      <c r="C30" s="106"/>
      <c r="D30" s="75"/>
      <c r="E30" s="106"/>
      <c r="F30" s="107" t="s">
        <v>208</v>
      </c>
      <c r="G30" s="106"/>
      <c r="H30" s="108"/>
      <c r="I30" s="109">
        <f>SUM(G28:G29)</f>
        <v>3780</v>
      </c>
    </row>
    <row r="31" spans="2:9" ht="14.25" x14ac:dyDescent="0.2">
      <c r="B31" s="73" t="s">
        <v>209</v>
      </c>
      <c r="C31" s="76"/>
      <c r="D31" s="75"/>
      <c r="E31" s="76"/>
      <c r="F31" s="77"/>
      <c r="G31" s="76"/>
      <c r="H31" s="76"/>
      <c r="I31" s="95"/>
    </row>
    <row r="32" spans="2:9" x14ac:dyDescent="0.2">
      <c r="B32" s="588" t="s">
        <v>188</v>
      </c>
      <c r="C32" s="589"/>
      <c r="D32" s="96" t="s">
        <v>136</v>
      </c>
      <c r="E32" s="110" t="s">
        <v>137</v>
      </c>
      <c r="F32" s="111" t="s">
        <v>201</v>
      </c>
      <c r="G32" s="112" t="s">
        <v>205</v>
      </c>
      <c r="H32" s="112"/>
      <c r="I32" s="100" t="s">
        <v>193</v>
      </c>
    </row>
    <row r="33" spans="2:9" x14ac:dyDescent="0.2">
      <c r="B33" s="590" t="s">
        <v>235</v>
      </c>
      <c r="C33" s="591"/>
      <c r="D33" s="91" t="s">
        <v>211</v>
      </c>
      <c r="E33" s="88">
        <v>1</v>
      </c>
      <c r="F33" s="104">
        <f>+(80000+50000*3)*1.671</f>
        <v>384330</v>
      </c>
      <c r="G33" s="113">
        <v>0.04</v>
      </c>
      <c r="H33" s="114"/>
      <c r="I33" s="115">
        <f>SUM(F33*E33)*G33</f>
        <v>15373.2</v>
      </c>
    </row>
    <row r="34" spans="2:9" x14ac:dyDescent="0.2">
      <c r="B34" s="627"/>
      <c r="C34" s="617"/>
      <c r="D34" s="91"/>
      <c r="E34" s="116"/>
      <c r="F34" s="117"/>
      <c r="G34" s="114"/>
      <c r="H34" s="114"/>
      <c r="I34" s="94">
        <f>SUM(F34*E34)*G34</f>
        <v>0</v>
      </c>
    </row>
    <row r="35" spans="2:9" x14ac:dyDescent="0.2">
      <c r="B35" s="598"/>
      <c r="C35" s="599"/>
      <c r="D35" s="91"/>
      <c r="E35" s="118"/>
      <c r="F35" s="117"/>
      <c r="G35" s="114"/>
      <c r="H35" s="114"/>
      <c r="I35" s="94">
        <f>SUM(F35*E35)*G35</f>
        <v>0</v>
      </c>
    </row>
    <row r="36" spans="2:9" x14ac:dyDescent="0.2">
      <c r="B36" s="92"/>
      <c r="C36" s="76"/>
      <c r="D36" s="75"/>
      <c r="E36" s="76"/>
      <c r="F36" s="605" t="s">
        <v>212</v>
      </c>
      <c r="G36" s="605"/>
      <c r="H36" s="119"/>
      <c r="I36" s="94">
        <f>I33</f>
        <v>15373.2</v>
      </c>
    </row>
    <row r="37" spans="2:9" ht="13.5" thickBot="1" x14ac:dyDescent="0.25">
      <c r="B37" s="92"/>
      <c r="C37" s="76"/>
      <c r="D37" s="75"/>
      <c r="E37" s="76"/>
      <c r="F37" s="120"/>
      <c r="G37" s="119"/>
      <c r="H37" s="119"/>
      <c r="I37" s="78"/>
    </row>
    <row r="38" spans="2:9" ht="13.5" thickBot="1" x14ac:dyDescent="0.25">
      <c r="B38" s="92"/>
      <c r="C38" s="76"/>
      <c r="D38" s="75"/>
      <c r="E38" s="606" t="s">
        <v>213</v>
      </c>
      <c r="F38" s="606"/>
      <c r="G38" s="606"/>
      <c r="H38" s="121"/>
      <c r="I38" s="122">
        <f>ROUND(SUM(I13+I25+I30+I36),0)</f>
        <v>58044</v>
      </c>
    </row>
    <row r="39" spans="2:9" ht="15" thickBot="1" x14ac:dyDescent="0.25">
      <c r="B39" s="73" t="s">
        <v>214</v>
      </c>
      <c r="C39" s="76"/>
      <c r="D39" s="123"/>
      <c r="E39" s="124"/>
      <c r="F39" s="77"/>
      <c r="G39" s="76"/>
      <c r="H39" s="76"/>
      <c r="I39" s="78"/>
    </row>
    <row r="40" spans="2:9" x14ac:dyDescent="0.2">
      <c r="B40" s="607" t="s">
        <v>215</v>
      </c>
      <c r="C40" s="608"/>
      <c r="D40" s="613" t="s">
        <v>216</v>
      </c>
      <c r="E40" s="614"/>
      <c r="F40" s="125" t="s">
        <v>195</v>
      </c>
      <c r="G40" s="126" t="s">
        <v>217</v>
      </c>
      <c r="H40" s="127"/>
      <c r="I40" s="615"/>
    </row>
    <row r="41" spans="2:9" x14ac:dyDescent="0.2">
      <c r="B41" s="609"/>
      <c r="C41" s="610"/>
      <c r="D41" s="617" t="s">
        <v>218</v>
      </c>
      <c r="E41" s="618"/>
      <c r="F41" s="128">
        <v>25</v>
      </c>
      <c r="G41" s="116">
        <f>I38*20%</f>
        <v>11608.800000000001</v>
      </c>
      <c r="H41" s="129"/>
      <c r="I41" s="616"/>
    </row>
    <row r="42" spans="2:9" x14ac:dyDescent="0.2">
      <c r="B42" s="609"/>
      <c r="C42" s="610"/>
      <c r="D42" s="617" t="s">
        <v>168</v>
      </c>
      <c r="E42" s="618"/>
      <c r="F42" s="128">
        <v>5</v>
      </c>
      <c r="G42" s="116">
        <f>I38*5%</f>
        <v>2902.2000000000003</v>
      </c>
      <c r="H42" s="129"/>
      <c r="I42" s="616"/>
    </row>
    <row r="43" spans="2:9" x14ac:dyDescent="0.2">
      <c r="B43" s="609"/>
      <c r="C43" s="610"/>
      <c r="D43" s="619" t="s">
        <v>219</v>
      </c>
      <c r="E43" s="617"/>
      <c r="F43" s="128">
        <f>SUM(F41:F42)</f>
        <v>30</v>
      </c>
      <c r="G43" s="116">
        <f>SUM(G41:G42)</f>
        <v>14511.000000000002</v>
      </c>
      <c r="H43" s="129"/>
      <c r="I43" s="616"/>
    </row>
    <row r="44" spans="2:9" ht="15" thickBot="1" x14ac:dyDescent="0.25">
      <c r="B44" s="609"/>
      <c r="C44" s="610"/>
      <c r="D44" s="130"/>
      <c r="E44" s="620" t="s">
        <v>220</v>
      </c>
      <c r="F44" s="621"/>
      <c r="G44" s="622"/>
      <c r="H44" s="38"/>
      <c r="I44" s="131">
        <f>SUM(G43:G43)</f>
        <v>14511.000000000002</v>
      </c>
    </row>
    <row r="45" spans="2:9" ht="16.5" thickBot="1" x14ac:dyDescent="0.3">
      <c r="B45" s="611"/>
      <c r="C45" s="612"/>
      <c r="D45" s="628" t="s">
        <v>221</v>
      </c>
      <c r="E45" s="629"/>
      <c r="F45" s="630"/>
      <c r="G45" s="602">
        <f>SUM(I38+I44)</f>
        <v>72555</v>
      </c>
      <c r="H45" s="603"/>
      <c r="I45" s="604"/>
    </row>
  </sheetData>
  <mergeCells count="43">
    <mergeCell ref="D45:F45"/>
    <mergeCell ref="G45:I45"/>
    <mergeCell ref="B35:C35"/>
    <mergeCell ref="F36:G36"/>
    <mergeCell ref="E38:G38"/>
    <mergeCell ref="B40:C45"/>
    <mergeCell ref="D40:E40"/>
    <mergeCell ref="I40:I43"/>
    <mergeCell ref="D41:E41"/>
    <mergeCell ref="D42:E42"/>
    <mergeCell ref="D43:E43"/>
    <mergeCell ref="E44:G44"/>
    <mergeCell ref="B34:C34"/>
    <mergeCell ref="B20:C20"/>
    <mergeCell ref="B21:C21"/>
    <mergeCell ref="B22:C22"/>
    <mergeCell ref="B23:C23"/>
    <mergeCell ref="B24:C24"/>
    <mergeCell ref="B27:C27"/>
    <mergeCell ref="B28:C28"/>
    <mergeCell ref="B29:C29"/>
    <mergeCell ref="B32:C32"/>
    <mergeCell ref="B33:C33"/>
    <mergeCell ref="F25:G25"/>
    <mergeCell ref="B13:E13"/>
    <mergeCell ref="B15:C15"/>
    <mergeCell ref="B16:C16"/>
    <mergeCell ref="B17:C17"/>
    <mergeCell ref="B18:C18"/>
    <mergeCell ref="B19:C19"/>
    <mergeCell ref="B10:C10"/>
    <mergeCell ref="I10:I12"/>
    <mergeCell ref="B11:C11"/>
    <mergeCell ref="B12:C12"/>
    <mergeCell ref="B2:I2"/>
    <mergeCell ref="C3:F3"/>
    <mergeCell ref="B4:D4"/>
    <mergeCell ref="E4:I4"/>
    <mergeCell ref="B5:D5"/>
    <mergeCell ref="E5:I7"/>
    <mergeCell ref="B7:C7"/>
    <mergeCell ref="D8:I8"/>
    <mergeCell ref="B9:C9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3333FF"/>
    <pageSetUpPr fitToPage="1"/>
  </sheetPr>
  <dimension ref="B1:I134"/>
  <sheetViews>
    <sheetView view="pageBreakPreview" topLeftCell="A86" zoomScale="130" zoomScaleNormal="130" zoomScaleSheetLayoutView="130" workbookViewId="0">
      <selection activeCell="G78" sqref="G78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45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 t="s">
        <v>41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26903.100000000002</v>
      </c>
      <c r="G9" s="116">
        <f>SUM(F9*5%)</f>
        <v>1345.1550000000002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26903.100000000002</v>
      </c>
      <c r="G10" s="116">
        <f>SUM(F10*1.5%)</f>
        <v>403.54650000000004</v>
      </c>
      <c r="H10" s="70"/>
      <c r="I10" s="597"/>
    </row>
    <row r="11" spans="2:9" x14ac:dyDescent="0.2">
      <c r="B11" s="600" t="s">
        <v>223</v>
      </c>
      <c r="C11" s="601"/>
      <c r="D11" s="91" t="s">
        <v>224</v>
      </c>
      <c r="E11" s="104">
        <v>1</v>
      </c>
      <c r="F11" s="104">
        <v>1010</v>
      </c>
      <c r="G11" s="88">
        <f>SUM(E11*F11)</f>
        <v>1010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2758.7015000000001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ht="22.5" customHeight="1" x14ac:dyDescent="0.2">
      <c r="B15" s="590" t="s">
        <v>236</v>
      </c>
      <c r="C15" s="591"/>
      <c r="D15" s="79" t="s">
        <v>237</v>
      </c>
      <c r="E15" s="80">
        <v>0.6</v>
      </c>
      <c r="F15" s="81">
        <v>3</v>
      </c>
      <c r="G15" s="82">
        <f>28960*1.5</f>
        <v>43440</v>
      </c>
      <c r="H15" s="83"/>
      <c r="I15" s="90">
        <f t="shared" ref="I15:I23" si="0">(E15*(1+F15/100)) * (G15*(1+H15/100))</f>
        <v>26845.919999999998</v>
      </c>
    </row>
    <row r="16" spans="2:9" x14ac:dyDescent="0.2">
      <c r="B16" s="590" t="s">
        <v>238</v>
      </c>
      <c r="C16" s="591"/>
      <c r="D16" s="79" t="s">
        <v>237</v>
      </c>
      <c r="E16" s="80">
        <v>1.65</v>
      </c>
      <c r="F16" s="136">
        <v>3</v>
      </c>
      <c r="G16" s="82">
        <v>580</v>
      </c>
      <c r="H16" s="84"/>
      <c r="I16" s="90">
        <f t="shared" si="0"/>
        <v>985.71</v>
      </c>
    </row>
    <row r="17" spans="2:9" x14ac:dyDescent="0.2">
      <c r="B17" s="590" t="s">
        <v>239</v>
      </c>
      <c r="C17" s="591"/>
      <c r="D17" s="79" t="s">
        <v>237</v>
      </c>
      <c r="E17" s="80">
        <v>1.28</v>
      </c>
      <c r="F17" s="87">
        <v>3</v>
      </c>
      <c r="G17" s="82">
        <v>545</v>
      </c>
      <c r="H17" s="85"/>
      <c r="I17" s="90">
        <f t="shared" si="0"/>
        <v>718.52800000000002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28550.157999999996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8.5" customHeight="1" x14ac:dyDescent="0.2">
      <c r="B32" s="590" t="s">
        <v>235</v>
      </c>
      <c r="C32" s="591"/>
      <c r="D32" s="91" t="s">
        <v>211</v>
      </c>
      <c r="E32" s="88">
        <v>1</v>
      </c>
      <c r="F32" s="104">
        <f>+(80000+50000*3)*1.671</f>
        <v>384330</v>
      </c>
      <c r="G32" s="113">
        <v>7.0000000000000007E-2</v>
      </c>
      <c r="H32" s="114"/>
      <c r="I32" s="115">
        <f>SUM(F32*E32)*G32</f>
        <v>26903.100000000002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26903.100000000002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58212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11642.400000000001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2910.6000000000004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14553.000000000002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14553.000000000002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72765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tr">
        <f>+'P. Adecuación'!C16</f>
        <v>IMPERMEABILIZACION DE PLACA EN MANTO EDIL 3 MM STANDAR INCL. IMPRIMANTE Y PINTURA BITUMINOSA</v>
      </c>
      <c r="F49" s="575"/>
      <c r="G49" s="575"/>
      <c r="H49" s="575"/>
      <c r="I49" s="576"/>
    </row>
    <row r="50" spans="2:9" ht="13.5" thickBot="1" x14ac:dyDescent="0.25">
      <c r="B50" s="63" t="s">
        <v>184</v>
      </c>
      <c r="C50" s="64" t="s">
        <v>185</v>
      </c>
      <c r="D50" s="65" t="s">
        <v>46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11529.9</v>
      </c>
      <c r="G54" s="116">
        <f>SUM(F54*5%)</f>
        <v>576.495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11529.9</v>
      </c>
      <c r="G55" s="116">
        <f>SUM(F55*1.5%)</f>
        <v>172.9485</v>
      </c>
      <c r="H55" s="70"/>
      <c r="I55" s="597"/>
    </row>
    <row r="56" spans="2:9" x14ac:dyDescent="0.2">
      <c r="B56" s="600" t="s">
        <v>223</v>
      </c>
      <c r="C56" s="601"/>
      <c r="D56" s="91" t="s">
        <v>224</v>
      </c>
      <c r="E56" s="104">
        <v>1</v>
      </c>
      <c r="F56" s="104">
        <v>1010</v>
      </c>
      <c r="G56" s="88">
        <f>SUM(E56*F56)</f>
        <v>1010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1759.4434999999999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590" t="s">
        <v>240</v>
      </c>
      <c r="C60" s="591"/>
      <c r="D60" s="79" t="s">
        <v>20</v>
      </c>
      <c r="E60" s="80">
        <v>1</v>
      </c>
      <c r="F60" s="81">
        <v>2</v>
      </c>
      <c r="G60" s="82">
        <f>18017*1.2</f>
        <v>21620.399999999998</v>
      </c>
      <c r="H60" s="83"/>
      <c r="I60" s="90">
        <f t="shared" ref="I60:I68" si="1">(E60*(1+F60/100)) * (G60*(1+H60/100))</f>
        <v>22052.807999999997</v>
      </c>
    </row>
    <row r="61" spans="2:9" ht="21.75" customHeight="1" x14ac:dyDescent="0.2">
      <c r="B61" s="590" t="s">
        <v>241</v>
      </c>
      <c r="C61" s="591"/>
      <c r="D61" s="79" t="s">
        <v>227</v>
      </c>
      <c r="E61" s="80">
        <v>0.11</v>
      </c>
      <c r="F61" s="136">
        <v>2</v>
      </c>
      <c r="G61" s="82">
        <f>25249*1.2</f>
        <v>30298.799999999999</v>
      </c>
      <c r="H61" s="84"/>
      <c r="I61" s="90">
        <f t="shared" si="1"/>
        <v>3399.5253600000001</v>
      </c>
    </row>
    <row r="62" spans="2:9" ht="21.75" customHeight="1" x14ac:dyDescent="0.2">
      <c r="B62" s="590" t="s">
        <v>242</v>
      </c>
      <c r="C62" s="591"/>
      <c r="D62" s="79" t="s">
        <v>227</v>
      </c>
      <c r="E62" s="80">
        <v>0.8</v>
      </c>
      <c r="F62" s="87">
        <v>2</v>
      </c>
      <c r="G62" s="82">
        <f>6842*1.2</f>
        <v>8210.4</v>
      </c>
      <c r="H62" s="85"/>
      <c r="I62" s="90">
        <f t="shared" si="1"/>
        <v>6699.6864000000005</v>
      </c>
    </row>
    <row r="63" spans="2:9" x14ac:dyDescent="0.2">
      <c r="B63" s="590" t="s">
        <v>408</v>
      </c>
      <c r="C63" s="591"/>
      <c r="D63" s="79" t="s">
        <v>195</v>
      </c>
      <c r="E63" s="80">
        <v>0.05</v>
      </c>
      <c r="F63" s="87">
        <v>2</v>
      </c>
      <c r="G63" s="82">
        <v>45000</v>
      </c>
      <c r="H63" s="85"/>
      <c r="I63" s="90">
        <f t="shared" si="1"/>
        <v>2295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34447.019759999996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24.75" customHeight="1" x14ac:dyDescent="0.2">
      <c r="B77" s="590" t="s">
        <v>235</v>
      </c>
      <c r="C77" s="591"/>
      <c r="D77" s="91" t="s">
        <v>211</v>
      </c>
      <c r="E77" s="88">
        <v>1</v>
      </c>
      <c r="F77" s="104">
        <f>+(80000+50000*3)*1.671</f>
        <v>384330</v>
      </c>
      <c r="G77" s="113">
        <v>0.03</v>
      </c>
      <c r="H77" s="114"/>
      <c r="I77" s="115">
        <f>SUM(F77*E77)*G77</f>
        <v>11529.9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11529.9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47736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9547.2000000000007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2386.8000000000002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11934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11934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59670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48</v>
      </c>
      <c r="F94" s="575"/>
      <c r="G94" s="575"/>
      <c r="H94" s="575"/>
      <c r="I94" s="576"/>
    </row>
    <row r="95" spans="2:9" ht="13.5" thickBot="1" x14ac:dyDescent="0.25">
      <c r="B95" s="63" t="s">
        <v>225</v>
      </c>
      <c r="C95" s="64" t="s">
        <v>185</v>
      </c>
      <c r="D95" s="65" t="s">
        <v>47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16292.25</v>
      </c>
      <c r="G99" s="116">
        <f>SUM(F99*5%)</f>
        <v>814.61250000000007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16292.25</v>
      </c>
      <c r="G100" s="116">
        <f>SUM(F100*1.5%)</f>
        <v>244.38374999999999</v>
      </c>
      <c r="H100" s="70"/>
      <c r="I100" s="597"/>
    </row>
    <row r="101" spans="2:9" x14ac:dyDescent="0.2">
      <c r="B101" s="600"/>
      <c r="C101" s="601"/>
      <c r="D101" s="91"/>
      <c r="E101" s="104"/>
      <c r="F101" s="104"/>
      <c r="G101" s="88">
        <f>SUM(E101*F101)</f>
        <v>0</v>
      </c>
      <c r="H101" s="70"/>
      <c r="I101" s="597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SUM(G99:G101)</f>
        <v>1058.9962500000001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 t="s">
        <v>243</v>
      </c>
      <c r="C105" s="591"/>
      <c r="D105" s="79" t="s">
        <v>231</v>
      </c>
      <c r="E105" s="80">
        <v>8.0000000000000002E-3</v>
      </c>
      <c r="F105" s="81">
        <v>3</v>
      </c>
      <c r="G105" s="82">
        <f>348454*1.2</f>
        <v>418144.8</v>
      </c>
      <c r="H105" s="83"/>
      <c r="I105" s="90">
        <f t="shared" ref="I105:I113" si="2">(E105*(1+F105/100)) * (G105*(1+H105/100))</f>
        <v>3445.5131520000004</v>
      </c>
    </row>
    <row r="106" spans="2:9" x14ac:dyDescent="0.2">
      <c r="B106" s="590"/>
      <c r="C106" s="591"/>
      <c r="D106" s="79"/>
      <c r="E106" s="80"/>
      <c r="F106" s="136"/>
      <c r="G106" s="82"/>
      <c r="H106" s="84"/>
      <c r="I106" s="90">
        <f t="shared" si="2"/>
        <v>0</v>
      </c>
    </row>
    <row r="107" spans="2:9" x14ac:dyDescent="0.2">
      <c r="B107" s="590"/>
      <c r="C107" s="591"/>
      <c r="D107" s="79"/>
      <c r="E107" s="80"/>
      <c r="F107" s="87"/>
      <c r="G107" s="82"/>
      <c r="H107" s="85"/>
      <c r="I107" s="90">
        <f t="shared" si="2"/>
        <v>0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3445.5131520000004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22.5" customHeight="1" x14ac:dyDescent="0.2">
      <c r="B122" s="590" t="s">
        <v>244</v>
      </c>
      <c r="C122" s="591"/>
      <c r="D122" s="91" t="s">
        <v>211</v>
      </c>
      <c r="E122" s="88">
        <v>1</v>
      </c>
      <c r="F122" s="104">
        <f>+(80000+50000*1)*1.671</f>
        <v>217230</v>
      </c>
      <c r="G122" s="113">
        <v>7.4999999999999997E-2</v>
      </c>
      <c r="H122" s="114"/>
      <c r="I122" s="115">
        <f>SUM(F122*E122)*G122</f>
        <v>16292.25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16292.25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20797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4159.4000000000005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1039.8500000000001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5199.2500000000009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5199.2500000000009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25996.25</v>
      </c>
      <c r="H134" s="603"/>
      <c r="I134" s="604"/>
    </row>
  </sheetData>
  <mergeCells count="129">
    <mergeCell ref="D134:F134"/>
    <mergeCell ref="G134:I134"/>
    <mergeCell ref="B124:C124"/>
    <mergeCell ref="F125:G125"/>
    <mergeCell ref="E127:G127"/>
    <mergeCell ref="B129:C134"/>
    <mergeCell ref="D129:E129"/>
    <mergeCell ref="I129:I132"/>
    <mergeCell ref="D130:E130"/>
    <mergeCell ref="D131:E131"/>
    <mergeCell ref="D132:E132"/>
    <mergeCell ref="E133:G133"/>
    <mergeCell ref="B116:C116"/>
    <mergeCell ref="B117:C117"/>
    <mergeCell ref="B118:C118"/>
    <mergeCell ref="B121:C121"/>
    <mergeCell ref="B122:C122"/>
    <mergeCell ref="B123:C123"/>
    <mergeCell ref="B109:C109"/>
    <mergeCell ref="B110:C110"/>
    <mergeCell ref="B111:C111"/>
    <mergeCell ref="B112:C112"/>
    <mergeCell ref="B113:C113"/>
    <mergeCell ref="F114:G114"/>
    <mergeCell ref="B102:E102"/>
    <mergeCell ref="B104:C104"/>
    <mergeCell ref="B105:C105"/>
    <mergeCell ref="B106:C106"/>
    <mergeCell ref="B107:C107"/>
    <mergeCell ref="B108:C108"/>
    <mergeCell ref="B94:D94"/>
    <mergeCell ref="E94:I96"/>
    <mergeCell ref="B96:C96"/>
    <mergeCell ref="D97:I97"/>
    <mergeCell ref="B98:C98"/>
    <mergeCell ref="B99:C99"/>
    <mergeCell ref="I99:I101"/>
    <mergeCell ref="B100:C100"/>
    <mergeCell ref="B101:C101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3" manualBreakCount="3">
    <brk id="45" min="1" max="8" man="1"/>
    <brk id="90" min="1" max="8" man="1"/>
    <brk id="134" min="1" max="8" man="1"/>
  </row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3333FF"/>
    <pageSetUpPr fitToPage="1"/>
  </sheetPr>
  <dimension ref="B1:I453"/>
  <sheetViews>
    <sheetView view="pageBreakPreview" topLeftCell="A445" zoomScale="130" zoomScaleNormal="130" zoomScaleSheetLayoutView="130" workbookViewId="0">
      <selection activeCell="D10" sqref="D10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147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/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24062.400000000001</v>
      </c>
      <c r="G9" s="116">
        <f>SUM(F9*5%)</f>
        <v>1203.1200000000001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24062.400000000001</v>
      </c>
      <c r="G10" s="116">
        <f>SUM(F10*1.5%)</f>
        <v>360.93600000000004</v>
      </c>
      <c r="H10" s="70"/>
      <c r="I10" s="597"/>
    </row>
    <row r="11" spans="2:9" x14ac:dyDescent="0.2">
      <c r="B11" s="600" t="s">
        <v>223</v>
      </c>
      <c r="C11" s="601"/>
      <c r="D11" s="91" t="s">
        <v>224</v>
      </c>
      <c r="E11" s="104">
        <v>0.4</v>
      </c>
      <c r="F11" s="104">
        <v>1010</v>
      </c>
      <c r="G11" s="88">
        <f>SUM(E11*F11)</f>
        <v>404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1968.056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243</v>
      </c>
      <c r="C15" s="591"/>
      <c r="D15" s="79" t="s">
        <v>231</v>
      </c>
      <c r="E15" s="80">
        <v>0.02</v>
      </c>
      <c r="F15" s="81">
        <v>3</v>
      </c>
      <c r="G15" s="82">
        <f>348454*1.2</f>
        <v>418144.8</v>
      </c>
      <c r="H15" s="83"/>
      <c r="I15" s="90">
        <f t="shared" ref="I15:I23" si="0">(E15*(1+F15/100)) * (G15*(1+H15/100))</f>
        <v>8613.7828800000007</v>
      </c>
    </row>
    <row r="16" spans="2:9" x14ac:dyDescent="0.2">
      <c r="B16" s="590" t="s">
        <v>246</v>
      </c>
      <c r="C16" s="591"/>
      <c r="D16" s="79" t="s">
        <v>237</v>
      </c>
      <c r="E16" s="80">
        <v>13</v>
      </c>
      <c r="F16" s="136"/>
      <c r="G16" s="82">
        <f>3300*1.2</f>
        <v>3960</v>
      </c>
      <c r="H16" s="84"/>
      <c r="I16" s="90">
        <f t="shared" si="0"/>
        <v>51480</v>
      </c>
    </row>
    <row r="17" spans="2:9" x14ac:dyDescent="0.2">
      <c r="B17" s="590"/>
      <c r="C17" s="591"/>
      <c r="D17" s="79"/>
      <c r="E17" s="80"/>
      <c r="F17" s="87"/>
      <c r="G17" s="82"/>
      <c r="H17" s="85"/>
      <c r="I17" s="90">
        <f t="shared" si="0"/>
        <v>0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60093.782879999999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8.5" customHeight="1" x14ac:dyDescent="0.2">
      <c r="B32" s="590" t="s">
        <v>210</v>
      </c>
      <c r="C32" s="591"/>
      <c r="D32" s="91" t="s">
        <v>211</v>
      </c>
      <c r="E32" s="88">
        <v>1</v>
      </c>
      <c r="F32" s="104">
        <f>+(80000+50000*2)*1.671</f>
        <v>300780</v>
      </c>
      <c r="G32" s="113">
        <v>0.08</v>
      </c>
      <c r="H32" s="114"/>
      <c r="I32" s="115">
        <f>SUM(F32*E32)*G32</f>
        <v>24062.400000000001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24062.400000000001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86124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17224.8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4306.2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21531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21531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107655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149</v>
      </c>
      <c r="F49" s="575"/>
      <c r="G49" s="575"/>
      <c r="H49" s="575"/>
      <c r="I49" s="576"/>
    </row>
    <row r="50" spans="2:9" ht="13.5" thickBot="1" x14ac:dyDescent="0.25">
      <c r="B50" s="63" t="s">
        <v>184</v>
      </c>
      <c r="C50" s="64" t="s">
        <v>185</v>
      </c>
      <c r="D50" s="65"/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30078</v>
      </c>
      <c r="G54" s="116">
        <f>SUM(F54*5%)</f>
        <v>1503.9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30078</v>
      </c>
      <c r="G55" s="116">
        <f>SUM(F55*1.5%)</f>
        <v>451.16999999999996</v>
      </c>
      <c r="H55" s="70"/>
      <c r="I55" s="597"/>
    </row>
    <row r="56" spans="2:9" x14ac:dyDescent="0.2">
      <c r="B56" s="600" t="s">
        <v>223</v>
      </c>
      <c r="C56" s="601"/>
      <c r="D56" s="91" t="s">
        <v>224</v>
      </c>
      <c r="E56" s="104">
        <v>0.4</v>
      </c>
      <c r="F56" s="104">
        <v>1010</v>
      </c>
      <c r="G56" s="88">
        <f>SUM(E56*F56)</f>
        <v>404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2359.0700000000002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590" t="s">
        <v>243</v>
      </c>
      <c r="C60" s="591"/>
      <c r="D60" s="79" t="s">
        <v>231</v>
      </c>
      <c r="E60" s="80">
        <v>0.03</v>
      </c>
      <c r="F60" s="81">
        <v>3</v>
      </c>
      <c r="G60" s="82">
        <f>348454*1.2</f>
        <v>418144.8</v>
      </c>
      <c r="H60" s="83"/>
      <c r="I60" s="90">
        <f t="shared" ref="I60:I68" si="1">(E60*(1+F60/100)) * (G60*(1+H60/100))</f>
        <v>12920.67432</v>
      </c>
    </row>
    <row r="61" spans="2:9" x14ac:dyDescent="0.2">
      <c r="B61" s="590" t="s">
        <v>247</v>
      </c>
      <c r="C61" s="591"/>
      <c r="D61" s="79" t="s">
        <v>237</v>
      </c>
      <c r="E61" s="80">
        <v>50</v>
      </c>
      <c r="F61" s="136"/>
      <c r="G61" s="82">
        <f>1100*1.2</f>
        <v>1320</v>
      </c>
      <c r="H61" s="84"/>
      <c r="I61" s="90">
        <f t="shared" si="1"/>
        <v>66000</v>
      </c>
    </row>
    <row r="62" spans="2:9" x14ac:dyDescent="0.2">
      <c r="B62" s="590"/>
      <c r="C62" s="591"/>
      <c r="D62" s="79"/>
      <c r="E62" s="80"/>
      <c r="F62" s="87"/>
      <c r="G62" s="82"/>
      <c r="H62" s="85"/>
      <c r="I62" s="90">
        <f t="shared" si="1"/>
        <v>0</v>
      </c>
    </row>
    <row r="63" spans="2:9" x14ac:dyDescent="0.2">
      <c r="B63" s="590"/>
      <c r="C63" s="591"/>
      <c r="D63" s="79"/>
      <c r="E63" s="80"/>
      <c r="F63" s="87"/>
      <c r="G63" s="82"/>
      <c r="H63" s="85"/>
      <c r="I63" s="90">
        <f t="shared" si="1"/>
        <v>0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78920.674320000006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22.5" customHeight="1" x14ac:dyDescent="0.2">
      <c r="B77" s="590" t="s">
        <v>210</v>
      </c>
      <c r="C77" s="591"/>
      <c r="D77" s="91" t="s">
        <v>211</v>
      </c>
      <c r="E77" s="88">
        <v>1</v>
      </c>
      <c r="F77" s="104">
        <f>+(80000+50000*2)*1.671</f>
        <v>300780</v>
      </c>
      <c r="G77" s="113">
        <v>0.1</v>
      </c>
      <c r="H77" s="114"/>
      <c r="I77" s="115">
        <f>SUM(F77*E77)*G77</f>
        <v>30078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30078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111358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22271.600000000002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5567.9000000000005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27839.500000000004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27839.500000000004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139197.5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248</v>
      </c>
      <c r="F94" s="575"/>
      <c r="G94" s="575"/>
      <c r="H94" s="575"/>
      <c r="I94" s="576"/>
    </row>
    <row r="95" spans="2:9" ht="13.5" thickBot="1" x14ac:dyDescent="0.25">
      <c r="B95" s="63" t="s">
        <v>249</v>
      </c>
      <c r="C95" s="64" t="s">
        <v>185</v>
      </c>
      <c r="D95" s="65"/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SUM(I127)</f>
        <v>384330</v>
      </c>
      <c r="G99" s="116">
        <f>SUM(F99*5%)</f>
        <v>19216.5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SUM(I127)</f>
        <v>384330</v>
      </c>
      <c r="G100" s="116">
        <f>SUM(F100*1.5%)</f>
        <v>5764.95</v>
      </c>
      <c r="H100" s="70"/>
      <c r="I100" s="597"/>
    </row>
    <row r="101" spans="2:9" x14ac:dyDescent="0.2">
      <c r="B101" s="600" t="s">
        <v>223</v>
      </c>
      <c r="C101" s="601"/>
      <c r="D101" s="91" t="s">
        <v>224</v>
      </c>
      <c r="E101" s="104">
        <v>5</v>
      </c>
      <c r="F101" s="104">
        <v>1010</v>
      </c>
      <c r="G101" s="88">
        <f>SUM(E101*F101)</f>
        <v>5050</v>
      </c>
      <c r="H101" s="70"/>
      <c r="I101" s="597"/>
    </row>
    <row r="102" spans="2:9" x14ac:dyDescent="0.2">
      <c r="B102" s="600" t="s">
        <v>250</v>
      </c>
      <c r="C102" s="601"/>
      <c r="D102" s="91" t="s">
        <v>237</v>
      </c>
      <c r="E102" s="104">
        <v>1</v>
      </c>
      <c r="F102" s="104">
        <v>80000</v>
      </c>
      <c r="G102" s="88">
        <f>SUM(E102*F102)</f>
        <v>80000</v>
      </c>
      <c r="H102" s="70"/>
      <c r="I102" s="597"/>
    </row>
    <row r="103" spans="2:9" x14ac:dyDescent="0.2">
      <c r="B103" s="600" t="s">
        <v>251</v>
      </c>
      <c r="C103" s="601"/>
      <c r="D103" s="91" t="s">
        <v>224</v>
      </c>
      <c r="E103" s="104">
        <v>0.25</v>
      </c>
      <c r="F103" s="104">
        <v>90000</v>
      </c>
      <c r="G103" s="88">
        <f>SUM(E103*F103)</f>
        <v>22500</v>
      </c>
      <c r="H103" s="89"/>
      <c r="I103" s="138"/>
    </row>
    <row r="104" spans="2:9" x14ac:dyDescent="0.2">
      <c r="B104" s="587"/>
      <c r="C104" s="585"/>
      <c r="D104" s="585"/>
      <c r="E104" s="585"/>
      <c r="F104" s="71"/>
      <c r="G104" s="72" t="s">
        <v>197</v>
      </c>
      <c r="H104" s="72"/>
      <c r="I104" s="94">
        <f>SUM(G99:H103)</f>
        <v>132531.45000000001</v>
      </c>
    </row>
    <row r="105" spans="2:9" x14ac:dyDescent="0.2">
      <c r="B105" s="73" t="s">
        <v>198</v>
      </c>
      <c r="C105" s="74"/>
      <c r="D105" s="75"/>
      <c r="E105" s="76"/>
      <c r="F105" s="77"/>
      <c r="G105" s="76"/>
      <c r="H105" s="76"/>
      <c r="I105" s="78"/>
    </row>
    <row r="106" spans="2:9" x14ac:dyDescent="0.2">
      <c r="B106" s="588" t="s">
        <v>188</v>
      </c>
      <c r="C106" s="589"/>
      <c r="D106" s="96" t="s">
        <v>199</v>
      </c>
      <c r="E106" s="110" t="s">
        <v>137</v>
      </c>
      <c r="F106" s="111" t="s">
        <v>200</v>
      </c>
      <c r="G106" s="110" t="s">
        <v>201</v>
      </c>
      <c r="H106" s="112"/>
      <c r="I106" s="100" t="s">
        <v>193</v>
      </c>
    </row>
    <row r="107" spans="2:9" x14ac:dyDescent="0.2">
      <c r="B107" s="590" t="s">
        <v>226</v>
      </c>
      <c r="C107" s="591"/>
      <c r="D107" s="79" t="s">
        <v>227</v>
      </c>
      <c r="E107" s="80">
        <f>350*1</f>
        <v>350</v>
      </c>
      <c r="F107" s="81">
        <v>5</v>
      </c>
      <c r="G107" s="82">
        <f>34500/50</f>
        <v>690</v>
      </c>
      <c r="H107" s="83"/>
      <c r="I107" s="90">
        <f t="shared" ref="I107:I115" si="2">(E107*(1+F107/100)) * (G107*(1+H107/100))</f>
        <v>253575</v>
      </c>
    </row>
    <row r="108" spans="2:9" x14ac:dyDescent="0.2">
      <c r="B108" s="590" t="s">
        <v>228</v>
      </c>
      <c r="C108" s="591"/>
      <c r="D108" s="79" t="s">
        <v>229</v>
      </c>
      <c r="E108" s="80">
        <f>180*1</f>
        <v>180</v>
      </c>
      <c r="F108" s="136">
        <v>5</v>
      </c>
      <c r="G108" s="82">
        <v>65</v>
      </c>
      <c r="H108" s="84"/>
      <c r="I108" s="90">
        <f t="shared" si="2"/>
        <v>12285</v>
      </c>
    </row>
    <row r="109" spans="2:9" x14ac:dyDescent="0.2">
      <c r="B109" s="590" t="s">
        <v>230</v>
      </c>
      <c r="C109" s="591"/>
      <c r="D109" s="79" t="s">
        <v>231</v>
      </c>
      <c r="E109" s="80">
        <f>0.56*1</f>
        <v>0.56000000000000005</v>
      </c>
      <c r="F109" s="87">
        <v>5</v>
      </c>
      <c r="G109" s="82">
        <v>39270</v>
      </c>
      <c r="H109" s="85"/>
      <c r="I109" s="90">
        <f t="shared" si="2"/>
        <v>23090.760000000002</v>
      </c>
    </row>
    <row r="110" spans="2:9" x14ac:dyDescent="0.2">
      <c r="B110" s="590" t="s">
        <v>232</v>
      </c>
      <c r="C110" s="591"/>
      <c r="D110" s="79" t="s">
        <v>231</v>
      </c>
      <c r="E110" s="80">
        <f>0.84*1</f>
        <v>0.84</v>
      </c>
      <c r="F110" s="87">
        <v>5</v>
      </c>
      <c r="G110" s="82">
        <v>102000</v>
      </c>
      <c r="H110" s="85"/>
      <c r="I110" s="90">
        <f t="shared" si="2"/>
        <v>89964</v>
      </c>
    </row>
    <row r="111" spans="2:9" x14ac:dyDescent="0.2">
      <c r="B111" s="590"/>
      <c r="C111" s="591"/>
      <c r="D111" s="79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90"/>
      <c r="C112" s="591"/>
      <c r="D112" s="79"/>
      <c r="E112" s="80"/>
      <c r="F112" s="87"/>
      <c r="G112" s="82"/>
      <c r="H112" s="85"/>
      <c r="I112" s="90">
        <f t="shared" si="2"/>
        <v>0</v>
      </c>
    </row>
    <row r="113" spans="2:9" x14ac:dyDescent="0.2">
      <c r="B113" s="590"/>
      <c r="C113" s="591"/>
      <c r="D113" s="86"/>
      <c r="E113" s="80"/>
      <c r="F113" s="87"/>
      <c r="G113" s="82"/>
      <c r="H113" s="85"/>
      <c r="I113" s="90">
        <f t="shared" si="2"/>
        <v>0</v>
      </c>
    </row>
    <row r="114" spans="2:9" x14ac:dyDescent="0.2">
      <c r="B114" s="562"/>
      <c r="C114" s="563"/>
      <c r="D114" s="91"/>
      <c r="E114" s="80"/>
      <c r="F114" s="87"/>
      <c r="G114" s="88"/>
      <c r="H114" s="89"/>
      <c r="I114" s="90">
        <f t="shared" si="2"/>
        <v>0</v>
      </c>
    </row>
    <row r="115" spans="2:9" x14ac:dyDescent="0.2">
      <c r="B115" s="562"/>
      <c r="C115" s="563"/>
      <c r="D115" s="91"/>
      <c r="E115" s="80"/>
      <c r="F115" s="87"/>
      <c r="G115" s="88"/>
      <c r="H115" s="89"/>
      <c r="I115" s="90">
        <f t="shared" si="2"/>
        <v>0</v>
      </c>
    </row>
    <row r="116" spans="2:9" x14ac:dyDescent="0.2">
      <c r="B116" s="92"/>
      <c r="C116" s="76"/>
      <c r="D116" s="75"/>
      <c r="E116" s="76"/>
      <c r="F116" s="585" t="s">
        <v>202</v>
      </c>
      <c r="G116" s="586"/>
      <c r="H116" s="93"/>
      <c r="I116" s="94">
        <f>SUM(I107:I115)</f>
        <v>378914.76</v>
      </c>
    </row>
    <row r="117" spans="2:9" ht="14.25" x14ac:dyDescent="0.2">
      <c r="B117" s="73" t="s">
        <v>203</v>
      </c>
      <c r="C117" s="74"/>
      <c r="D117" s="75"/>
      <c r="E117" s="76"/>
      <c r="F117" s="77"/>
      <c r="G117" s="76"/>
      <c r="H117" s="76"/>
      <c r="I117" s="95"/>
    </row>
    <row r="118" spans="2:9" x14ac:dyDescent="0.2">
      <c r="B118" s="588" t="s">
        <v>188</v>
      </c>
      <c r="C118" s="589"/>
      <c r="D118" s="96" t="s">
        <v>204</v>
      </c>
      <c r="E118" s="97" t="s">
        <v>205</v>
      </c>
      <c r="F118" s="98" t="s">
        <v>206</v>
      </c>
      <c r="G118" s="97" t="s">
        <v>207</v>
      </c>
      <c r="H118" s="99"/>
      <c r="I118" s="100" t="s">
        <v>193</v>
      </c>
    </row>
    <row r="119" spans="2:9" x14ac:dyDescent="0.2">
      <c r="B119" s="623" t="s">
        <v>233</v>
      </c>
      <c r="C119" s="624"/>
      <c r="D119" s="137">
        <f>+E109*15</f>
        <v>8.4</v>
      </c>
      <c r="E119" s="101"/>
      <c r="F119" s="102">
        <v>1800</v>
      </c>
      <c r="G119" s="82">
        <f>+D119*F119</f>
        <v>15120</v>
      </c>
      <c r="H119" s="83"/>
      <c r="I119" s="103"/>
    </row>
    <row r="120" spans="2:9" x14ac:dyDescent="0.2">
      <c r="B120" s="623" t="s">
        <v>234</v>
      </c>
      <c r="C120" s="624"/>
      <c r="D120" s="137">
        <f>+E110*15</f>
        <v>12.6</v>
      </c>
      <c r="E120" s="101"/>
      <c r="F120" s="104">
        <v>1800</v>
      </c>
      <c r="G120" s="82">
        <f>+D120*F120</f>
        <v>22680</v>
      </c>
      <c r="H120" s="85"/>
      <c r="I120" s="103"/>
    </row>
    <row r="121" spans="2:9" x14ac:dyDescent="0.2">
      <c r="B121" s="105"/>
      <c r="C121" s="106"/>
      <c r="D121" s="75"/>
      <c r="E121" s="106"/>
      <c r="F121" s="107" t="s">
        <v>208</v>
      </c>
      <c r="G121" s="106"/>
      <c r="H121" s="108"/>
      <c r="I121" s="109">
        <f>SUM(G119:G120)</f>
        <v>37800</v>
      </c>
    </row>
    <row r="122" spans="2:9" ht="14.25" x14ac:dyDescent="0.2">
      <c r="B122" s="73" t="s">
        <v>209</v>
      </c>
      <c r="C122" s="76"/>
      <c r="D122" s="75"/>
      <c r="E122" s="76"/>
      <c r="F122" s="77"/>
      <c r="G122" s="76"/>
      <c r="H122" s="76"/>
      <c r="I122" s="95"/>
    </row>
    <row r="123" spans="2:9" x14ac:dyDescent="0.2">
      <c r="B123" s="588" t="s">
        <v>188</v>
      </c>
      <c r="C123" s="589"/>
      <c r="D123" s="96" t="s">
        <v>136</v>
      </c>
      <c r="E123" s="110" t="s">
        <v>137</v>
      </c>
      <c r="F123" s="111" t="s">
        <v>201</v>
      </c>
      <c r="G123" s="112" t="s">
        <v>205</v>
      </c>
      <c r="H123" s="112"/>
      <c r="I123" s="100" t="s">
        <v>193</v>
      </c>
    </row>
    <row r="124" spans="2:9" ht="22.5" customHeight="1" x14ac:dyDescent="0.2">
      <c r="B124" s="590" t="s">
        <v>235</v>
      </c>
      <c r="C124" s="591"/>
      <c r="D124" s="91" t="s">
        <v>211</v>
      </c>
      <c r="E124" s="88">
        <v>1</v>
      </c>
      <c r="F124" s="104">
        <f>+(80000+50000*3)*1.671</f>
        <v>384330</v>
      </c>
      <c r="G124" s="113">
        <v>1</v>
      </c>
      <c r="H124" s="114"/>
      <c r="I124" s="115">
        <f>SUM(F124*E124)*G124</f>
        <v>384330</v>
      </c>
    </row>
    <row r="125" spans="2:9" x14ac:dyDescent="0.2">
      <c r="B125" s="627"/>
      <c r="C125" s="617"/>
      <c r="D125" s="91"/>
      <c r="E125" s="116"/>
      <c r="F125" s="117"/>
      <c r="G125" s="114"/>
      <c r="H125" s="114"/>
      <c r="I125" s="94">
        <f>SUM(F125*E125)*G125</f>
        <v>0</v>
      </c>
    </row>
    <row r="126" spans="2:9" x14ac:dyDescent="0.2">
      <c r="B126" s="598"/>
      <c r="C126" s="599"/>
      <c r="D126" s="91"/>
      <c r="E126" s="118"/>
      <c r="F126" s="117"/>
      <c r="G126" s="114"/>
      <c r="H126" s="114"/>
      <c r="I126" s="94">
        <f>SUM(F126*E126)*G126</f>
        <v>0</v>
      </c>
    </row>
    <row r="127" spans="2:9" x14ac:dyDescent="0.2">
      <c r="B127" s="92"/>
      <c r="C127" s="76"/>
      <c r="D127" s="75"/>
      <c r="E127" s="76"/>
      <c r="F127" s="605" t="s">
        <v>212</v>
      </c>
      <c r="G127" s="605"/>
      <c r="H127" s="119"/>
      <c r="I127" s="94">
        <f>I124</f>
        <v>384330</v>
      </c>
    </row>
    <row r="128" spans="2:9" ht="13.5" thickBot="1" x14ac:dyDescent="0.25">
      <c r="B128" s="92"/>
      <c r="C128" s="76"/>
      <c r="D128" s="75"/>
      <c r="E128" s="76"/>
      <c r="F128" s="120"/>
      <c r="G128" s="119"/>
      <c r="H128" s="119"/>
      <c r="I128" s="78"/>
    </row>
    <row r="129" spans="2:9" ht="13.5" thickBot="1" x14ac:dyDescent="0.25">
      <c r="B129" s="92"/>
      <c r="C129" s="76"/>
      <c r="D129" s="75"/>
      <c r="E129" s="606" t="s">
        <v>213</v>
      </c>
      <c r="F129" s="606"/>
      <c r="G129" s="606"/>
      <c r="H129" s="121"/>
      <c r="I129" s="122">
        <f>ROUND(SUM(I104+I116+I121+I127),0)</f>
        <v>933576</v>
      </c>
    </row>
    <row r="130" spans="2:9" ht="15" thickBot="1" x14ac:dyDescent="0.25">
      <c r="B130" s="73" t="s">
        <v>214</v>
      </c>
      <c r="C130" s="76"/>
      <c r="D130" s="123"/>
      <c r="E130" s="124"/>
      <c r="F130" s="77"/>
      <c r="G130" s="76"/>
      <c r="H130" s="76"/>
      <c r="I130" s="78"/>
    </row>
    <row r="131" spans="2:9" x14ac:dyDescent="0.2">
      <c r="B131" s="607" t="s">
        <v>215</v>
      </c>
      <c r="C131" s="608"/>
      <c r="D131" s="613" t="s">
        <v>216</v>
      </c>
      <c r="E131" s="614"/>
      <c r="F131" s="125" t="s">
        <v>195</v>
      </c>
      <c r="G131" s="126" t="s">
        <v>217</v>
      </c>
      <c r="H131" s="127"/>
      <c r="I131" s="615"/>
    </row>
    <row r="132" spans="2:9" x14ac:dyDescent="0.2">
      <c r="B132" s="609"/>
      <c r="C132" s="610"/>
      <c r="D132" s="617" t="s">
        <v>218</v>
      </c>
      <c r="E132" s="618"/>
      <c r="F132" s="128">
        <v>25</v>
      </c>
      <c r="G132" s="116">
        <f>I129*20%</f>
        <v>186715.2</v>
      </c>
      <c r="H132" s="129"/>
      <c r="I132" s="616"/>
    </row>
    <row r="133" spans="2:9" x14ac:dyDescent="0.2">
      <c r="B133" s="609"/>
      <c r="C133" s="610"/>
      <c r="D133" s="617" t="s">
        <v>168</v>
      </c>
      <c r="E133" s="618"/>
      <c r="F133" s="128">
        <v>5</v>
      </c>
      <c r="G133" s="116">
        <f>I129*5%</f>
        <v>46678.8</v>
      </c>
      <c r="H133" s="129"/>
      <c r="I133" s="616"/>
    </row>
    <row r="134" spans="2:9" x14ac:dyDescent="0.2">
      <c r="B134" s="609"/>
      <c r="C134" s="610"/>
      <c r="D134" s="619" t="s">
        <v>219</v>
      </c>
      <c r="E134" s="617"/>
      <c r="F134" s="128">
        <f>SUM(F132:F133)</f>
        <v>30</v>
      </c>
      <c r="G134" s="116">
        <f>SUM(G132:G133)</f>
        <v>233394</v>
      </c>
      <c r="H134" s="129"/>
      <c r="I134" s="616"/>
    </row>
    <row r="135" spans="2:9" ht="15" thickBot="1" x14ac:dyDescent="0.25">
      <c r="B135" s="609"/>
      <c r="C135" s="610"/>
      <c r="D135" s="130"/>
      <c r="E135" s="620" t="s">
        <v>220</v>
      </c>
      <c r="F135" s="621"/>
      <c r="G135" s="622"/>
      <c r="H135" s="38"/>
      <c r="I135" s="131">
        <f>SUM(G134:G134)</f>
        <v>233394</v>
      </c>
    </row>
    <row r="136" spans="2:9" ht="16.5" thickBot="1" x14ac:dyDescent="0.3">
      <c r="B136" s="611"/>
      <c r="C136" s="612"/>
      <c r="D136" s="628" t="s">
        <v>221</v>
      </c>
      <c r="E136" s="629"/>
      <c r="F136" s="630"/>
      <c r="G136" s="602">
        <f>SUM(I129+I135)</f>
        <v>1166970</v>
      </c>
      <c r="H136" s="603"/>
      <c r="I136" s="604"/>
    </row>
    <row r="138" spans="2:9" ht="18.75" thickBot="1" x14ac:dyDescent="0.3">
      <c r="B138" s="564" t="s">
        <v>180</v>
      </c>
      <c r="C138" s="564"/>
      <c r="D138" s="564"/>
      <c r="E138" s="564"/>
      <c r="F138" s="564"/>
      <c r="G138" s="564"/>
      <c r="H138" s="564"/>
      <c r="I138" s="564"/>
    </row>
    <row r="139" spans="2:9" ht="15.75" thickBot="1" x14ac:dyDescent="0.3">
      <c r="B139" s="59" t="s">
        <v>181</v>
      </c>
      <c r="C139" s="565" t="s">
        <v>393</v>
      </c>
      <c r="D139" s="566"/>
      <c r="E139" s="566"/>
      <c r="F139" s="567"/>
      <c r="G139" s="60" t="s">
        <v>5</v>
      </c>
      <c r="H139" s="61"/>
      <c r="I139" s="62">
        <v>45373</v>
      </c>
    </row>
    <row r="140" spans="2:9" ht="13.5" thickBot="1" x14ac:dyDescent="0.25">
      <c r="B140" s="568" t="s">
        <v>182</v>
      </c>
      <c r="C140" s="569"/>
      <c r="D140" s="570"/>
      <c r="E140" s="568" t="s">
        <v>183</v>
      </c>
      <c r="F140" s="569"/>
      <c r="G140" s="569"/>
      <c r="H140" s="569"/>
      <c r="I140" s="570"/>
    </row>
    <row r="141" spans="2:9" ht="13.5" thickBot="1" x14ac:dyDescent="0.25">
      <c r="B141" s="571"/>
      <c r="C141" s="572"/>
      <c r="D141" s="573"/>
      <c r="E141" s="574" t="s">
        <v>252</v>
      </c>
      <c r="F141" s="575"/>
      <c r="G141" s="575"/>
      <c r="H141" s="575"/>
      <c r="I141" s="576"/>
    </row>
    <row r="142" spans="2:9" ht="13.5" thickBot="1" x14ac:dyDescent="0.25">
      <c r="B142" s="63" t="s">
        <v>249</v>
      </c>
      <c r="C142" s="64" t="s">
        <v>185</v>
      </c>
      <c r="D142" s="65"/>
      <c r="E142" s="577"/>
      <c r="F142" s="578"/>
      <c r="G142" s="578"/>
      <c r="H142" s="578"/>
      <c r="I142" s="579"/>
    </row>
    <row r="143" spans="2:9" ht="13.5" thickBot="1" x14ac:dyDescent="0.25">
      <c r="B143" s="583" t="s">
        <v>186</v>
      </c>
      <c r="C143" s="584"/>
      <c r="D143" s="66"/>
      <c r="E143" s="580"/>
      <c r="F143" s="581"/>
      <c r="G143" s="581"/>
      <c r="H143" s="581"/>
      <c r="I143" s="582"/>
    </row>
    <row r="144" spans="2:9" x14ac:dyDescent="0.2">
      <c r="B144" s="67" t="s">
        <v>187</v>
      </c>
      <c r="C144" s="68"/>
      <c r="D144" s="592"/>
      <c r="E144" s="592"/>
      <c r="F144" s="592"/>
      <c r="G144" s="592"/>
      <c r="H144" s="592"/>
      <c r="I144" s="593"/>
    </row>
    <row r="145" spans="2:9" x14ac:dyDescent="0.2">
      <c r="B145" s="588" t="s">
        <v>188</v>
      </c>
      <c r="C145" s="589"/>
      <c r="D145" s="96" t="s">
        <v>189</v>
      </c>
      <c r="E145" s="134" t="s">
        <v>190</v>
      </c>
      <c r="F145" s="111" t="s">
        <v>191</v>
      </c>
      <c r="G145" s="110" t="s">
        <v>192</v>
      </c>
      <c r="H145" s="112"/>
      <c r="I145" s="100" t="s">
        <v>193</v>
      </c>
    </row>
    <row r="146" spans="2:9" x14ac:dyDescent="0.2">
      <c r="B146" s="594" t="s">
        <v>194</v>
      </c>
      <c r="C146" s="595"/>
      <c r="D146" s="91" t="s">
        <v>195</v>
      </c>
      <c r="E146" s="135">
        <v>5</v>
      </c>
      <c r="F146" s="135">
        <f>SUM(I174)</f>
        <v>422763.00000000006</v>
      </c>
      <c r="G146" s="116">
        <f>SUM(F146*5%)</f>
        <v>21138.150000000005</v>
      </c>
      <c r="H146" s="69"/>
      <c r="I146" s="596"/>
    </row>
    <row r="147" spans="2:9" x14ac:dyDescent="0.2">
      <c r="B147" s="598" t="s">
        <v>196</v>
      </c>
      <c r="C147" s="599"/>
      <c r="D147" s="91" t="s">
        <v>195</v>
      </c>
      <c r="E147" s="135">
        <v>1.5</v>
      </c>
      <c r="F147" s="135">
        <f>SUM(I174)</f>
        <v>422763.00000000006</v>
      </c>
      <c r="G147" s="116">
        <f>SUM(F147*1.5%)</f>
        <v>6341.4450000000006</v>
      </c>
      <c r="H147" s="70"/>
      <c r="I147" s="597"/>
    </row>
    <row r="148" spans="2:9" x14ac:dyDescent="0.2">
      <c r="B148" s="600" t="s">
        <v>223</v>
      </c>
      <c r="C148" s="601"/>
      <c r="D148" s="91" t="s">
        <v>224</v>
      </c>
      <c r="E148" s="104">
        <v>5</v>
      </c>
      <c r="F148" s="104">
        <v>1010</v>
      </c>
      <c r="G148" s="88">
        <f>SUM(E148*F148)</f>
        <v>5050</v>
      </c>
      <c r="H148" s="70"/>
      <c r="I148" s="597"/>
    </row>
    <row r="149" spans="2:9" x14ac:dyDescent="0.2">
      <c r="B149" s="600" t="s">
        <v>250</v>
      </c>
      <c r="C149" s="601"/>
      <c r="D149" s="91" t="s">
        <v>237</v>
      </c>
      <c r="E149" s="104">
        <v>1</v>
      </c>
      <c r="F149" s="104">
        <v>80000</v>
      </c>
      <c r="G149" s="88">
        <f>SUM(E149*F149)</f>
        <v>80000</v>
      </c>
      <c r="H149" s="70"/>
      <c r="I149" s="597"/>
    </row>
    <row r="150" spans="2:9" x14ac:dyDescent="0.2">
      <c r="B150" s="600" t="s">
        <v>251</v>
      </c>
      <c r="C150" s="601"/>
      <c r="D150" s="91" t="s">
        <v>224</v>
      </c>
      <c r="E150" s="104">
        <v>0.25</v>
      </c>
      <c r="F150" s="104">
        <v>90000</v>
      </c>
      <c r="G150" s="88">
        <f>SUM(E150*F150)</f>
        <v>22500</v>
      </c>
      <c r="H150" s="89"/>
      <c r="I150" s="138"/>
    </row>
    <row r="151" spans="2:9" x14ac:dyDescent="0.2">
      <c r="B151" s="587"/>
      <c r="C151" s="585"/>
      <c r="D151" s="585"/>
      <c r="E151" s="585"/>
      <c r="F151" s="71"/>
      <c r="G151" s="72" t="s">
        <v>197</v>
      </c>
      <c r="H151" s="72"/>
      <c r="I151" s="94">
        <f>SUM(G146:H150)</f>
        <v>135029.595</v>
      </c>
    </row>
    <row r="152" spans="2:9" x14ac:dyDescent="0.2">
      <c r="B152" s="73" t="s">
        <v>198</v>
      </c>
      <c r="C152" s="74"/>
      <c r="D152" s="75"/>
      <c r="E152" s="76"/>
      <c r="F152" s="77"/>
      <c r="G152" s="76"/>
      <c r="H152" s="76"/>
      <c r="I152" s="78"/>
    </row>
    <row r="153" spans="2:9" x14ac:dyDescent="0.2">
      <c r="B153" s="588" t="s">
        <v>188</v>
      </c>
      <c r="C153" s="589"/>
      <c r="D153" s="96" t="s">
        <v>199</v>
      </c>
      <c r="E153" s="110" t="s">
        <v>137</v>
      </c>
      <c r="F153" s="111" t="s">
        <v>200</v>
      </c>
      <c r="G153" s="110" t="s">
        <v>201</v>
      </c>
      <c r="H153" s="112"/>
      <c r="I153" s="100" t="s">
        <v>193</v>
      </c>
    </row>
    <row r="154" spans="2:9" x14ac:dyDescent="0.2">
      <c r="B154" s="590" t="s">
        <v>226</v>
      </c>
      <c r="C154" s="591"/>
      <c r="D154" s="79" t="s">
        <v>227</v>
      </c>
      <c r="E154" s="80">
        <f>350*1</f>
        <v>350</v>
      </c>
      <c r="F154" s="81">
        <v>5</v>
      </c>
      <c r="G154" s="82">
        <f>34500/50</f>
        <v>690</v>
      </c>
      <c r="H154" s="83"/>
      <c r="I154" s="90">
        <f t="shared" ref="I154:I162" si="3">(E154*(1+F154/100)) * (G154*(1+H154/100))</f>
        <v>253575</v>
      </c>
    </row>
    <row r="155" spans="2:9" x14ac:dyDescent="0.2">
      <c r="B155" s="590" t="s">
        <v>228</v>
      </c>
      <c r="C155" s="591"/>
      <c r="D155" s="79" t="s">
        <v>229</v>
      </c>
      <c r="E155" s="80">
        <f>180*1</f>
        <v>180</v>
      </c>
      <c r="F155" s="136">
        <v>5</v>
      </c>
      <c r="G155" s="82">
        <v>65</v>
      </c>
      <c r="H155" s="84"/>
      <c r="I155" s="90">
        <f t="shared" si="3"/>
        <v>12285</v>
      </c>
    </row>
    <row r="156" spans="2:9" x14ac:dyDescent="0.2">
      <c r="B156" s="590" t="s">
        <v>230</v>
      </c>
      <c r="C156" s="591"/>
      <c r="D156" s="79" t="s">
        <v>231</v>
      </c>
      <c r="E156" s="80">
        <f>0.56*1</f>
        <v>0.56000000000000005</v>
      </c>
      <c r="F156" s="87">
        <v>5</v>
      </c>
      <c r="G156" s="82">
        <v>39270</v>
      </c>
      <c r="H156" s="85"/>
      <c r="I156" s="90">
        <f t="shared" si="3"/>
        <v>23090.760000000002</v>
      </c>
    </row>
    <row r="157" spans="2:9" x14ac:dyDescent="0.2">
      <c r="B157" s="590" t="s">
        <v>232</v>
      </c>
      <c r="C157" s="591"/>
      <c r="D157" s="79" t="s">
        <v>231</v>
      </c>
      <c r="E157" s="80">
        <f>0.84*1</f>
        <v>0.84</v>
      </c>
      <c r="F157" s="87">
        <v>5</v>
      </c>
      <c r="G157" s="82">
        <v>102000</v>
      </c>
      <c r="H157" s="85"/>
      <c r="I157" s="90">
        <f t="shared" si="3"/>
        <v>89964</v>
      </c>
    </row>
    <row r="158" spans="2:9" x14ac:dyDescent="0.2">
      <c r="B158" s="590"/>
      <c r="C158" s="591"/>
      <c r="D158" s="79"/>
      <c r="E158" s="80"/>
      <c r="F158" s="87"/>
      <c r="G158" s="82"/>
      <c r="H158" s="85"/>
      <c r="I158" s="90">
        <f t="shared" si="3"/>
        <v>0</v>
      </c>
    </row>
    <row r="159" spans="2:9" x14ac:dyDescent="0.2">
      <c r="B159" s="590"/>
      <c r="C159" s="591"/>
      <c r="D159" s="79"/>
      <c r="E159" s="80"/>
      <c r="F159" s="87"/>
      <c r="G159" s="82"/>
      <c r="H159" s="85"/>
      <c r="I159" s="90">
        <f t="shared" si="3"/>
        <v>0</v>
      </c>
    </row>
    <row r="160" spans="2:9" x14ac:dyDescent="0.2">
      <c r="B160" s="590"/>
      <c r="C160" s="591"/>
      <c r="D160" s="86"/>
      <c r="E160" s="80"/>
      <c r="F160" s="87"/>
      <c r="G160" s="82"/>
      <c r="H160" s="85"/>
      <c r="I160" s="90">
        <f t="shared" si="3"/>
        <v>0</v>
      </c>
    </row>
    <row r="161" spans="2:9" x14ac:dyDescent="0.2">
      <c r="B161" s="562"/>
      <c r="C161" s="563"/>
      <c r="D161" s="91"/>
      <c r="E161" s="80"/>
      <c r="F161" s="87"/>
      <c r="G161" s="88"/>
      <c r="H161" s="89"/>
      <c r="I161" s="90">
        <f t="shared" si="3"/>
        <v>0</v>
      </c>
    </row>
    <row r="162" spans="2:9" x14ac:dyDescent="0.2">
      <c r="B162" s="562"/>
      <c r="C162" s="563"/>
      <c r="D162" s="91"/>
      <c r="E162" s="80"/>
      <c r="F162" s="87"/>
      <c r="G162" s="88"/>
      <c r="H162" s="89"/>
      <c r="I162" s="90">
        <f t="shared" si="3"/>
        <v>0</v>
      </c>
    </row>
    <row r="163" spans="2:9" x14ac:dyDescent="0.2">
      <c r="B163" s="92"/>
      <c r="C163" s="76"/>
      <c r="D163" s="75"/>
      <c r="E163" s="76"/>
      <c r="F163" s="585" t="s">
        <v>202</v>
      </c>
      <c r="G163" s="586"/>
      <c r="H163" s="93"/>
      <c r="I163" s="94">
        <f>SUM(I154:I162)</f>
        <v>378914.76</v>
      </c>
    </row>
    <row r="164" spans="2:9" ht="14.25" x14ac:dyDescent="0.2">
      <c r="B164" s="73" t="s">
        <v>203</v>
      </c>
      <c r="C164" s="74"/>
      <c r="D164" s="75"/>
      <c r="E164" s="76"/>
      <c r="F164" s="77"/>
      <c r="G164" s="76"/>
      <c r="H164" s="76"/>
      <c r="I164" s="95"/>
    </row>
    <row r="165" spans="2:9" x14ac:dyDescent="0.2">
      <c r="B165" s="588" t="s">
        <v>188</v>
      </c>
      <c r="C165" s="589"/>
      <c r="D165" s="96" t="s">
        <v>204</v>
      </c>
      <c r="E165" s="97" t="s">
        <v>205</v>
      </c>
      <c r="F165" s="98" t="s">
        <v>206</v>
      </c>
      <c r="G165" s="97" t="s">
        <v>207</v>
      </c>
      <c r="H165" s="99"/>
      <c r="I165" s="100" t="s">
        <v>193</v>
      </c>
    </row>
    <row r="166" spans="2:9" x14ac:dyDescent="0.2">
      <c r="B166" s="623" t="s">
        <v>233</v>
      </c>
      <c r="C166" s="624"/>
      <c r="D166" s="137">
        <f>+E156*15</f>
        <v>8.4</v>
      </c>
      <c r="E166" s="101"/>
      <c r="F166" s="102">
        <v>1800</v>
      </c>
      <c r="G166" s="82">
        <f>+D166*F166</f>
        <v>15120</v>
      </c>
      <c r="H166" s="83"/>
      <c r="I166" s="103"/>
    </row>
    <row r="167" spans="2:9" x14ac:dyDescent="0.2">
      <c r="B167" s="623" t="s">
        <v>234</v>
      </c>
      <c r="C167" s="624"/>
      <c r="D167" s="137">
        <f>+E157*15</f>
        <v>12.6</v>
      </c>
      <c r="E167" s="101"/>
      <c r="F167" s="104">
        <v>1800</v>
      </c>
      <c r="G167" s="82">
        <f>+D167*F167</f>
        <v>22680</v>
      </c>
      <c r="H167" s="85"/>
      <c r="I167" s="103"/>
    </row>
    <row r="168" spans="2:9" x14ac:dyDescent="0.2">
      <c r="B168" s="105"/>
      <c r="C168" s="106"/>
      <c r="D168" s="75"/>
      <c r="E168" s="106"/>
      <c r="F168" s="107" t="s">
        <v>208</v>
      </c>
      <c r="G168" s="106"/>
      <c r="H168" s="108"/>
      <c r="I168" s="109">
        <f>SUM(G166:G167)</f>
        <v>37800</v>
      </c>
    </row>
    <row r="169" spans="2:9" ht="14.25" x14ac:dyDescent="0.2">
      <c r="B169" s="73" t="s">
        <v>209</v>
      </c>
      <c r="C169" s="76"/>
      <c r="D169" s="75"/>
      <c r="E169" s="76"/>
      <c r="F169" s="77"/>
      <c r="G169" s="76"/>
      <c r="H169" s="76"/>
      <c r="I169" s="95"/>
    </row>
    <row r="170" spans="2:9" x14ac:dyDescent="0.2">
      <c r="B170" s="588" t="s">
        <v>188</v>
      </c>
      <c r="C170" s="589"/>
      <c r="D170" s="96" t="s">
        <v>136</v>
      </c>
      <c r="E170" s="110" t="s">
        <v>137</v>
      </c>
      <c r="F170" s="111" t="s">
        <v>201</v>
      </c>
      <c r="G170" s="112" t="s">
        <v>205</v>
      </c>
      <c r="H170" s="112"/>
      <c r="I170" s="100" t="s">
        <v>193</v>
      </c>
    </row>
    <row r="171" spans="2:9" ht="21" customHeight="1" x14ac:dyDescent="0.2">
      <c r="B171" s="590" t="s">
        <v>235</v>
      </c>
      <c r="C171" s="591"/>
      <c r="D171" s="91" t="s">
        <v>211</v>
      </c>
      <c r="E171" s="88">
        <v>1</v>
      </c>
      <c r="F171" s="104">
        <f>+(80000+50000*3)*1.671</f>
        <v>384330</v>
      </c>
      <c r="G171" s="113">
        <v>1.1000000000000001</v>
      </c>
      <c r="H171" s="114"/>
      <c r="I171" s="115">
        <f>SUM(F171*E171)*G171</f>
        <v>422763.00000000006</v>
      </c>
    </row>
    <row r="172" spans="2:9" x14ac:dyDescent="0.2">
      <c r="B172" s="627"/>
      <c r="C172" s="617"/>
      <c r="D172" s="91"/>
      <c r="E172" s="116"/>
      <c r="F172" s="117"/>
      <c r="G172" s="114"/>
      <c r="H172" s="114"/>
      <c r="I172" s="94">
        <f>SUM(F172*E172)*G172</f>
        <v>0</v>
      </c>
    </row>
    <row r="173" spans="2:9" x14ac:dyDescent="0.2">
      <c r="B173" s="598"/>
      <c r="C173" s="599"/>
      <c r="D173" s="91"/>
      <c r="E173" s="118"/>
      <c r="F173" s="117"/>
      <c r="G173" s="114"/>
      <c r="H173" s="114"/>
      <c r="I173" s="94">
        <f>SUM(F173*E173)*G173</f>
        <v>0</v>
      </c>
    </row>
    <row r="174" spans="2:9" x14ac:dyDescent="0.2">
      <c r="B174" s="92"/>
      <c r="C174" s="76"/>
      <c r="D174" s="75"/>
      <c r="E174" s="76"/>
      <c r="F174" s="605" t="s">
        <v>212</v>
      </c>
      <c r="G174" s="605"/>
      <c r="H174" s="119"/>
      <c r="I174" s="94">
        <f>I171</f>
        <v>422763.00000000006</v>
      </c>
    </row>
    <row r="175" spans="2:9" ht="13.5" thickBot="1" x14ac:dyDescent="0.25">
      <c r="B175" s="92"/>
      <c r="C175" s="76"/>
      <c r="D175" s="75"/>
      <c r="E175" s="76"/>
      <c r="F175" s="120"/>
      <c r="G175" s="119"/>
      <c r="H175" s="119"/>
      <c r="I175" s="78"/>
    </row>
    <row r="176" spans="2:9" ht="13.5" thickBot="1" x14ac:dyDescent="0.25">
      <c r="B176" s="92"/>
      <c r="C176" s="76"/>
      <c r="D176" s="75"/>
      <c r="E176" s="606" t="s">
        <v>213</v>
      </c>
      <c r="F176" s="606"/>
      <c r="G176" s="606"/>
      <c r="H176" s="121"/>
      <c r="I176" s="122">
        <f>ROUND(SUM(I151+I163+I168+I174),0)</f>
        <v>974507</v>
      </c>
    </row>
    <row r="177" spans="2:9" ht="15" thickBot="1" x14ac:dyDescent="0.25">
      <c r="B177" s="73" t="s">
        <v>214</v>
      </c>
      <c r="C177" s="76"/>
      <c r="D177" s="123"/>
      <c r="E177" s="124"/>
      <c r="F177" s="77"/>
      <c r="G177" s="76"/>
      <c r="H177" s="76"/>
      <c r="I177" s="78"/>
    </row>
    <row r="178" spans="2:9" x14ac:dyDescent="0.2">
      <c r="B178" s="607" t="s">
        <v>215</v>
      </c>
      <c r="C178" s="608"/>
      <c r="D178" s="613" t="s">
        <v>216</v>
      </c>
      <c r="E178" s="614"/>
      <c r="F178" s="125" t="s">
        <v>195</v>
      </c>
      <c r="G178" s="126" t="s">
        <v>217</v>
      </c>
      <c r="H178" s="127"/>
      <c r="I178" s="615"/>
    </row>
    <row r="179" spans="2:9" x14ac:dyDescent="0.2">
      <c r="B179" s="609"/>
      <c r="C179" s="610"/>
      <c r="D179" s="617" t="s">
        <v>218</v>
      </c>
      <c r="E179" s="618"/>
      <c r="F179" s="128">
        <v>25</v>
      </c>
      <c r="G179" s="116">
        <f>I176*20%</f>
        <v>194901.40000000002</v>
      </c>
      <c r="H179" s="129"/>
      <c r="I179" s="616"/>
    </row>
    <row r="180" spans="2:9" x14ac:dyDescent="0.2">
      <c r="B180" s="609"/>
      <c r="C180" s="610"/>
      <c r="D180" s="617" t="s">
        <v>168</v>
      </c>
      <c r="E180" s="618"/>
      <c r="F180" s="128">
        <v>5</v>
      </c>
      <c r="G180" s="116">
        <f>I176*5%</f>
        <v>48725.350000000006</v>
      </c>
      <c r="H180" s="129"/>
      <c r="I180" s="616"/>
    </row>
    <row r="181" spans="2:9" x14ac:dyDescent="0.2">
      <c r="B181" s="609"/>
      <c r="C181" s="610"/>
      <c r="D181" s="619" t="s">
        <v>219</v>
      </c>
      <c r="E181" s="617"/>
      <c r="F181" s="128">
        <f>SUM(F179:F180)</f>
        <v>30</v>
      </c>
      <c r="G181" s="116">
        <f>SUM(G179:G180)</f>
        <v>243626.75000000003</v>
      </c>
      <c r="H181" s="129"/>
      <c r="I181" s="616"/>
    </row>
    <row r="182" spans="2:9" ht="15" thickBot="1" x14ac:dyDescent="0.25">
      <c r="B182" s="609"/>
      <c r="C182" s="610"/>
      <c r="D182" s="130"/>
      <c r="E182" s="620" t="s">
        <v>220</v>
      </c>
      <c r="F182" s="621"/>
      <c r="G182" s="622"/>
      <c r="H182" s="38"/>
      <c r="I182" s="131">
        <f>SUM(G181:G181)</f>
        <v>243626.75000000003</v>
      </c>
    </row>
    <row r="183" spans="2:9" ht="16.5" thickBot="1" x14ac:dyDescent="0.3">
      <c r="B183" s="611"/>
      <c r="C183" s="612"/>
      <c r="D183" s="628" t="s">
        <v>221</v>
      </c>
      <c r="E183" s="629"/>
      <c r="F183" s="630"/>
      <c r="G183" s="602">
        <f>SUM(I176+I182)</f>
        <v>1218133.75</v>
      </c>
      <c r="H183" s="603"/>
      <c r="I183" s="604"/>
    </row>
    <row r="185" spans="2:9" ht="18.75" thickBot="1" x14ac:dyDescent="0.3">
      <c r="B185" s="564" t="s">
        <v>180</v>
      </c>
      <c r="C185" s="564"/>
      <c r="D185" s="564"/>
      <c r="E185" s="564"/>
      <c r="F185" s="564"/>
      <c r="G185" s="564"/>
      <c r="H185" s="564"/>
      <c r="I185" s="564"/>
    </row>
    <row r="186" spans="2:9" ht="15.75" thickBot="1" x14ac:dyDescent="0.3">
      <c r="B186" s="59" t="s">
        <v>181</v>
      </c>
      <c r="C186" s="565" t="s">
        <v>393</v>
      </c>
      <c r="D186" s="566"/>
      <c r="E186" s="566"/>
      <c r="F186" s="567"/>
      <c r="G186" s="60" t="s">
        <v>5</v>
      </c>
      <c r="H186" s="61"/>
      <c r="I186" s="62">
        <v>45373</v>
      </c>
    </row>
    <row r="187" spans="2:9" ht="13.5" thickBot="1" x14ac:dyDescent="0.25">
      <c r="B187" s="568" t="s">
        <v>182</v>
      </c>
      <c r="C187" s="569"/>
      <c r="D187" s="570"/>
      <c r="E187" s="568" t="s">
        <v>183</v>
      </c>
      <c r="F187" s="569"/>
      <c r="G187" s="569"/>
      <c r="H187" s="569"/>
      <c r="I187" s="570"/>
    </row>
    <row r="188" spans="2:9" ht="13.5" thickBot="1" x14ac:dyDescent="0.25">
      <c r="B188" s="571"/>
      <c r="C188" s="572"/>
      <c r="D188" s="573"/>
      <c r="E188" s="574" t="s">
        <v>253</v>
      </c>
      <c r="F188" s="575"/>
      <c r="G188" s="575"/>
      <c r="H188" s="575"/>
      <c r="I188" s="576"/>
    </row>
    <row r="189" spans="2:9" ht="13.5" thickBot="1" x14ac:dyDescent="0.25">
      <c r="B189" s="63" t="s">
        <v>254</v>
      </c>
      <c r="C189" s="64" t="s">
        <v>185</v>
      </c>
      <c r="D189" s="65"/>
      <c r="E189" s="577"/>
      <c r="F189" s="578"/>
      <c r="G189" s="578"/>
      <c r="H189" s="578"/>
      <c r="I189" s="579"/>
    </row>
    <row r="190" spans="2:9" ht="13.5" thickBot="1" x14ac:dyDescent="0.25">
      <c r="B190" s="583" t="s">
        <v>186</v>
      </c>
      <c r="C190" s="584"/>
      <c r="D190" s="66"/>
      <c r="E190" s="580"/>
      <c r="F190" s="581"/>
      <c r="G190" s="581"/>
      <c r="H190" s="581"/>
      <c r="I190" s="582"/>
    </row>
    <row r="191" spans="2:9" x14ac:dyDescent="0.2">
      <c r="B191" s="67" t="s">
        <v>187</v>
      </c>
      <c r="C191" s="68"/>
      <c r="D191" s="592"/>
      <c r="E191" s="592"/>
      <c r="F191" s="592"/>
      <c r="G191" s="592"/>
      <c r="H191" s="592"/>
      <c r="I191" s="593"/>
    </row>
    <row r="192" spans="2:9" x14ac:dyDescent="0.2">
      <c r="B192" s="588" t="s">
        <v>188</v>
      </c>
      <c r="C192" s="589"/>
      <c r="D192" s="96" t="s">
        <v>189</v>
      </c>
      <c r="E192" s="134" t="s">
        <v>190</v>
      </c>
      <c r="F192" s="111" t="s">
        <v>191</v>
      </c>
      <c r="G192" s="110" t="s">
        <v>192</v>
      </c>
      <c r="H192" s="112"/>
      <c r="I192" s="100" t="s">
        <v>193</v>
      </c>
    </row>
    <row r="193" spans="2:9" x14ac:dyDescent="0.2">
      <c r="B193" s="594" t="s">
        <v>194</v>
      </c>
      <c r="C193" s="595"/>
      <c r="D193" s="91" t="s">
        <v>195</v>
      </c>
      <c r="E193" s="135">
        <v>5</v>
      </c>
      <c r="F193" s="135">
        <f>SUM(I219)</f>
        <v>3609.36</v>
      </c>
      <c r="G193" s="116">
        <f>SUM(F193*5%)</f>
        <v>180.46800000000002</v>
      </c>
      <c r="H193" s="69"/>
      <c r="I193" s="596"/>
    </row>
    <row r="194" spans="2:9" x14ac:dyDescent="0.2">
      <c r="B194" s="598" t="s">
        <v>196</v>
      </c>
      <c r="C194" s="599"/>
      <c r="D194" s="91" t="s">
        <v>195</v>
      </c>
      <c r="E194" s="135">
        <v>1.5</v>
      </c>
      <c r="F194" s="135">
        <f>SUM(I219)</f>
        <v>3609.36</v>
      </c>
      <c r="G194" s="116">
        <f>SUM(F194*1.5%)</f>
        <v>54.1404</v>
      </c>
      <c r="H194" s="70"/>
      <c r="I194" s="597"/>
    </row>
    <row r="195" spans="2:9" x14ac:dyDescent="0.2">
      <c r="B195" s="600"/>
      <c r="C195" s="601"/>
      <c r="D195" s="91"/>
      <c r="E195" s="104"/>
      <c r="F195" s="104"/>
      <c r="G195" s="88">
        <f>SUM(E195*F195)</f>
        <v>0</v>
      </c>
      <c r="H195" s="70"/>
      <c r="I195" s="597"/>
    </row>
    <row r="196" spans="2:9" x14ac:dyDescent="0.2">
      <c r="B196" s="587"/>
      <c r="C196" s="585"/>
      <c r="D196" s="585"/>
      <c r="E196" s="585"/>
      <c r="F196" s="71"/>
      <c r="G196" s="72" t="s">
        <v>197</v>
      </c>
      <c r="H196" s="72"/>
      <c r="I196" s="94">
        <f>SUM(G193:G195)</f>
        <v>234.60840000000002</v>
      </c>
    </row>
    <row r="197" spans="2:9" x14ac:dyDescent="0.2">
      <c r="B197" s="73" t="s">
        <v>198</v>
      </c>
      <c r="C197" s="74"/>
      <c r="D197" s="75"/>
      <c r="E197" s="76"/>
      <c r="F197" s="77"/>
      <c r="G197" s="76"/>
      <c r="H197" s="76"/>
      <c r="I197" s="78"/>
    </row>
    <row r="198" spans="2:9" x14ac:dyDescent="0.2">
      <c r="B198" s="588" t="s">
        <v>188</v>
      </c>
      <c r="C198" s="589"/>
      <c r="D198" s="96" t="s">
        <v>199</v>
      </c>
      <c r="E198" s="110" t="s">
        <v>137</v>
      </c>
      <c r="F198" s="111" t="s">
        <v>200</v>
      </c>
      <c r="G198" s="110" t="s">
        <v>201</v>
      </c>
      <c r="H198" s="112"/>
      <c r="I198" s="100" t="s">
        <v>193</v>
      </c>
    </row>
    <row r="199" spans="2:9" x14ac:dyDescent="0.2">
      <c r="B199" s="590" t="s">
        <v>255</v>
      </c>
      <c r="C199" s="591"/>
      <c r="D199" s="79" t="s">
        <v>227</v>
      </c>
      <c r="E199" s="80">
        <v>2.7E-2</v>
      </c>
      <c r="F199" s="81">
        <v>3</v>
      </c>
      <c r="G199" s="82">
        <f>5456*1.2</f>
        <v>6547.2</v>
      </c>
      <c r="H199" s="83"/>
      <c r="I199" s="90">
        <f t="shared" ref="I199:I207" si="4">(E199*(1+F199/100)) * (G199*(1+H199/100))</f>
        <v>182.07763199999999</v>
      </c>
    </row>
    <row r="200" spans="2:9" x14ac:dyDescent="0.2">
      <c r="B200" s="590" t="s">
        <v>256</v>
      </c>
      <c r="C200" s="591"/>
      <c r="D200" s="79" t="s">
        <v>227</v>
      </c>
      <c r="E200" s="80">
        <v>1</v>
      </c>
      <c r="F200" s="136">
        <v>3</v>
      </c>
      <c r="G200" s="82">
        <f>4569*1.3</f>
        <v>5939.7</v>
      </c>
      <c r="H200" s="84"/>
      <c r="I200" s="90">
        <f t="shared" si="4"/>
        <v>6117.8909999999996</v>
      </c>
    </row>
    <row r="201" spans="2:9" x14ac:dyDescent="0.2">
      <c r="B201" s="590"/>
      <c r="C201" s="591"/>
      <c r="D201" s="79"/>
      <c r="E201" s="80"/>
      <c r="F201" s="87"/>
      <c r="G201" s="82"/>
      <c r="H201" s="85"/>
      <c r="I201" s="90">
        <f t="shared" si="4"/>
        <v>0</v>
      </c>
    </row>
    <row r="202" spans="2:9" x14ac:dyDescent="0.2">
      <c r="B202" s="590"/>
      <c r="C202" s="591"/>
      <c r="D202" s="79"/>
      <c r="E202" s="80"/>
      <c r="F202" s="87"/>
      <c r="G202" s="82"/>
      <c r="H202" s="85"/>
      <c r="I202" s="90">
        <f t="shared" si="4"/>
        <v>0</v>
      </c>
    </row>
    <row r="203" spans="2:9" x14ac:dyDescent="0.2">
      <c r="B203" s="590"/>
      <c r="C203" s="591"/>
      <c r="D203" s="79"/>
      <c r="E203" s="80"/>
      <c r="F203" s="87"/>
      <c r="G203" s="82"/>
      <c r="H203" s="85"/>
      <c r="I203" s="90">
        <f t="shared" si="4"/>
        <v>0</v>
      </c>
    </row>
    <row r="204" spans="2:9" x14ac:dyDescent="0.2">
      <c r="B204" s="590"/>
      <c r="C204" s="591"/>
      <c r="D204" s="79"/>
      <c r="E204" s="80"/>
      <c r="F204" s="87"/>
      <c r="G204" s="82"/>
      <c r="H204" s="85"/>
      <c r="I204" s="90">
        <f t="shared" si="4"/>
        <v>0</v>
      </c>
    </row>
    <row r="205" spans="2:9" x14ac:dyDescent="0.2">
      <c r="B205" s="590"/>
      <c r="C205" s="591"/>
      <c r="D205" s="86"/>
      <c r="E205" s="80"/>
      <c r="F205" s="87"/>
      <c r="G205" s="82"/>
      <c r="H205" s="85"/>
      <c r="I205" s="90">
        <f t="shared" si="4"/>
        <v>0</v>
      </c>
    </row>
    <row r="206" spans="2:9" x14ac:dyDescent="0.2">
      <c r="B206" s="562"/>
      <c r="C206" s="563"/>
      <c r="D206" s="91"/>
      <c r="E206" s="80"/>
      <c r="F206" s="87"/>
      <c r="G206" s="88"/>
      <c r="H206" s="89"/>
      <c r="I206" s="90">
        <f t="shared" si="4"/>
        <v>0</v>
      </c>
    </row>
    <row r="207" spans="2:9" x14ac:dyDescent="0.2">
      <c r="B207" s="562"/>
      <c r="C207" s="563"/>
      <c r="D207" s="91"/>
      <c r="E207" s="80"/>
      <c r="F207" s="87"/>
      <c r="G207" s="88"/>
      <c r="H207" s="89"/>
      <c r="I207" s="90">
        <f t="shared" si="4"/>
        <v>0</v>
      </c>
    </row>
    <row r="208" spans="2:9" x14ac:dyDescent="0.2">
      <c r="B208" s="92"/>
      <c r="C208" s="76"/>
      <c r="D208" s="75"/>
      <c r="E208" s="76"/>
      <c r="F208" s="585" t="s">
        <v>202</v>
      </c>
      <c r="G208" s="586"/>
      <c r="H208" s="93"/>
      <c r="I208" s="94">
        <f>SUM(I199:I207)</f>
        <v>6299.9686320000001</v>
      </c>
    </row>
    <row r="209" spans="2:9" ht="14.25" x14ac:dyDescent="0.2">
      <c r="B209" s="73" t="s">
        <v>203</v>
      </c>
      <c r="C209" s="74"/>
      <c r="D209" s="75"/>
      <c r="E209" s="76"/>
      <c r="F209" s="77"/>
      <c r="G209" s="76"/>
      <c r="H209" s="76"/>
      <c r="I209" s="95"/>
    </row>
    <row r="210" spans="2:9" x14ac:dyDescent="0.2">
      <c r="B210" s="588" t="s">
        <v>188</v>
      </c>
      <c r="C210" s="589"/>
      <c r="D210" s="96" t="s">
        <v>204</v>
      </c>
      <c r="E210" s="97" t="s">
        <v>205</v>
      </c>
      <c r="F210" s="98" t="s">
        <v>206</v>
      </c>
      <c r="G210" s="97" t="s">
        <v>207</v>
      </c>
      <c r="H210" s="99"/>
      <c r="I210" s="100" t="s">
        <v>193</v>
      </c>
    </row>
    <row r="211" spans="2:9" x14ac:dyDescent="0.2">
      <c r="B211" s="623"/>
      <c r="C211" s="624"/>
      <c r="D211" s="137"/>
      <c r="E211" s="101"/>
      <c r="F211" s="102"/>
      <c r="G211" s="82">
        <f>+D211*F211</f>
        <v>0</v>
      </c>
      <c r="H211" s="83"/>
      <c r="I211" s="103"/>
    </row>
    <row r="212" spans="2:9" x14ac:dyDescent="0.2">
      <c r="B212" s="623"/>
      <c r="C212" s="624"/>
      <c r="D212" s="137"/>
      <c r="E212" s="101"/>
      <c r="F212" s="104"/>
      <c r="G212" s="82">
        <f>+D212*F212</f>
        <v>0</v>
      </c>
      <c r="H212" s="85"/>
      <c r="I212" s="103"/>
    </row>
    <row r="213" spans="2:9" x14ac:dyDescent="0.2">
      <c r="B213" s="105"/>
      <c r="C213" s="106"/>
      <c r="D213" s="75"/>
      <c r="E213" s="106"/>
      <c r="F213" s="107" t="s">
        <v>208</v>
      </c>
      <c r="G213" s="106"/>
      <c r="H213" s="108"/>
      <c r="I213" s="109">
        <f>SUM(G211:G212)</f>
        <v>0</v>
      </c>
    </row>
    <row r="214" spans="2:9" ht="14.25" x14ac:dyDescent="0.2">
      <c r="B214" s="73" t="s">
        <v>209</v>
      </c>
      <c r="C214" s="76"/>
      <c r="D214" s="75"/>
      <c r="E214" s="76"/>
      <c r="F214" s="77"/>
      <c r="G214" s="76"/>
      <c r="H214" s="76"/>
      <c r="I214" s="95"/>
    </row>
    <row r="215" spans="2:9" x14ac:dyDescent="0.2">
      <c r="B215" s="588" t="s">
        <v>188</v>
      </c>
      <c r="C215" s="589"/>
      <c r="D215" s="96" t="s">
        <v>136</v>
      </c>
      <c r="E215" s="110" t="s">
        <v>137</v>
      </c>
      <c r="F215" s="111" t="s">
        <v>201</v>
      </c>
      <c r="G215" s="112" t="s">
        <v>205</v>
      </c>
      <c r="H215" s="112"/>
      <c r="I215" s="100" t="s">
        <v>193</v>
      </c>
    </row>
    <row r="216" spans="2:9" x14ac:dyDescent="0.2">
      <c r="B216" s="590" t="s">
        <v>210</v>
      </c>
      <c r="C216" s="591"/>
      <c r="D216" s="91" t="s">
        <v>211</v>
      </c>
      <c r="E216" s="88">
        <v>1</v>
      </c>
      <c r="F216" s="104">
        <f>+(80000+50000*2)*1.671</f>
        <v>300780</v>
      </c>
      <c r="G216" s="113">
        <v>1.2E-2</v>
      </c>
      <c r="H216" s="114"/>
      <c r="I216" s="115">
        <f>SUM(F216*E216)*G216</f>
        <v>3609.36</v>
      </c>
    </row>
    <row r="217" spans="2:9" x14ac:dyDescent="0.2">
      <c r="B217" s="627"/>
      <c r="C217" s="617"/>
      <c r="D217" s="91"/>
      <c r="E217" s="116"/>
      <c r="F217" s="117"/>
      <c r="G217" s="114"/>
      <c r="H217" s="114"/>
      <c r="I217" s="94">
        <f>SUM(F217*E217)*G217</f>
        <v>0</v>
      </c>
    </row>
    <row r="218" spans="2:9" x14ac:dyDescent="0.2">
      <c r="B218" s="598"/>
      <c r="C218" s="599"/>
      <c r="D218" s="91"/>
      <c r="E218" s="118"/>
      <c r="F218" s="117"/>
      <c r="G218" s="114"/>
      <c r="H218" s="114"/>
      <c r="I218" s="94">
        <f>SUM(F218*E218)*G218</f>
        <v>0</v>
      </c>
    </row>
    <row r="219" spans="2:9" x14ac:dyDescent="0.2">
      <c r="B219" s="92"/>
      <c r="C219" s="76"/>
      <c r="D219" s="75"/>
      <c r="E219" s="76"/>
      <c r="F219" s="605" t="s">
        <v>212</v>
      </c>
      <c r="G219" s="605"/>
      <c r="H219" s="119"/>
      <c r="I219" s="94">
        <f>I216</f>
        <v>3609.36</v>
      </c>
    </row>
    <row r="220" spans="2:9" ht="13.5" thickBot="1" x14ac:dyDescent="0.25">
      <c r="B220" s="92"/>
      <c r="C220" s="76"/>
      <c r="D220" s="75"/>
      <c r="E220" s="76"/>
      <c r="F220" s="120"/>
      <c r="G220" s="119"/>
      <c r="H220" s="119"/>
      <c r="I220" s="78"/>
    </row>
    <row r="221" spans="2:9" ht="13.5" thickBot="1" x14ac:dyDescent="0.25">
      <c r="B221" s="92"/>
      <c r="C221" s="76"/>
      <c r="D221" s="75"/>
      <c r="E221" s="606" t="s">
        <v>213</v>
      </c>
      <c r="F221" s="606"/>
      <c r="G221" s="606"/>
      <c r="H221" s="121"/>
      <c r="I221" s="122">
        <f>ROUND(SUM(I196+I208+I213+I219),0)</f>
        <v>10144</v>
      </c>
    </row>
    <row r="222" spans="2:9" ht="15" thickBot="1" x14ac:dyDescent="0.25">
      <c r="B222" s="73" t="s">
        <v>214</v>
      </c>
      <c r="C222" s="76"/>
      <c r="D222" s="123"/>
      <c r="E222" s="124"/>
      <c r="F222" s="77"/>
      <c r="G222" s="76"/>
      <c r="H222" s="76"/>
      <c r="I222" s="78"/>
    </row>
    <row r="223" spans="2:9" x14ac:dyDescent="0.2">
      <c r="B223" s="607" t="s">
        <v>215</v>
      </c>
      <c r="C223" s="608"/>
      <c r="D223" s="613" t="s">
        <v>216</v>
      </c>
      <c r="E223" s="614"/>
      <c r="F223" s="125" t="s">
        <v>195</v>
      </c>
      <c r="G223" s="126" t="s">
        <v>217</v>
      </c>
      <c r="H223" s="127"/>
      <c r="I223" s="615"/>
    </row>
    <row r="224" spans="2:9" x14ac:dyDescent="0.2">
      <c r="B224" s="609"/>
      <c r="C224" s="610"/>
      <c r="D224" s="617" t="s">
        <v>218</v>
      </c>
      <c r="E224" s="618"/>
      <c r="F224" s="128">
        <v>25</v>
      </c>
      <c r="G224" s="116">
        <f>I221*20%</f>
        <v>2028.8000000000002</v>
      </c>
      <c r="H224" s="129"/>
      <c r="I224" s="616"/>
    </row>
    <row r="225" spans="2:9" x14ac:dyDescent="0.2">
      <c r="B225" s="609"/>
      <c r="C225" s="610"/>
      <c r="D225" s="617" t="s">
        <v>168</v>
      </c>
      <c r="E225" s="618"/>
      <c r="F225" s="128">
        <v>5</v>
      </c>
      <c r="G225" s="116">
        <f>I221*5%</f>
        <v>507.20000000000005</v>
      </c>
      <c r="H225" s="129"/>
      <c r="I225" s="616"/>
    </row>
    <row r="226" spans="2:9" x14ac:dyDescent="0.2">
      <c r="B226" s="609"/>
      <c r="C226" s="610"/>
      <c r="D226" s="619" t="s">
        <v>219</v>
      </c>
      <c r="E226" s="617"/>
      <c r="F226" s="128">
        <f>SUM(F224:F225)</f>
        <v>30</v>
      </c>
      <c r="G226" s="116">
        <f>SUM(G224:G225)</f>
        <v>2536</v>
      </c>
      <c r="H226" s="129"/>
      <c r="I226" s="616"/>
    </row>
    <row r="227" spans="2:9" ht="15" thickBot="1" x14ac:dyDescent="0.25">
      <c r="B227" s="609"/>
      <c r="C227" s="610"/>
      <c r="D227" s="130"/>
      <c r="E227" s="620" t="s">
        <v>220</v>
      </c>
      <c r="F227" s="621"/>
      <c r="G227" s="622"/>
      <c r="H227" s="38"/>
      <c r="I227" s="131">
        <f>SUM(G226:G226)</f>
        <v>2536</v>
      </c>
    </row>
    <row r="228" spans="2:9" ht="16.5" thickBot="1" x14ac:dyDescent="0.3">
      <c r="B228" s="611"/>
      <c r="C228" s="612"/>
      <c r="D228" s="628" t="s">
        <v>221</v>
      </c>
      <c r="E228" s="629"/>
      <c r="F228" s="630"/>
      <c r="G228" s="602">
        <f>SUM(I221+I227)</f>
        <v>12680</v>
      </c>
      <c r="H228" s="603"/>
      <c r="I228" s="604"/>
    </row>
    <row r="230" spans="2:9" ht="18.75" thickBot="1" x14ac:dyDescent="0.3">
      <c r="B230" s="564" t="s">
        <v>180</v>
      </c>
      <c r="C230" s="564"/>
      <c r="D230" s="564"/>
      <c r="E230" s="564"/>
      <c r="F230" s="564"/>
      <c r="G230" s="564"/>
      <c r="H230" s="564"/>
      <c r="I230" s="564"/>
    </row>
    <row r="231" spans="2:9" ht="15.75" thickBot="1" x14ac:dyDescent="0.3">
      <c r="B231" s="59" t="s">
        <v>181</v>
      </c>
      <c r="C231" s="565" t="s">
        <v>393</v>
      </c>
      <c r="D231" s="566"/>
      <c r="E231" s="566"/>
      <c r="F231" s="567"/>
      <c r="G231" s="60" t="s">
        <v>5</v>
      </c>
      <c r="H231" s="61"/>
      <c r="I231" s="62">
        <v>45373</v>
      </c>
    </row>
    <row r="232" spans="2:9" ht="13.5" thickBot="1" x14ac:dyDescent="0.25">
      <c r="B232" s="568" t="s">
        <v>182</v>
      </c>
      <c r="C232" s="569"/>
      <c r="D232" s="570"/>
      <c r="E232" s="568" t="s">
        <v>183</v>
      </c>
      <c r="F232" s="569"/>
      <c r="G232" s="569"/>
      <c r="H232" s="569"/>
      <c r="I232" s="570"/>
    </row>
    <row r="233" spans="2:9" ht="13.5" thickBot="1" x14ac:dyDescent="0.25">
      <c r="B233" s="571"/>
      <c r="C233" s="572"/>
      <c r="D233" s="573"/>
      <c r="E233" s="574" t="s">
        <v>50</v>
      </c>
      <c r="F233" s="575"/>
      <c r="G233" s="575"/>
      <c r="H233" s="575"/>
      <c r="I233" s="576"/>
    </row>
    <row r="234" spans="2:9" ht="13.5" thickBot="1" x14ac:dyDescent="0.25">
      <c r="B234" s="63" t="s">
        <v>184</v>
      </c>
      <c r="C234" s="64" t="s">
        <v>185</v>
      </c>
      <c r="D234" s="65" t="s">
        <v>146</v>
      </c>
      <c r="E234" s="577"/>
      <c r="F234" s="578"/>
      <c r="G234" s="578"/>
      <c r="H234" s="578"/>
      <c r="I234" s="579"/>
    </row>
    <row r="235" spans="2:9" ht="13.5" thickBot="1" x14ac:dyDescent="0.25">
      <c r="B235" s="583" t="s">
        <v>186</v>
      </c>
      <c r="C235" s="584"/>
      <c r="D235" s="66"/>
      <c r="E235" s="580"/>
      <c r="F235" s="581"/>
      <c r="G235" s="581"/>
      <c r="H235" s="581"/>
      <c r="I235" s="582"/>
    </row>
    <row r="236" spans="2:9" x14ac:dyDescent="0.2">
      <c r="B236" s="67" t="s">
        <v>187</v>
      </c>
      <c r="C236" s="68"/>
      <c r="D236" s="592"/>
      <c r="E236" s="592"/>
      <c r="F236" s="592"/>
      <c r="G236" s="592"/>
      <c r="H236" s="592"/>
      <c r="I236" s="593"/>
    </row>
    <row r="237" spans="2:9" x14ac:dyDescent="0.2">
      <c r="B237" s="588" t="s">
        <v>188</v>
      </c>
      <c r="C237" s="589"/>
      <c r="D237" s="96" t="s">
        <v>189</v>
      </c>
      <c r="E237" s="134" t="s">
        <v>190</v>
      </c>
      <c r="F237" s="111" t="s">
        <v>191</v>
      </c>
      <c r="G237" s="110" t="s">
        <v>192</v>
      </c>
      <c r="H237" s="112"/>
      <c r="I237" s="100" t="s">
        <v>193</v>
      </c>
    </row>
    <row r="238" spans="2:9" x14ac:dyDescent="0.2">
      <c r="B238" s="594" t="s">
        <v>194</v>
      </c>
      <c r="C238" s="595"/>
      <c r="D238" s="91" t="s">
        <v>195</v>
      </c>
      <c r="E238" s="135">
        <v>5</v>
      </c>
      <c r="F238" s="135">
        <f>SUM(I264)</f>
        <v>18046.8</v>
      </c>
      <c r="G238" s="116">
        <f>SUM(F238*5%)</f>
        <v>902.34</v>
      </c>
      <c r="H238" s="69"/>
      <c r="I238" s="596"/>
    </row>
    <row r="239" spans="2:9" x14ac:dyDescent="0.2">
      <c r="B239" s="598" t="s">
        <v>196</v>
      </c>
      <c r="C239" s="599"/>
      <c r="D239" s="91" t="s">
        <v>195</v>
      </c>
      <c r="E239" s="135">
        <v>1.5</v>
      </c>
      <c r="F239" s="135">
        <f>SUM(I264)</f>
        <v>18046.8</v>
      </c>
      <c r="G239" s="116">
        <f>SUM(F239*1.5%)</f>
        <v>270.702</v>
      </c>
      <c r="H239" s="70"/>
      <c r="I239" s="597"/>
    </row>
    <row r="240" spans="2:9" x14ac:dyDescent="0.2">
      <c r="B240" s="600" t="s">
        <v>223</v>
      </c>
      <c r="C240" s="601"/>
      <c r="D240" s="91" t="s">
        <v>224</v>
      </c>
      <c r="E240" s="104">
        <v>0.4</v>
      </c>
      <c r="F240" s="104">
        <v>1010</v>
      </c>
      <c r="G240" s="88">
        <f>SUM(E240*F240)</f>
        <v>404</v>
      </c>
      <c r="H240" s="70"/>
      <c r="I240" s="597"/>
    </row>
    <row r="241" spans="2:9" x14ac:dyDescent="0.2">
      <c r="B241" s="587"/>
      <c r="C241" s="585"/>
      <c r="D241" s="585"/>
      <c r="E241" s="585"/>
      <c r="F241" s="71"/>
      <c r="G241" s="72" t="s">
        <v>197</v>
      </c>
      <c r="H241" s="72"/>
      <c r="I241" s="94">
        <f>SUM(G238:G240)</f>
        <v>1577.0419999999999</v>
      </c>
    </row>
    <row r="242" spans="2:9" x14ac:dyDescent="0.2">
      <c r="B242" s="73" t="s">
        <v>198</v>
      </c>
      <c r="C242" s="74"/>
      <c r="D242" s="75"/>
      <c r="E242" s="76"/>
      <c r="F242" s="77"/>
      <c r="G242" s="76"/>
      <c r="H242" s="76"/>
      <c r="I242" s="78"/>
    </row>
    <row r="243" spans="2:9" x14ac:dyDescent="0.2">
      <c r="B243" s="588" t="s">
        <v>188</v>
      </c>
      <c r="C243" s="589"/>
      <c r="D243" s="96" t="s">
        <v>199</v>
      </c>
      <c r="E243" s="110" t="s">
        <v>137</v>
      </c>
      <c r="F243" s="111" t="s">
        <v>200</v>
      </c>
      <c r="G243" s="110" t="s">
        <v>201</v>
      </c>
      <c r="H243" s="112"/>
      <c r="I243" s="100" t="s">
        <v>193</v>
      </c>
    </row>
    <row r="244" spans="2:9" x14ac:dyDescent="0.2">
      <c r="B244" s="590" t="s">
        <v>243</v>
      </c>
      <c r="C244" s="591"/>
      <c r="D244" s="79" t="s">
        <v>231</v>
      </c>
      <c r="E244" s="80">
        <v>0.02</v>
      </c>
      <c r="F244" s="81">
        <v>3</v>
      </c>
      <c r="G244" s="82">
        <f>348454*1.2</f>
        <v>418144.8</v>
      </c>
      <c r="H244" s="83"/>
      <c r="I244" s="90">
        <f t="shared" ref="I244:I252" si="5">(E244*(1+F244/100)) * (G244*(1+H244/100))</f>
        <v>8613.7828800000007</v>
      </c>
    </row>
    <row r="245" spans="2:9" x14ac:dyDescent="0.2">
      <c r="B245" s="590"/>
      <c r="C245" s="591"/>
      <c r="D245" s="79"/>
      <c r="E245" s="80"/>
      <c r="F245" s="136"/>
      <c r="G245" s="82"/>
      <c r="H245" s="84"/>
      <c r="I245" s="90">
        <f t="shared" si="5"/>
        <v>0</v>
      </c>
    </row>
    <row r="246" spans="2:9" x14ac:dyDescent="0.2">
      <c r="B246" s="590"/>
      <c r="C246" s="591"/>
      <c r="D246" s="79"/>
      <c r="E246" s="80"/>
      <c r="F246" s="87"/>
      <c r="G246" s="82"/>
      <c r="H246" s="85"/>
      <c r="I246" s="90">
        <f t="shared" si="5"/>
        <v>0</v>
      </c>
    </row>
    <row r="247" spans="2:9" x14ac:dyDescent="0.2">
      <c r="B247" s="590"/>
      <c r="C247" s="591"/>
      <c r="D247" s="79"/>
      <c r="E247" s="80"/>
      <c r="F247" s="87"/>
      <c r="G247" s="82"/>
      <c r="H247" s="85"/>
      <c r="I247" s="90">
        <f t="shared" si="5"/>
        <v>0</v>
      </c>
    </row>
    <row r="248" spans="2:9" x14ac:dyDescent="0.2">
      <c r="B248" s="590"/>
      <c r="C248" s="591"/>
      <c r="D248" s="79"/>
      <c r="E248" s="80"/>
      <c r="F248" s="87"/>
      <c r="G248" s="82"/>
      <c r="H248" s="85"/>
      <c r="I248" s="90">
        <f t="shared" si="5"/>
        <v>0</v>
      </c>
    </row>
    <row r="249" spans="2:9" x14ac:dyDescent="0.2">
      <c r="B249" s="590"/>
      <c r="C249" s="591"/>
      <c r="D249" s="79"/>
      <c r="E249" s="80"/>
      <c r="F249" s="87"/>
      <c r="G249" s="82"/>
      <c r="H249" s="85"/>
      <c r="I249" s="90">
        <f t="shared" si="5"/>
        <v>0</v>
      </c>
    </row>
    <row r="250" spans="2:9" x14ac:dyDescent="0.2">
      <c r="B250" s="590"/>
      <c r="C250" s="591"/>
      <c r="D250" s="86"/>
      <c r="E250" s="80"/>
      <c r="F250" s="87"/>
      <c r="G250" s="82"/>
      <c r="H250" s="85"/>
      <c r="I250" s="90">
        <f t="shared" si="5"/>
        <v>0</v>
      </c>
    </row>
    <row r="251" spans="2:9" x14ac:dyDescent="0.2">
      <c r="B251" s="562"/>
      <c r="C251" s="563"/>
      <c r="D251" s="91"/>
      <c r="E251" s="80"/>
      <c r="F251" s="87"/>
      <c r="G251" s="88"/>
      <c r="H251" s="89"/>
      <c r="I251" s="90">
        <f t="shared" si="5"/>
        <v>0</v>
      </c>
    </row>
    <row r="252" spans="2:9" x14ac:dyDescent="0.2">
      <c r="B252" s="562"/>
      <c r="C252" s="563"/>
      <c r="D252" s="91"/>
      <c r="E252" s="80"/>
      <c r="F252" s="87"/>
      <c r="G252" s="88"/>
      <c r="H252" s="89"/>
      <c r="I252" s="90">
        <f t="shared" si="5"/>
        <v>0</v>
      </c>
    </row>
    <row r="253" spans="2:9" x14ac:dyDescent="0.2">
      <c r="B253" s="92"/>
      <c r="C253" s="76"/>
      <c r="D253" s="75"/>
      <c r="E253" s="76"/>
      <c r="F253" s="585" t="s">
        <v>202</v>
      </c>
      <c r="G253" s="586"/>
      <c r="H253" s="93"/>
      <c r="I253" s="94">
        <f>SUM(I244:I252)</f>
        <v>8613.7828800000007</v>
      </c>
    </row>
    <row r="254" spans="2:9" ht="14.25" x14ac:dyDescent="0.2">
      <c r="B254" s="73" t="s">
        <v>203</v>
      </c>
      <c r="C254" s="74"/>
      <c r="D254" s="75"/>
      <c r="E254" s="76"/>
      <c r="F254" s="77"/>
      <c r="G254" s="76"/>
      <c r="H254" s="76"/>
      <c r="I254" s="95"/>
    </row>
    <row r="255" spans="2:9" x14ac:dyDescent="0.2">
      <c r="B255" s="588" t="s">
        <v>188</v>
      </c>
      <c r="C255" s="589"/>
      <c r="D255" s="96" t="s">
        <v>204</v>
      </c>
      <c r="E255" s="97" t="s">
        <v>205</v>
      </c>
      <c r="F255" s="98" t="s">
        <v>206</v>
      </c>
      <c r="G255" s="97" t="s">
        <v>207</v>
      </c>
      <c r="H255" s="99"/>
      <c r="I255" s="100" t="s">
        <v>193</v>
      </c>
    </row>
    <row r="256" spans="2:9" x14ac:dyDescent="0.2">
      <c r="B256" s="623"/>
      <c r="C256" s="624"/>
      <c r="D256" s="137"/>
      <c r="E256" s="101"/>
      <c r="F256" s="102"/>
      <c r="G256" s="82">
        <f>+D256*F256</f>
        <v>0</v>
      </c>
      <c r="H256" s="83"/>
      <c r="I256" s="103"/>
    </row>
    <row r="257" spans="2:9" x14ac:dyDescent="0.2">
      <c r="B257" s="623"/>
      <c r="C257" s="624"/>
      <c r="D257" s="137"/>
      <c r="E257" s="101"/>
      <c r="F257" s="104"/>
      <c r="G257" s="82">
        <f>+D257*F257</f>
        <v>0</v>
      </c>
      <c r="H257" s="85"/>
      <c r="I257" s="103"/>
    </row>
    <row r="258" spans="2:9" x14ac:dyDescent="0.2">
      <c r="B258" s="105"/>
      <c r="C258" s="106"/>
      <c r="D258" s="75"/>
      <c r="E258" s="106"/>
      <c r="F258" s="107" t="s">
        <v>208</v>
      </c>
      <c r="G258" s="106"/>
      <c r="H258" s="108"/>
      <c r="I258" s="109">
        <f>SUM(G256:G257)</f>
        <v>0</v>
      </c>
    </row>
    <row r="259" spans="2:9" ht="14.25" x14ac:dyDescent="0.2">
      <c r="B259" s="73" t="s">
        <v>209</v>
      </c>
      <c r="C259" s="76"/>
      <c r="D259" s="75"/>
      <c r="E259" s="76"/>
      <c r="F259" s="77"/>
      <c r="G259" s="76"/>
      <c r="H259" s="76"/>
      <c r="I259" s="95"/>
    </row>
    <row r="260" spans="2:9" x14ac:dyDescent="0.2">
      <c r="B260" s="588" t="s">
        <v>188</v>
      </c>
      <c r="C260" s="589"/>
      <c r="D260" s="96" t="s">
        <v>136</v>
      </c>
      <c r="E260" s="110" t="s">
        <v>137</v>
      </c>
      <c r="F260" s="111" t="s">
        <v>201</v>
      </c>
      <c r="G260" s="112" t="s">
        <v>205</v>
      </c>
      <c r="H260" s="112"/>
      <c r="I260" s="100" t="s">
        <v>193</v>
      </c>
    </row>
    <row r="261" spans="2:9" x14ac:dyDescent="0.2">
      <c r="B261" s="590" t="s">
        <v>210</v>
      </c>
      <c r="C261" s="591"/>
      <c r="D261" s="91" t="s">
        <v>211</v>
      </c>
      <c r="E261" s="88">
        <v>1</v>
      </c>
      <c r="F261" s="104">
        <f>+(80000+50000*2)*1.671</f>
        <v>300780</v>
      </c>
      <c r="G261" s="113">
        <v>0.06</v>
      </c>
      <c r="H261" s="114"/>
      <c r="I261" s="115">
        <f>SUM(F261*E261)*G261</f>
        <v>18046.8</v>
      </c>
    </row>
    <row r="262" spans="2:9" x14ac:dyDescent="0.2">
      <c r="B262" s="627"/>
      <c r="C262" s="617"/>
      <c r="D262" s="91"/>
      <c r="E262" s="116"/>
      <c r="F262" s="117"/>
      <c r="G262" s="114"/>
      <c r="H262" s="114"/>
      <c r="I262" s="94">
        <f>SUM(F262*E262)*G262</f>
        <v>0</v>
      </c>
    </row>
    <row r="263" spans="2:9" x14ac:dyDescent="0.2">
      <c r="B263" s="598"/>
      <c r="C263" s="599"/>
      <c r="D263" s="91"/>
      <c r="E263" s="118"/>
      <c r="F263" s="117"/>
      <c r="G263" s="114"/>
      <c r="H263" s="114"/>
      <c r="I263" s="94">
        <f>SUM(F263*E263)*G263</f>
        <v>0</v>
      </c>
    </row>
    <row r="264" spans="2:9" x14ac:dyDescent="0.2">
      <c r="B264" s="92"/>
      <c r="C264" s="76"/>
      <c r="D264" s="75"/>
      <c r="E264" s="76"/>
      <c r="F264" s="605" t="s">
        <v>212</v>
      </c>
      <c r="G264" s="605"/>
      <c r="H264" s="119"/>
      <c r="I264" s="94">
        <f>I261</f>
        <v>18046.8</v>
      </c>
    </row>
    <row r="265" spans="2:9" ht="13.5" thickBot="1" x14ac:dyDescent="0.25">
      <c r="B265" s="92"/>
      <c r="C265" s="76"/>
      <c r="D265" s="75"/>
      <c r="E265" s="76"/>
      <c r="F265" s="120"/>
      <c r="G265" s="119"/>
      <c r="H265" s="119"/>
      <c r="I265" s="78"/>
    </row>
    <row r="266" spans="2:9" ht="13.5" thickBot="1" x14ac:dyDescent="0.25">
      <c r="B266" s="92"/>
      <c r="C266" s="76"/>
      <c r="D266" s="75"/>
      <c r="E266" s="606" t="s">
        <v>213</v>
      </c>
      <c r="F266" s="606"/>
      <c r="G266" s="606"/>
      <c r="H266" s="121"/>
      <c r="I266" s="122">
        <f>ROUND(SUM(I241+I253+I258+I264),0)</f>
        <v>28238</v>
      </c>
    </row>
    <row r="267" spans="2:9" ht="15" thickBot="1" x14ac:dyDescent="0.25">
      <c r="B267" s="73" t="s">
        <v>214</v>
      </c>
      <c r="C267" s="76"/>
      <c r="D267" s="123"/>
      <c r="E267" s="124"/>
      <c r="F267" s="77"/>
      <c r="G267" s="76"/>
      <c r="H267" s="76"/>
      <c r="I267" s="78"/>
    </row>
    <row r="268" spans="2:9" x14ac:dyDescent="0.2">
      <c r="B268" s="607" t="s">
        <v>215</v>
      </c>
      <c r="C268" s="608"/>
      <c r="D268" s="613" t="s">
        <v>216</v>
      </c>
      <c r="E268" s="614"/>
      <c r="F268" s="125" t="s">
        <v>195</v>
      </c>
      <c r="G268" s="126" t="s">
        <v>217</v>
      </c>
      <c r="H268" s="127"/>
      <c r="I268" s="615"/>
    </row>
    <row r="269" spans="2:9" x14ac:dyDescent="0.2">
      <c r="B269" s="609"/>
      <c r="C269" s="610"/>
      <c r="D269" s="617" t="s">
        <v>218</v>
      </c>
      <c r="E269" s="618"/>
      <c r="F269" s="128">
        <v>25</v>
      </c>
      <c r="G269" s="116">
        <f>I266*20%</f>
        <v>5647.6</v>
      </c>
      <c r="H269" s="129"/>
      <c r="I269" s="616"/>
    </row>
    <row r="270" spans="2:9" x14ac:dyDescent="0.2">
      <c r="B270" s="609"/>
      <c r="C270" s="610"/>
      <c r="D270" s="617" t="s">
        <v>168</v>
      </c>
      <c r="E270" s="618"/>
      <c r="F270" s="128">
        <v>5</v>
      </c>
      <c r="G270" s="116">
        <f>I266*5%</f>
        <v>1411.9</v>
      </c>
      <c r="H270" s="129"/>
      <c r="I270" s="616"/>
    </row>
    <row r="271" spans="2:9" x14ac:dyDescent="0.2">
      <c r="B271" s="609"/>
      <c r="C271" s="610"/>
      <c r="D271" s="619" t="s">
        <v>219</v>
      </c>
      <c r="E271" s="617"/>
      <c r="F271" s="128">
        <f>SUM(F269:F270)</f>
        <v>30</v>
      </c>
      <c r="G271" s="116">
        <f>SUM(G269:G270)</f>
        <v>7059.5</v>
      </c>
      <c r="H271" s="129"/>
      <c r="I271" s="616"/>
    </row>
    <row r="272" spans="2:9" ht="15" thickBot="1" x14ac:dyDescent="0.25">
      <c r="B272" s="609"/>
      <c r="C272" s="610"/>
      <c r="D272" s="130"/>
      <c r="E272" s="620" t="s">
        <v>220</v>
      </c>
      <c r="F272" s="621"/>
      <c r="G272" s="622"/>
      <c r="H272" s="38"/>
      <c r="I272" s="131">
        <f>SUM(G271:G271)</f>
        <v>7059.5</v>
      </c>
    </row>
    <row r="273" spans="2:9" ht="16.5" thickBot="1" x14ac:dyDescent="0.3">
      <c r="B273" s="611"/>
      <c r="C273" s="612"/>
      <c r="D273" s="628" t="s">
        <v>221</v>
      </c>
      <c r="E273" s="629"/>
      <c r="F273" s="630"/>
      <c r="G273" s="602">
        <f>SUM(I266+I272)</f>
        <v>35297.5</v>
      </c>
      <c r="H273" s="603"/>
      <c r="I273" s="604"/>
    </row>
    <row r="275" spans="2:9" ht="18.75" thickBot="1" x14ac:dyDescent="0.3">
      <c r="B275" s="564" t="s">
        <v>180</v>
      </c>
      <c r="C275" s="564"/>
      <c r="D275" s="564"/>
      <c r="E275" s="564"/>
      <c r="F275" s="564"/>
      <c r="G275" s="564"/>
      <c r="H275" s="564"/>
      <c r="I275" s="564"/>
    </row>
    <row r="276" spans="2:9" ht="15.75" thickBot="1" x14ac:dyDescent="0.3">
      <c r="B276" s="59" t="s">
        <v>181</v>
      </c>
      <c r="C276" s="565" t="s">
        <v>393</v>
      </c>
      <c r="D276" s="566"/>
      <c r="E276" s="566"/>
      <c r="F276" s="567"/>
      <c r="G276" s="60" t="s">
        <v>5</v>
      </c>
      <c r="H276" s="61"/>
      <c r="I276" s="62">
        <v>45373</v>
      </c>
    </row>
    <row r="277" spans="2:9" ht="13.5" thickBot="1" x14ac:dyDescent="0.25">
      <c r="B277" s="568" t="s">
        <v>182</v>
      </c>
      <c r="C277" s="569"/>
      <c r="D277" s="570"/>
      <c r="E277" s="568" t="s">
        <v>183</v>
      </c>
      <c r="F277" s="569"/>
      <c r="G277" s="569"/>
      <c r="H277" s="569"/>
      <c r="I277" s="570"/>
    </row>
    <row r="278" spans="2:9" ht="13.5" thickBot="1" x14ac:dyDescent="0.25">
      <c r="B278" s="571"/>
      <c r="C278" s="572"/>
      <c r="D278" s="573"/>
      <c r="E278" s="574" t="s">
        <v>51</v>
      </c>
      <c r="F278" s="575"/>
      <c r="G278" s="575"/>
      <c r="H278" s="575"/>
      <c r="I278" s="576"/>
    </row>
    <row r="279" spans="2:9" ht="13.5" thickBot="1" x14ac:dyDescent="0.25">
      <c r="B279" s="63" t="s">
        <v>184</v>
      </c>
      <c r="C279" s="64" t="s">
        <v>185</v>
      </c>
      <c r="D279" s="65" t="s">
        <v>148</v>
      </c>
      <c r="E279" s="577"/>
      <c r="F279" s="578"/>
      <c r="G279" s="578"/>
      <c r="H279" s="578"/>
      <c r="I279" s="579"/>
    </row>
    <row r="280" spans="2:9" ht="13.5" thickBot="1" x14ac:dyDescent="0.25">
      <c r="B280" s="583" t="s">
        <v>186</v>
      </c>
      <c r="C280" s="584"/>
      <c r="D280" s="66"/>
      <c r="E280" s="580"/>
      <c r="F280" s="581"/>
      <c r="G280" s="581"/>
      <c r="H280" s="581"/>
      <c r="I280" s="582"/>
    </row>
    <row r="281" spans="2:9" x14ac:dyDescent="0.2">
      <c r="B281" s="67" t="s">
        <v>187</v>
      </c>
      <c r="C281" s="68"/>
      <c r="D281" s="592"/>
      <c r="E281" s="592"/>
      <c r="F281" s="592"/>
      <c r="G281" s="592"/>
      <c r="H281" s="592"/>
      <c r="I281" s="593"/>
    </row>
    <row r="282" spans="2:9" x14ac:dyDescent="0.2">
      <c r="B282" s="588" t="s">
        <v>188</v>
      </c>
      <c r="C282" s="589"/>
      <c r="D282" s="96" t="s">
        <v>189</v>
      </c>
      <c r="E282" s="134" t="s">
        <v>190</v>
      </c>
      <c r="F282" s="111" t="s">
        <v>191</v>
      </c>
      <c r="G282" s="110" t="s">
        <v>192</v>
      </c>
      <c r="H282" s="112"/>
      <c r="I282" s="100" t="s">
        <v>193</v>
      </c>
    </row>
    <row r="283" spans="2:9" x14ac:dyDescent="0.2">
      <c r="B283" s="594" t="s">
        <v>194</v>
      </c>
      <c r="C283" s="595"/>
      <c r="D283" s="91" t="s">
        <v>195</v>
      </c>
      <c r="E283" s="135">
        <v>5</v>
      </c>
      <c r="F283" s="135">
        <f>SUM(I309)</f>
        <v>21054.600000000002</v>
      </c>
      <c r="G283" s="116">
        <f>SUM(F283*5%)</f>
        <v>1052.7300000000002</v>
      </c>
      <c r="H283" s="69"/>
      <c r="I283" s="596"/>
    </row>
    <row r="284" spans="2:9" x14ac:dyDescent="0.2">
      <c r="B284" s="598" t="s">
        <v>196</v>
      </c>
      <c r="C284" s="599"/>
      <c r="D284" s="91" t="s">
        <v>195</v>
      </c>
      <c r="E284" s="135">
        <v>1.5</v>
      </c>
      <c r="F284" s="135">
        <f>SUM(I309)</f>
        <v>21054.600000000002</v>
      </c>
      <c r="G284" s="116">
        <f>SUM(F284*1.5%)</f>
        <v>315.81900000000002</v>
      </c>
      <c r="H284" s="70"/>
      <c r="I284" s="597"/>
    </row>
    <row r="285" spans="2:9" x14ac:dyDescent="0.2">
      <c r="B285" s="600" t="s">
        <v>223</v>
      </c>
      <c r="C285" s="601"/>
      <c r="D285" s="91" t="s">
        <v>224</v>
      </c>
      <c r="E285" s="104">
        <v>0.4</v>
      </c>
      <c r="F285" s="104">
        <v>1010</v>
      </c>
      <c r="G285" s="88">
        <f>SUM(E285*F285)</f>
        <v>404</v>
      </c>
      <c r="H285" s="70"/>
      <c r="I285" s="597"/>
    </row>
    <row r="286" spans="2:9" x14ac:dyDescent="0.2">
      <c r="B286" s="587"/>
      <c r="C286" s="585"/>
      <c r="D286" s="585"/>
      <c r="E286" s="585"/>
      <c r="F286" s="71"/>
      <c r="G286" s="72" t="s">
        <v>197</v>
      </c>
      <c r="H286" s="72"/>
      <c r="I286" s="94">
        <f>SUM(G283:G285)</f>
        <v>1772.5490000000002</v>
      </c>
    </row>
    <row r="287" spans="2:9" x14ac:dyDescent="0.2">
      <c r="B287" s="73" t="s">
        <v>198</v>
      </c>
      <c r="C287" s="74"/>
      <c r="D287" s="75"/>
      <c r="E287" s="76"/>
      <c r="F287" s="77"/>
      <c r="G287" s="76"/>
      <c r="H287" s="76"/>
      <c r="I287" s="78"/>
    </row>
    <row r="288" spans="2:9" x14ac:dyDescent="0.2">
      <c r="B288" s="588" t="s">
        <v>188</v>
      </c>
      <c r="C288" s="589"/>
      <c r="D288" s="96" t="s">
        <v>199</v>
      </c>
      <c r="E288" s="110" t="s">
        <v>137</v>
      </c>
      <c r="F288" s="111" t="s">
        <v>200</v>
      </c>
      <c r="G288" s="110" t="s">
        <v>201</v>
      </c>
      <c r="H288" s="112"/>
      <c r="I288" s="100" t="s">
        <v>193</v>
      </c>
    </row>
    <row r="289" spans="2:9" x14ac:dyDescent="0.2">
      <c r="B289" s="590" t="s">
        <v>257</v>
      </c>
      <c r="C289" s="591"/>
      <c r="D289" s="79" t="s">
        <v>231</v>
      </c>
      <c r="E289" s="80">
        <v>0.02</v>
      </c>
      <c r="F289" s="81">
        <v>3</v>
      </c>
      <c r="G289" s="82">
        <f>348454*1.5</f>
        <v>522681</v>
      </c>
      <c r="H289" s="83"/>
      <c r="I289" s="90">
        <f t="shared" ref="I289:I297" si="6">(E289*(1+F289/100)) * (G289*(1+H289/100))</f>
        <v>10767.2286</v>
      </c>
    </row>
    <row r="290" spans="2:9" x14ac:dyDescent="0.2">
      <c r="B290" s="590"/>
      <c r="C290" s="591"/>
      <c r="D290" s="79"/>
      <c r="E290" s="80"/>
      <c r="F290" s="136"/>
      <c r="G290" s="82"/>
      <c r="H290" s="84"/>
      <c r="I290" s="90">
        <f t="shared" si="6"/>
        <v>0</v>
      </c>
    </row>
    <row r="291" spans="2:9" x14ac:dyDescent="0.2">
      <c r="B291" s="590"/>
      <c r="C291" s="591"/>
      <c r="D291" s="79"/>
      <c r="E291" s="80"/>
      <c r="F291" s="87"/>
      <c r="G291" s="82"/>
      <c r="H291" s="85"/>
      <c r="I291" s="90">
        <f t="shared" si="6"/>
        <v>0</v>
      </c>
    </row>
    <row r="292" spans="2:9" x14ac:dyDescent="0.2">
      <c r="B292" s="590"/>
      <c r="C292" s="591"/>
      <c r="D292" s="79"/>
      <c r="E292" s="80"/>
      <c r="F292" s="87"/>
      <c r="G292" s="82"/>
      <c r="H292" s="85"/>
      <c r="I292" s="90">
        <f t="shared" si="6"/>
        <v>0</v>
      </c>
    </row>
    <row r="293" spans="2:9" x14ac:dyDescent="0.2">
      <c r="B293" s="590"/>
      <c r="C293" s="591"/>
      <c r="D293" s="79"/>
      <c r="E293" s="80"/>
      <c r="F293" s="87"/>
      <c r="G293" s="82"/>
      <c r="H293" s="85"/>
      <c r="I293" s="90">
        <f t="shared" si="6"/>
        <v>0</v>
      </c>
    </row>
    <row r="294" spans="2:9" x14ac:dyDescent="0.2">
      <c r="B294" s="590"/>
      <c r="C294" s="591"/>
      <c r="D294" s="79"/>
      <c r="E294" s="80"/>
      <c r="F294" s="87"/>
      <c r="G294" s="82"/>
      <c r="H294" s="85"/>
      <c r="I294" s="90">
        <f t="shared" si="6"/>
        <v>0</v>
      </c>
    </row>
    <row r="295" spans="2:9" x14ac:dyDescent="0.2">
      <c r="B295" s="590"/>
      <c r="C295" s="591"/>
      <c r="D295" s="86"/>
      <c r="E295" s="80"/>
      <c r="F295" s="87"/>
      <c r="G295" s="82"/>
      <c r="H295" s="85"/>
      <c r="I295" s="90">
        <f t="shared" si="6"/>
        <v>0</v>
      </c>
    </row>
    <row r="296" spans="2:9" x14ac:dyDescent="0.2">
      <c r="B296" s="562"/>
      <c r="C296" s="563"/>
      <c r="D296" s="91"/>
      <c r="E296" s="80"/>
      <c r="F296" s="87"/>
      <c r="G296" s="88"/>
      <c r="H296" s="89"/>
      <c r="I296" s="90">
        <f t="shared" si="6"/>
        <v>0</v>
      </c>
    </row>
    <row r="297" spans="2:9" x14ac:dyDescent="0.2">
      <c r="B297" s="562"/>
      <c r="C297" s="563"/>
      <c r="D297" s="91"/>
      <c r="E297" s="80"/>
      <c r="F297" s="87"/>
      <c r="G297" s="88"/>
      <c r="H297" s="89"/>
      <c r="I297" s="90">
        <f t="shared" si="6"/>
        <v>0</v>
      </c>
    </row>
    <row r="298" spans="2:9" x14ac:dyDescent="0.2">
      <c r="B298" s="92"/>
      <c r="C298" s="76"/>
      <c r="D298" s="75"/>
      <c r="E298" s="76"/>
      <c r="F298" s="585" t="s">
        <v>202</v>
      </c>
      <c r="G298" s="586"/>
      <c r="H298" s="93"/>
      <c r="I298" s="94">
        <f>SUM(I289:I297)</f>
        <v>10767.2286</v>
      </c>
    </row>
    <row r="299" spans="2:9" ht="14.25" x14ac:dyDescent="0.2">
      <c r="B299" s="73" t="s">
        <v>203</v>
      </c>
      <c r="C299" s="74"/>
      <c r="D299" s="75"/>
      <c r="E299" s="76"/>
      <c r="F299" s="77"/>
      <c r="G299" s="76"/>
      <c r="H299" s="76"/>
      <c r="I299" s="95"/>
    </row>
    <row r="300" spans="2:9" x14ac:dyDescent="0.2">
      <c r="B300" s="588" t="s">
        <v>188</v>
      </c>
      <c r="C300" s="589"/>
      <c r="D300" s="96" t="s">
        <v>204</v>
      </c>
      <c r="E300" s="97" t="s">
        <v>205</v>
      </c>
      <c r="F300" s="98" t="s">
        <v>206</v>
      </c>
      <c r="G300" s="97" t="s">
        <v>207</v>
      </c>
      <c r="H300" s="99"/>
      <c r="I300" s="100" t="s">
        <v>193</v>
      </c>
    </row>
    <row r="301" spans="2:9" x14ac:dyDescent="0.2">
      <c r="B301" s="623"/>
      <c r="C301" s="624"/>
      <c r="D301" s="137"/>
      <c r="E301" s="101"/>
      <c r="F301" s="102"/>
      <c r="G301" s="82">
        <f>+D301*F301</f>
        <v>0</v>
      </c>
      <c r="H301" s="83"/>
      <c r="I301" s="103"/>
    </row>
    <row r="302" spans="2:9" x14ac:dyDescent="0.2">
      <c r="B302" s="623"/>
      <c r="C302" s="624"/>
      <c r="D302" s="137"/>
      <c r="E302" s="101"/>
      <c r="F302" s="104"/>
      <c r="G302" s="82">
        <f>+D302*F302</f>
        <v>0</v>
      </c>
      <c r="H302" s="85"/>
      <c r="I302" s="103"/>
    </row>
    <row r="303" spans="2:9" x14ac:dyDescent="0.2">
      <c r="B303" s="105"/>
      <c r="C303" s="106"/>
      <c r="D303" s="75"/>
      <c r="E303" s="106"/>
      <c r="F303" s="107" t="s">
        <v>208</v>
      </c>
      <c r="G303" s="106"/>
      <c r="H303" s="108"/>
      <c r="I303" s="109">
        <f>SUM(G301:G302)</f>
        <v>0</v>
      </c>
    </row>
    <row r="304" spans="2:9" ht="14.25" x14ac:dyDescent="0.2">
      <c r="B304" s="73" t="s">
        <v>209</v>
      </c>
      <c r="C304" s="76"/>
      <c r="D304" s="75"/>
      <c r="E304" s="76"/>
      <c r="F304" s="77"/>
      <c r="G304" s="76"/>
      <c r="H304" s="76"/>
      <c r="I304" s="95"/>
    </row>
    <row r="305" spans="2:9" x14ac:dyDescent="0.2">
      <c r="B305" s="588" t="s">
        <v>188</v>
      </c>
      <c r="C305" s="589"/>
      <c r="D305" s="96" t="s">
        <v>136</v>
      </c>
      <c r="E305" s="110" t="s">
        <v>137</v>
      </c>
      <c r="F305" s="111" t="s">
        <v>201</v>
      </c>
      <c r="G305" s="112" t="s">
        <v>205</v>
      </c>
      <c r="H305" s="112"/>
      <c r="I305" s="100" t="s">
        <v>193</v>
      </c>
    </row>
    <row r="306" spans="2:9" x14ac:dyDescent="0.2">
      <c r="B306" s="590" t="s">
        <v>210</v>
      </c>
      <c r="C306" s="591"/>
      <c r="D306" s="91" t="s">
        <v>211</v>
      </c>
      <c r="E306" s="88">
        <v>1</v>
      </c>
      <c r="F306" s="104">
        <f>+(80000+50000*2)*1.671</f>
        <v>300780</v>
      </c>
      <c r="G306" s="113">
        <v>7.0000000000000007E-2</v>
      </c>
      <c r="H306" s="114"/>
      <c r="I306" s="115">
        <f>SUM(F306*E306)*G306</f>
        <v>21054.600000000002</v>
      </c>
    </row>
    <row r="307" spans="2:9" x14ac:dyDescent="0.2">
      <c r="B307" s="627"/>
      <c r="C307" s="617"/>
      <c r="D307" s="91"/>
      <c r="E307" s="116"/>
      <c r="F307" s="117"/>
      <c r="G307" s="114"/>
      <c r="H307" s="114"/>
      <c r="I307" s="94">
        <f>SUM(F307*E307)*G307</f>
        <v>0</v>
      </c>
    </row>
    <row r="308" spans="2:9" x14ac:dyDescent="0.2">
      <c r="B308" s="598"/>
      <c r="C308" s="599"/>
      <c r="D308" s="91"/>
      <c r="E308" s="118"/>
      <c r="F308" s="117"/>
      <c r="G308" s="114"/>
      <c r="H308" s="114"/>
      <c r="I308" s="94">
        <f>SUM(F308*E308)*G308</f>
        <v>0</v>
      </c>
    </row>
    <row r="309" spans="2:9" x14ac:dyDescent="0.2">
      <c r="B309" s="92"/>
      <c r="C309" s="76"/>
      <c r="D309" s="75"/>
      <c r="E309" s="76"/>
      <c r="F309" s="605" t="s">
        <v>212</v>
      </c>
      <c r="G309" s="605"/>
      <c r="H309" s="119"/>
      <c r="I309" s="94">
        <f>I306</f>
        <v>21054.600000000002</v>
      </c>
    </row>
    <row r="310" spans="2:9" ht="13.5" thickBot="1" x14ac:dyDescent="0.25">
      <c r="B310" s="92"/>
      <c r="C310" s="76"/>
      <c r="D310" s="75"/>
      <c r="E310" s="76"/>
      <c r="F310" s="120"/>
      <c r="G310" s="119"/>
      <c r="H310" s="119"/>
      <c r="I310" s="78"/>
    </row>
    <row r="311" spans="2:9" ht="13.5" thickBot="1" x14ac:dyDescent="0.25">
      <c r="B311" s="92"/>
      <c r="C311" s="76"/>
      <c r="D311" s="75"/>
      <c r="E311" s="606" t="s">
        <v>213</v>
      </c>
      <c r="F311" s="606"/>
      <c r="G311" s="606"/>
      <c r="H311" s="121"/>
      <c r="I311" s="122">
        <f>ROUND(SUM(I286+I298+I303+I309),0)</f>
        <v>33594</v>
      </c>
    </row>
    <row r="312" spans="2:9" ht="15" thickBot="1" x14ac:dyDescent="0.25">
      <c r="B312" s="73" t="s">
        <v>214</v>
      </c>
      <c r="C312" s="76"/>
      <c r="D312" s="123"/>
      <c r="E312" s="124"/>
      <c r="F312" s="77"/>
      <c r="G312" s="76"/>
      <c r="H312" s="76"/>
      <c r="I312" s="78"/>
    </row>
    <row r="313" spans="2:9" x14ac:dyDescent="0.2">
      <c r="B313" s="607" t="s">
        <v>215</v>
      </c>
      <c r="C313" s="608"/>
      <c r="D313" s="613" t="s">
        <v>216</v>
      </c>
      <c r="E313" s="614"/>
      <c r="F313" s="125" t="s">
        <v>195</v>
      </c>
      <c r="G313" s="126" t="s">
        <v>217</v>
      </c>
      <c r="H313" s="127"/>
      <c r="I313" s="615"/>
    </row>
    <row r="314" spans="2:9" x14ac:dyDescent="0.2">
      <c r="B314" s="609"/>
      <c r="C314" s="610"/>
      <c r="D314" s="617" t="s">
        <v>218</v>
      </c>
      <c r="E314" s="618"/>
      <c r="F314" s="128">
        <v>25</v>
      </c>
      <c r="G314" s="116">
        <f>I311*20%</f>
        <v>6718.8</v>
      </c>
      <c r="H314" s="129"/>
      <c r="I314" s="616"/>
    </row>
    <row r="315" spans="2:9" x14ac:dyDescent="0.2">
      <c r="B315" s="609"/>
      <c r="C315" s="610"/>
      <c r="D315" s="617" t="s">
        <v>168</v>
      </c>
      <c r="E315" s="618"/>
      <c r="F315" s="128">
        <v>5</v>
      </c>
      <c r="G315" s="116">
        <f>I311*5%</f>
        <v>1679.7</v>
      </c>
      <c r="H315" s="129"/>
      <c r="I315" s="616"/>
    </row>
    <row r="316" spans="2:9" x14ac:dyDescent="0.2">
      <c r="B316" s="609"/>
      <c r="C316" s="610"/>
      <c r="D316" s="619" t="s">
        <v>219</v>
      </c>
      <c r="E316" s="617"/>
      <c r="F316" s="128">
        <f>SUM(F314:F315)</f>
        <v>30</v>
      </c>
      <c r="G316" s="116">
        <f>SUM(G314:G315)</f>
        <v>8398.5</v>
      </c>
      <c r="H316" s="129"/>
      <c r="I316" s="616"/>
    </row>
    <row r="317" spans="2:9" ht="15" thickBot="1" x14ac:dyDescent="0.25">
      <c r="B317" s="609"/>
      <c r="C317" s="610"/>
      <c r="D317" s="130"/>
      <c r="E317" s="620" t="s">
        <v>220</v>
      </c>
      <c r="F317" s="621"/>
      <c r="G317" s="622"/>
      <c r="H317" s="38"/>
      <c r="I317" s="131">
        <f>SUM(G316:G316)</f>
        <v>8398.5</v>
      </c>
    </row>
    <row r="318" spans="2:9" ht="16.5" thickBot="1" x14ac:dyDescent="0.3">
      <c r="B318" s="611"/>
      <c r="C318" s="612"/>
      <c r="D318" s="628" t="s">
        <v>221</v>
      </c>
      <c r="E318" s="629"/>
      <c r="F318" s="630"/>
      <c r="G318" s="602">
        <f>SUM(I311+I317)</f>
        <v>41992.5</v>
      </c>
      <c r="H318" s="603"/>
      <c r="I318" s="604"/>
    </row>
    <row r="320" spans="2:9" ht="18.75" thickBot="1" x14ac:dyDescent="0.3">
      <c r="B320" s="564" t="s">
        <v>180</v>
      </c>
      <c r="C320" s="564"/>
      <c r="D320" s="564"/>
      <c r="E320" s="564"/>
      <c r="F320" s="564"/>
      <c r="G320" s="564"/>
      <c r="H320" s="564"/>
      <c r="I320" s="564"/>
    </row>
    <row r="321" spans="2:9" ht="15.75" thickBot="1" x14ac:dyDescent="0.3">
      <c r="B321" s="59" t="s">
        <v>181</v>
      </c>
      <c r="C321" s="565" t="s">
        <v>393</v>
      </c>
      <c r="D321" s="566"/>
      <c r="E321" s="566"/>
      <c r="F321" s="567"/>
      <c r="G321" s="60" t="s">
        <v>5</v>
      </c>
      <c r="H321" s="61"/>
      <c r="I321" s="62">
        <v>45373</v>
      </c>
    </row>
    <row r="322" spans="2:9" ht="13.5" thickBot="1" x14ac:dyDescent="0.25">
      <c r="B322" s="568" t="s">
        <v>182</v>
      </c>
      <c r="C322" s="569"/>
      <c r="D322" s="570"/>
      <c r="E322" s="568" t="s">
        <v>183</v>
      </c>
      <c r="F322" s="569"/>
      <c r="G322" s="569"/>
      <c r="H322" s="569"/>
      <c r="I322" s="570"/>
    </row>
    <row r="323" spans="2:9" ht="13.5" thickBot="1" x14ac:dyDescent="0.25">
      <c r="B323" s="571"/>
      <c r="C323" s="572"/>
      <c r="D323" s="573"/>
      <c r="E323" s="574" t="s">
        <v>56</v>
      </c>
      <c r="F323" s="575"/>
      <c r="G323" s="575"/>
      <c r="H323" s="575"/>
      <c r="I323" s="576"/>
    </row>
    <row r="324" spans="2:9" ht="13.5" thickBot="1" x14ac:dyDescent="0.25">
      <c r="B324" s="63" t="s">
        <v>225</v>
      </c>
      <c r="C324" s="64" t="s">
        <v>185</v>
      </c>
      <c r="D324" s="65" t="s">
        <v>150</v>
      </c>
      <c r="E324" s="577"/>
      <c r="F324" s="578"/>
      <c r="G324" s="578"/>
      <c r="H324" s="578"/>
      <c r="I324" s="579"/>
    </row>
    <row r="325" spans="2:9" ht="13.5" thickBot="1" x14ac:dyDescent="0.25">
      <c r="B325" s="583" t="s">
        <v>186</v>
      </c>
      <c r="C325" s="584"/>
      <c r="D325" s="66"/>
      <c r="E325" s="580"/>
      <c r="F325" s="581"/>
      <c r="G325" s="581"/>
      <c r="H325" s="581"/>
      <c r="I325" s="582"/>
    </row>
    <row r="326" spans="2:9" x14ac:dyDescent="0.2">
      <c r="B326" s="67" t="s">
        <v>187</v>
      </c>
      <c r="C326" s="68"/>
      <c r="D326" s="592"/>
      <c r="E326" s="592"/>
      <c r="F326" s="592"/>
      <c r="G326" s="592"/>
      <c r="H326" s="592"/>
      <c r="I326" s="593"/>
    </row>
    <row r="327" spans="2:9" x14ac:dyDescent="0.2">
      <c r="B327" s="588" t="s">
        <v>188</v>
      </c>
      <c r="C327" s="589"/>
      <c r="D327" s="96" t="s">
        <v>189</v>
      </c>
      <c r="E327" s="134" t="s">
        <v>190</v>
      </c>
      <c r="F327" s="111" t="s">
        <v>191</v>
      </c>
      <c r="G327" s="110" t="s">
        <v>192</v>
      </c>
      <c r="H327" s="112"/>
      <c r="I327" s="100" t="s">
        <v>193</v>
      </c>
    </row>
    <row r="328" spans="2:9" x14ac:dyDescent="0.2">
      <c r="B328" s="594" t="s">
        <v>194</v>
      </c>
      <c r="C328" s="595"/>
      <c r="D328" s="91" t="s">
        <v>195</v>
      </c>
      <c r="E328" s="135">
        <v>5</v>
      </c>
      <c r="F328" s="135">
        <f>SUM(I354)</f>
        <v>3609.36</v>
      </c>
      <c r="G328" s="116">
        <f>SUM(F328*5%)</f>
        <v>180.46800000000002</v>
      </c>
      <c r="H328" s="69"/>
      <c r="I328" s="596"/>
    </row>
    <row r="329" spans="2:9" x14ac:dyDescent="0.2">
      <c r="B329" s="598" t="s">
        <v>196</v>
      </c>
      <c r="C329" s="599"/>
      <c r="D329" s="91" t="s">
        <v>195</v>
      </c>
      <c r="E329" s="135">
        <v>1.5</v>
      </c>
      <c r="F329" s="135">
        <f>SUM(I354)</f>
        <v>3609.36</v>
      </c>
      <c r="G329" s="116">
        <f>SUM(F329*1.5%)</f>
        <v>54.1404</v>
      </c>
      <c r="H329" s="70"/>
      <c r="I329" s="597"/>
    </row>
    <row r="330" spans="2:9" x14ac:dyDescent="0.2">
      <c r="B330" s="600" t="s">
        <v>223</v>
      </c>
      <c r="C330" s="601"/>
      <c r="D330" s="91" t="s">
        <v>224</v>
      </c>
      <c r="E330" s="104">
        <v>0.2</v>
      </c>
      <c r="F330" s="104">
        <v>1010</v>
      </c>
      <c r="G330" s="88">
        <f>SUM(E330*F330)</f>
        <v>202</v>
      </c>
      <c r="H330" s="70"/>
      <c r="I330" s="597"/>
    </row>
    <row r="331" spans="2:9" x14ac:dyDescent="0.2">
      <c r="B331" s="587"/>
      <c r="C331" s="585"/>
      <c r="D331" s="585"/>
      <c r="E331" s="585"/>
      <c r="F331" s="71"/>
      <c r="G331" s="72" t="s">
        <v>197</v>
      </c>
      <c r="H331" s="72"/>
      <c r="I331" s="94">
        <f>SUM(G328:G330)</f>
        <v>436.60840000000002</v>
      </c>
    </row>
    <row r="332" spans="2:9" x14ac:dyDescent="0.2">
      <c r="B332" s="73" t="s">
        <v>198</v>
      </c>
      <c r="C332" s="74"/>
      <c r="D332" s="75"/>
      <c r="E332" s="76"/>
      <c r="F332" s="77"/>
      <c r="G332" s="76"/>
      <c r="H332" s="76"/>
      <c r="I332" s="78"/>
    </row>
    <row r="333" spans="2:9" x14ac:dyDescent="0.2">
      <c r="B333" s="588" t="s">
        <v>188</v>
      </c>
      <c r="C333" s="589"/>
      <c r="D333" s="96" t="s">
        <v>199</v>
      </c>
      <c r="E333" s="110" t="s">
        <v>137</v>
      </c>
      <c r="F333" s="111" t="s">
        <v>200</v>
      </c>
      <c r="G333" s="110" t="s">
        <v>201</v>
      </c>
      <c r="H333" s="112"/>
      <c r="I333" s="100" t="s">
        <v>193</v>
      </c>
    </row>
    <row r="334" spans="2:9" x14ac:dyDescent="0.2">
      <c r="B334" s="590" t="s">
        <v>243</v>
      </c>
      <c r="C334" s="591"/>
      <c r="D334" s="79" t="s">
        <v>231</v>
      </c>
      <c r="E334" s="80">
        <v>4.1999999999999997E-3</v>
      </c>
      <c r="F334" s="81">
        <v>3</v>
      </c>
      <c r="G334" s="82">
        <f>348454*1.2</f>
        <v>418144.8</v>
      </c>
      <c r="H334" s="83"/>
      <c r="I334" s="90">
        <f t="shared" ref="I334:I342" si="7">(E334*(1+F334/100)) * (G334*(1+H334/100))</f>
        <v>1808.8944047999998</v>
      </c>
    </row>
    <row r="335" spans="2:9" x14ac:dyDescent="0.2">
      <c r="B335" s="590"/>
      <c r="C335" s="591"/>
      <c r="D335" s="79"/>
      <c r="E335" s="80"/>
      <c r="F335" s="136"/>
      <c r="G335" s="82"/>
      <c r="H335" s="84"/>
      <c r="I335" s="90">
        <f t="shared" si="7"/>
        <v>0</v>
      </c>
    </row>
    <row r="336" spans="2:9" x14ac:dyDescent="0.2">
      <c r="B336" s="590"/>
      <c r="C336" s="591"/>
      <c r="D336" s="79"/>
      <c r="E336" s="80"/>
      <c r="F336" s="87"/>
      <c r="G336" s="82"/>
      <c r="H336" s="85"/>
      <c r="I336" s="90">
        <f t="shared" si="7"/>
        <v>0</v>
      </c>
    </row>
    <row r="337" spans="2:9" x14ac:dyDescent="0.2">
      <c r="B337" s="590"/>
      <c r="C337" s="591"/>
      <c r="D337" s="79"/>
      <c r="E337" s="80"/>
      <c r="F337" s="87"/>
      <c r="G337" s="82"/>
      <c r="H337" s="85"/>
      <c r="I337" s="90">
        <f t="shared" si="7"/>
        <v>0</v>
      </c>
    </row>
    <row r="338" spans="2:9" x14ac:dyDescent="0.2">
      <c r="B338" s="590"/>
      <c r="C338" s="591"/>
      <c r="D338" s="79"/>
      <c r="E338" s="80"/>
      <c r="F338" s="87"/>
      <c r="G338" s="82"/>
      <c r="H338" s="85"/>
      <c r="I338" s="90">
        <f t="shared" si="7"/>
        <v>0</v>
      </c>
    </row>
    <row r="339" spans="2:9" x14ac:dyDescent="0.2">
      <c r="B339" s="590"/>
      <c r="C339" s="591"/>
      <c r="D339" s="79"/>
      <c r="E339" s="80"/>
      <c r="F339" s="87"/>
      <c r="G339" s="82"/>
      <c r="H339" s="85"/>
      <c r="I339" s="90">
        <f t="shared" si="7"/>
        <v>0</v>
      </c>
    </row>
    <row r="340" spans="2:9" x14ac:dyDescent="0.2">
      <c r="B340" s="590"/>
      <c r="C340" s="591"/>
      <c r="D340" s="86"/>
      <c r="E340" s="80"/>
      <c r="F340" s="87"/>
      <c r="G340" s="82"/>
      <c r="H340" s="85"/>
      <c r="I340" s="90">
        <f t="shared" si="7"/>
        <v>0</v>
      </c>
    </row>
    <row r="341" spans="2:9" x14ac:dyDescent="0.2">
      <c r="B341" s="562"/>
      <c r="C341" s="563"/>
      <c r="D341" s="91"/>
      <c r="E341" s="80"/>
      <c r="F341" s="87"/>
      <c r="G341" s="88"/>
      <c r="H341" s="89"/>
      <c r="I341" s="90">
        <f t="shared" si="7"/>
        <v>0</v>
      </c>
    </row>
    <row r="342" spans="2:9" x14ac:dyDescent="0.2">
      <c r="B342" s="562"/>
      <c r="C342" s="563"/>
      <c r="D342" s="91"/>
      <c r="E342" s="80"/>
      <c r="F342" s="87"/>
      <c r="G342" s="88"/>
      <c r="H342" s="89"/>
      <c r="I342" s="90">
        <f t="shared" si="7"/>
        <v>0</v>
      </c>
    </row>
    <row r="343" spans="2:9" x14ac:dyDescent="0.2">
      <c r="B343" s="92"/>
      <c r="C343" s="76"/>
      <c r="D343" s="75"/>
      <c r="E343" s="76"/>
      <c r="F343" s="585" t="s">
        <v>202</v>
      </c>
      <c r="G343" s="586"/>
      <c r="H343" s="93"/>
      <c r="I343" s="94">
        <f>SUM(I334:I342)</f>
        <v>1808.8944047999998</v>
      </c>
    </row>
    <row r="344" spans="2:9" ht="14.25" x14ac:dyDescent="0.2">
      <c r="B344" s="73" t="s">
        <v>203</v>
      </c>
      <c r="C344" s="74"/>
      <c r="D344" s="75"/>
      <c r="E344" s="76"/>
      <c r="F344" s="77"/>
      <c r="G344" s="76"/>
      <c r="H344" s="76"/>
      <c r="I344" s="95"/>
    </row>
    <row r="345" spans="2:9" x14ac:dyDescent="0.2">
      <c r="B345" s="588" t="s">
        <v>188</v>
      </c>
      <c r="C345" s="589"/>
      <c r="D345" s="96" t="s">
        <v>204</v>
      </c>
      <c r="E345" s="97" t="s">
        <v>205</v>
      </c>
      <c r="F345" s="98" t="s">
        <v>206</v>
      </c>
      <c r="G345" s="97" t="s">
        <v>207</v>
      </c>
      <c r="H345" s="99"/>
      <c r="I345" s="100" t="s">
        <v>193</v>
      </c>
    </row>
    <row r="346" spans="2:9" x14ac:dyDescent="0.2">
      <c r="B346" s="623"/>
      <c r="C346" s="624"/>
      <c r="D346" s="137"/>
      <c r="E346" s="101"/>
      <c r="F346" s="102"/>
      <c r="G346" s="82">
        <f>+D346*F346</f>
        <v>0</v>
      </c>
      <c r="H346" s="83"/>
      <c r="I346" s="103"/>
    </row>
    <row r="347" spans="2:9" x14ac:dyDescent="0.2">
      <c r="B347" s="623"/>
      <c r="C347" s="624"/>
      <c r="D347" s="137"/>
      <c r="E347" s="101"/>
      <c r="F347" s="104"/>
      <c r="G347" s="82">
        <f>+D347*F347</f>
        <v>0</v>
      </c>
      <c r="H347" s="85"/>
      <c r="I347" s="103"/>
    </row>
    <row r="348" spans="2:9" x14ac:dyDescent="0.2">
      <c r="B348" s="105"/>
      <c r="C348" s="106"/>
      <c r="D348" s="75"/>
      <c r="E348" s="106"/>
      <c r="F348" s="107" t="s">
        <v>208</v>
      </c>
      <c r="G348" s="106"/>
      <c r="H348" s="108"/>
      <c r="I348" s="109">
        <f>SUM(G346:G347)</f>
        <v>0</v>
      </c>
    </row>
    <row r="349" spans="2:9" ht="14.25" x14ac:dyDescent="0.2">
      <c r="B349" s="73" t="s">
        <v>209</v>
      </c>
      <c r="C349" s="76"/>
      <c r="D349" s="75"/>
      <c r="E349" s="76"/>
      <c r="F349" s="77"/>
      <c r="G349" s="76"/>
      <c r="H349" s="76"/>
      <c r="I349" s="95"/>
    </row>
    <row r="350" spans="2:9" x14ac:dyDescent="0.2">
      <c r="B350" s="588" t="s">
        <v>188</v>
      </c>
      <c r="C350" s="589"/>
      <c r="D350" s="96" t="s">
        <v>136</v>
      </c>
      <c r="E350" s="110" t="s">
        <v>137</v>
      </c>
      <c r="F350" s="111" t="s">
        <v>201</v>
      </c>
      <c r="G350" s="112" t="s">
        <v>205</v>
      </c>
      <c r="H350" s="112"/>
      <c r="I350" s="100" t="s">
        <v>193</v>
      </c>
    </row>
    <row r="351" spans="2:9" x14ac:dyDescent="0.2">
      <c r="B351" s="590" t="s">
        <v>210</v>
      </c>
      <c r="C351" s="591"/>
      <c r="D351" s="91" t="s">
        <v>211</v>
      </c>
      <c r="E351" s="88">
        <v>1</v>
      </c>
      <c r="F351" s="104">
        <f>+(80000+50000*2)*1.671</f>
        <v>300780</v>
      </c>
      <c r="G351" s="113">
        <v>1.2E-2</v>
      </c>
      <c r="H351" s="114"/>
      <c r="I351" s="115">
        <f>SUM(F351*E351)*G351</f>
        <v>3609.36</v>
      </c>
    </row>
    <row r="352" spans="2:9" x14ac:dyDescent="0.2">
      <c r="B352" s="627"/>
      <c r="C352" s="617"/>
      <c r="D352" s="91"/>
      <c r="E352" s="116"/>
      <c r="F352" s="117"/>
      <c r="G352" s="114"/>
      <c r="H352" s="114"/>
      <c r="I352" s="94">
        <f>SUM(F352*E352)*G352</f>
        <v>0</v>
      </c>
    </row>
    <row r="353" spans="2:9" x14ac:dyDescent="0.2">
      <c r="B353" s="598"/>
      <c r="C353" s="599"/>
      <c r="D353" s="91"/>
      <c r="E353" s="118"/>
      <c r="F353" s="117"/>
      <c r="G353" s="114"/>
      <c r="H353" s="114"/>
      <c r="I353" s="94">
        <f>SUM(F353*E353)*G353</f>
        <v>0</v>
      </c>
    </row>
    <row r="354" spans="2:9" x14ac:dyDescent="0.2">
      <c r="B354" s="92"/>
      <c r="C354" s="76"/>
      <c r="D354" s="75"/>
      <c r="E354" s="76"/>
      <c r="F354" s="605" t="s">
        <v>212</v>
      </c>
      <c r="G354" s="605"/>
      <c r="H354" s="119"/>
      <c r="I354" s="94">
        <f>I351</f>
        <v>3609.36</v>
      </c>
    </row>
    <row r="355" spans="2:9" ht="13.5" thickBot="1" x14ac:dyDescent="0.25">
      <c r="B355" s="92"/>
      <c r="C355" s="76"/>
      <c r="D355" s="75"/>
      <c r="E355" s="76"/>
      <c r="F355" s="120"/>
      <c r="G355" s="119"/>
      <c r="H355" s="119"/>
      <c r="I355" s="78"/>
    </row>
    <row r="356" spans="2:9" ht="13.5" thickBot="1" x14ac:dyDescent="0.25">
      <c r="B356" s="92"/>
      <c r="C356" s="76"/>
      <c r="D356" s="75"/>
      <c r="E356" s="606" t="s">
        <v>213</v>
      </c>
      <c r="F356" s="606"/>
      <c r="G356" s="606"/>
      <c r="H356" s="121"/>
      <c r="I356" s="122">
        <f>ROUND(SUM(I331+I343+I348+I354),0)</f>
        <v>5855</v>
      </c>
    </row>
    <row r="357" spans="2:9" ht="15" thickBot="1" x14ac:dyDescent="0.25">
      <c r="B357" s="73" t="s">
        <v>214</v>
      </c>
      <c r="C357" s="76"/>
      <c r="D357" s="123"/>
      <c r="E357" s="124"/>
      <c r="F357" s="77"/>
      <c r="G357" s="76"/>
      <c r="H357" s="76"/>
      <c r="I357" s="78"/>
    </row>
    <row r="358" spans="2:9" x14ac:dyDescent="0.2">
      <c r="B358" s="607" t="s">
        <v>215</v>
      </c>
      <c r="C358" s="608"/>
      <c r="D358" s="613" t="s">
        <v>216</v>
      </c>
      <c r="E358" s="614"/>
      <c r="F358" s="125" t="s">
        <v>195</v>
      </c>
      <c r="G358" s="126" t="s">
        <v>217</v>
      </c>
      <c r="H358" s="127"/>
      <c r="I358" s="615"/>
    </row>
    <row r="359" spans="2:9" x14ac:dyDescent="0.2">
      <c r="B359" s="609"/>
      <c r="C359" s="610"/>
      <c r="D359" s="617" t="s">
        <v>218</v>
      </c>
      <c r="E359" s="618"/>
      <c r="F359" s="128">
        <v>25</v>
      </c>
      <c r="G359" s="116">
        <f>I356*20%</f>
        <v>1171</v>
      </c>
      <c r="H359" s="129"/>
      <c r="I359" s="616"/>
    </row>
    <row r="360" spans="2:9" x14ac:dyDescent="0.2">
      <c r="B360" s="609"/>
      <c r="C360" s="610"/>
      <c r="D360" s="617" t="s">
        <v>168</v>
      </c>
      <c r="E360" s="618"/>
      <c r="F360" s="128">
        <v>5</v>
      </c>
      <c r="G360" s="116">
        <f>I356*5%</f>
        <v>292.75</v>
      </c>
      <c r="H360" s="129"/>
      <c r="I360" s="616"/>
    </row>
    <row r="361" spans="2:9" x14ac:dyDescent="0.2">
      <c r="B361" s="609"/>
      <c r="C361" s="610"/>
      <c r="D361" s="619" t="s">
        <v>219</v>
      </c>
      <c r="E361" s="617"/>
      <c r="F361" s="128">
        <f>SUM(F359:F360)</f>
        <v>30</v>
      </c>
      <c r="G361" s="116">
        <f>SUM(G359:G360)</f>
        <v>1463.75</v>
      </c>
      <c r="H361" s="129"/>
      <c r="I361" s="616"/>
    </row>
    <row r="362" spans="2:9" ht="15" thickBot="1" x14ac:dyDescent="0.25">
      <c r="B362" s="609"/>
      <c r="C362" s="610"/>
      <c r="D362" s="130"/>
      <c r="E362" s="620" t="s">
        <v>220</v>
      </c>
      <c r="F362" s="621"/>
      <c r="G362" s="622"/>
      <c r="H362" s="38"/>
      <c r="I362" s="131">
        <f>SUM(G361:G361)</f>
        <v>1463.75</v>
      </c>
    </row>
    <row r="363" spans="2:9" ht="16.5" thickBot="1" x14ac:dyDescent="0.3">
      <c r="B363" s="611"/>
      <c r="C363" s="612"/>
      <c r="D363" s="628" t="s">
        <v>221</v>
      </c>
      <c r="E363" s="629"/>
      <c r="F363" s="630"/>
      <c r="G363" s="602">
        <f>SUM(I356+I362)</f>
        <v>7318.75</v>
      </c>
      <c r="H363" s="603"/>
      <c r="I363" s="604"/>
    </row>
    <row r="365" spans="2:9" ht="18.75" thickBot="1" x14ac:dyDescent="0.3">
      <c r="B365" s="564" t="s">
        <v>180</v>
      </c>
      <c r="C365" s="564"/>
      <c r="D365" s="564"/>
      <c r="E365" s="564"/>
      <c r="F365" s="564"/>
      <c r="G365" s="564"/>
      <c r="H365" s="564"/>
      <c r="I365" s="564"/>
    </row>
    <row r="366" spans="2:9" ht="15.75" thickBot="1" x14ac:dyDescent="0.3">
      <c r="B366" s="59" t="s">
        <v>181</v>
      </c>
      <c r="C366" s="565" t="s">
        <v>393</v>
      </c>
      <c r="D366" s="566"/>
      <c r="E366" s="566"/>
      <c r="F366" s="567"/>
      <c r="G366" s="60" t="s">
        <v>5</v>
      </c>
      <c r="H366" s="61"/>
      <c r="I366" s="62">
        <v>45373</v>
      </c>
    </row>
    <row r="367" spans="2:9" ht="13.5" thickBot="1" x14ac:dyDescent="0.25">
      <c r="B367" s="568" t="s">
        <v>182</v>
      </c>
      <c r="C367" s="569"/>
      <c r="D367" s="570"/>
      <c r="E367" s="568" t="s">
        <v>183</v>
      </c>
      <c r="F367" s="569"/>
      <c r="G367" s="569"/>
      <c r="H367" s="569"/>
      <c r="I367" s="570"/>
    </row>
    <row r="368" spans="2:9" ht="13.5" thickBot="1" x14ac:dyDescent="0.25">
      <c r="B368" s="571"/>
      <c r="C368" s="572"/>
      <c r="D368" s="573"/>
      <c r="E368" s="574" t="s">
        <v>60</v>
      </c>
      <c r="F368" s="575"/>
      <c r="G368" s="575"/>
      <c r="H368" s="575"/>
      <c r="I368" s="576"/>
    </row>
    <row r="369" spans="2:9" ht="13.5" thickBot="1" x14ac:dyDescent="0.25">
      <c r="B369" s="63" t="s">
        <v>184</v>
      </c>
      <c r="C369" s="64" t="s">
        <v>185</v>
      </c>
      <c r="D369" s="65" t="s">
        <v>151</v>
      </c>
      <c r="E369" s="577"/>
      <c r="F369" s="578"/>
      <c r="G369" s="578"/>
      <c r="H369" s="578"/>
      <c r="I369" s="579"/>
    </row>
    <row r="370" spans="2:9" ht="13.5" thickBot="1" x14ac:dyDescent="0.25">
      <c r="B370" s="583" t="s">
        <v>186</v>
      </c>
      <c r="C370" s="584"/>
      <c r="D370" s="66"/>
      <c r="E370" s="580"/>
      <c r="F370" s="581"/>
      <c r="G370" s="581"/>
      <c r="H370" s="581"/>
      <c r="I370" s="582"/>
    </row>
    <row r="371" spans="2:9" x14ac:dyDescent="0.2">
      <c r="B371" s="67" t="s">
        <v>187</v>
      </c>
      <c r="C371" s="68"/>
      <c r="D371" s="592"/>
      <c r="E371" s="592"/>
      <c r="F371" s="592"/>
      <c r="G371" s="592"/>
      <c r="H371" s="592"/>
      <c r="I371" s="593"/>
    </row>
    <row r="372" spans="2:9" x14ac:dyDescent="0.2">
      <c r="B372" s="588" t="s">
        <v>188</v>
      </c>
      <c r="C372" s="589"/>
      <c r="D372" s="96" t="s">
        <v>189</v>
      </c>
      <c r="E372" s="134" t="s">
        <v>190</v>
      </c>
      <c r="F372" s="111" t="s">
        <v>191</v>
      </c>
      <c r="G372" s="110" t="s">
        <v>192</v>
      </c>
      <c r="H372" s="112"/>
      <c r="I372" s="100" t="s">
        <v>193</v>
      </c>
    </row>
    <row r="373" spans="2:9" x14ac:dyDescent="0.2">
      <c r="B373" s="594" t="s">
        <v>194</v>
      </c>
      <c r="C373" s="595"/>
      <c r="D373" s="91" t="s">
        <v>195</v>
      </c>
      <c r="E373" s="135">
        <v>5</v>
      </c>
      <c r="F373" s="135">
        <f>SUM(I399)</f>
        <v>30078</v>
      </c>
      <c r="G373" s="116">
        <f>SUM(F373*5%)</f>
        <v>1503.9</v>
      </c>
      <c r="H373" s="69"/>
      <c r="I373" s="596"/>
    </row>
    <row r="374" spans="2:9" x14ac:dyDescent="0.2">
      <c r="B374" s="598" t="s">
        <v>196</v>
      </c>
      <c r="C374" s="599"/>
      <c r="D374" s="91" t="s">
        <v>195</v>
      </c>
      <c r="E374" s="135">
        <v>1.5</v>
      </c>
      <c r="F374" s="135">
        <f>SUM(I399)</f>
        <v>30078</v>
      </c>
      <c r="G374" s="116">
        <f>SUM(F374*1.5%)</f>
        <v>451.16999999999996</v>
      </c>
      <c r="H374" s="70"/>
      <c r="I374" s="597"/>
    </row>
    <row r="375" spans="2:9" x14ac:dyDescent="0.2">
      <c r="B375" s="600" t="s">
        <v>223</v>
      </c>
      <c r="C375" s="601"/>
      <c r="D375" s="91" t="s">
        <v>224</v>
      </c>
      <c r="E375" s="104">
        <v>0.5</v>
      </c>
      <c r="F375" s="104">
        <v>1010</v>
      </c>
      <c r="G375" s="88">
        <f>SUM(E375*F375)</f>
        <v>505</v>
      </c>
      <c r="H375" s="70"/>
      <c r="I375" s="597"/>
    </row>
    <row r="376" spans="2:9" x14ac:dyDescent="0.2">
      <c r="B376" s="587"/>
      <c r="C376" s="585"/>
      <c r="D376" s="585"/>
      <c r="E376" s="585"/>
      <c r="F376" s="71"/>
      <c r="G376" s="72" t="s">
        <v>197</v>
      </c>
      <c r="H376" s="72"/>
      <c r="I376" s="94">
        <f>SUM(G373:G375)</f>
        <v>2460.0700000000002</v>
      </c>
    </row>
    <row r="377" spans="2:9" x14ac:dyDescent="0.2">
      <c r="B377" s="73" t="s">
        <v>198</v>
      </c>
      <c r="C377" s="74"/>
      <c r="D377" s="75"/>
      <c r="E377" s="76"/>
      <c r="F377" s="77"/>
      <c r="G377" s="76"/>
      <c r="H377" s="76"/>
      <c r="I377" s="78"/>
    </row>
    <row r="378" spans="2:9" x14ac:dyDescent="0.2">
      <c r="B378" s="588" t="s">
        <v>188</v>
      </c>
      <c r="C378" s="589"/>
      <c r="D378" s="96" t="s">
        <v>199</v>
      </c>
      <c r="E378" s="110" t="s">
        <v>137</v>
      </c>
      <c r="F378" s="111" t="s">
        <v>200</v>
      </c>
      <c r="G378" s="110" t="s">
        <v>201</v>
      </c>
      <c r="H378" s="112"/>
      <c r="I378" s="100" t="s">
        <v>193</v>
      </c>
    </row>
    <row r="379" spans="2:9" x14ac:dyDescent="0.2">
      <c r="B379" s="590" t="s">
        <v>258</v>
      </c>
      <c r="C379" s="591"/>
      <c r="D379" s="79" t="s">
        <v>20</v>
      </c>
      <c r="E379" s="80">
        <v>1</v>
      </c>
      <c r="F379" s="81">
        <v>2</v>
      </c>
      <c r="G379" s="82">
        <f>2830*1.3</f>
        <v>3679</v>
      </c>
      <c r="H379" s="83"/>
      <c r="I379" s="90">
        <f t="shared" ref="I379:I387" si="8">(E379*(1+F379/100)) * (G379*(1+H379/100))</f>
        <v>3752.58</v>
      </c>
    </row>
    <row r="380" spans="2:9" x14ac:dyDescent="0.2">
      <c r="B380" s="590" t="s">
        <v>259</v>
      </c>
      <c r="C380" s="591"/>
      <c r="D380" s="79" t="s">
        <v>245</v>
      </c>
      <c r="E380" s="80">
        <v>0.1</v>
      </c>
      <c r="F380" s="136">
        <v>2</v>
      </c>
      <c r="G380" s="82">
        <f>136700*1.4/5</f>
        <v>38276</v>
      </c>
      <c r="H380" s="84"/>
      <c r="I380" s="90">
        <f t="shared" si="8"/>
        <v>3904.1520000000005</v>
      </c>
    </row>
    <row r="381" spans="2:9" x14ac:dyDescent="0.2">
      <c r="B381" s="590"/>
      <c r="C381" s="591"/>
      <c r="D381" s="79"/>
      <c r="E381" s="80"/>
      <c r="F381" s="87"/>
      <c r="G381" s="82"/>
      <c r="H381" s="85"/>
      <c r="I381" s="90">
        <f t="shared" si="8"/>
        <v>0</v>
      </c>
    </row>
    <row r="382" spans="2:9" x14ac:dyDescent="0.2">
      <c r="B382" s="590"/>
      <c r="C382" s="591"/>
      <c r="D382" s="79"/>
      <c r="E382" s="80"/>
      <c r="F382" s="87"/>
      <c r="G382" s="82"/>
      <c r="H382" s="85"/>
      <c r="I382" s="90">
        <f t="shared" si="8"/>
        <v>0</v>
      </c>
    </row>
    <row r="383" spans="2:9" x14ac:dyDescent="0.2">
      <c r="B383" s="590"/>
      <c r="C383" s="591"/>
      <c r="D383" s="79"/>
      <c r="E383" s="80"/>
      <c r="F383" s="87"/>
      <c r="G383" s="82"/>
      <c r="H383" s="85"/>
      <c r="I383" s="90">
        <f t="shared" si="8"/>
        <v>0</v>
      </c>
    </row>
    <row r="384" spans="2:9" x14ac:dyDescent="0.2">
      <c r="B384" s="590"/>
      <c r="C384" s="591"/>
      <c r="D384" s="79"/>
      <c r="E384" s="80"/>
      <c r="F384" s="87"/>
      <c r="G384" s="82"/>
      <c r="H384" s="85"/>
      <c r="I384" s="90">
        <f t="shared" si="8"/>
        <v>0</v>
      </c>
    </row>
    <row r="385" spans="2:9" x14ac:dyDescent="0.2">
      <c r="B385" s="590"/>
      <c r="C385" s="591"/>
      <c r="D385" s="86"/>
      <c r="E385" s="80"/>
      <c r="F385" s="87"/>
      <c r="G385" s="82"/>
      <c r="H385" s="85"/>
      <c r="I385" s="90">
        <f t="shared" si="8"/>
        <v>0</v>
      </c>
    </row>
    <row r="386" spans="2:9" x14ac:dyDescent="0.2">
      <c r="B386" s="562"/>
      <c r="C386" s="563"/>
      <c r="D386" s="91"/>
      <c r="E386" s="80"/>
      <c r="F386" s="87"/>
      <c r="G386" s="88"/>
      <c r="H386" s="89"/>
      <c r="I386" s="90">
        <f t="shared" si="8"/>
        <v>0</v>
      </c>
    </row>
    <row r="387" spans="2:9" x14ac:dyDescent="0.2">
      <c r="B387" s="562"/>
      <c r="C387" s="563"/>
      <c r="D387" s="91"/>
      <c r="E387" s="80"/>
      <c r="F387" s="87"/>
      <c r="G387" s="88"/>
      <c r="H387" s="89"/>
      <c r="I387" s="90">
        <f t="shared" si="8"/>
        <v>0</v>
      </c>
    </row>
    <row r="388" spans="2:9" x14ac:dyDescent="0.2">
      <c r="B388" s="92"/>
      <c r="C388" s="76"/>
      <c r="D388" s="75"/>
      <c r="E388" s="76"/>
      <c r="F388" s="585" t="s">
        <v>202</v>
      </c>
      <c r="G388" s="586"/>
      <c r="H388" s="93"/>
      <c r="I388" s="94">
        <f>SUM(I379:I387)</f>
        <v>7656.732</v>
      </c>
    </row>
    <row r="389" spans="2:9" ht="14.25" x14ac:dyDescent="0.2">
      <c r="B389" s="73" t="s">
        <v>203</v>
      </c>
      <c r="C389" s="74"/>
      <c r="D389" s="75"/>
      <c r="E389" s="76"/>
      <c r="F389" s="77"/>
      <c r="G389" s="76"/>
      <c r="H389" s="76"/>
      <c r="I389" s="95"/>
    </row>
    <row r="390" spans="2:9" x14ac:dyDescent="0.2">
      <c r="B390" s="588" t="s">
        <v>188</v>
      </c>
      <c r="C390" s="589"/>
      <c r="D390" s="96" t="s">
        <v>204</v>
      </c>
      <c r="E390" s="97" t="s">
        <v>205</v>
      </c>
      <c r="F390" s="98" t="s">
        <v>206</v>
      </c>
      <c r="G390" s="97" t="s">
        <v>207</v>
      </c>
      <c r="H390" s="99"/>
      <c r="I390" s="100" t="s">
        <v>193</v>
      </c>
    </row>
    <row r="391" spans="2:9" x14ac:dyDescent="0.2">
      <c r="B391" s="623"/>
      <c r="C391" s="624"/>
      <c r="D391" s="137"/>
      <c r="E391" s="101"/>
      <c r="F391" s="102"/>
      <c r="G391" s="82">
        <f>+D391*F391</f>
        <v>0</v>
      </c>
      <c r="H391" s="83"/>
      <c r="I391" s="103"/>
    </row>
    <row r="392" spans="2:9" x14ac:dyDescent="0.2">
      <c r="B392" s="623"/>
      <c r="C392" s="624"/>
      <c r="D392" s="137"/>
      <c r="E392" s="101"/>
      <c r="F392" s="104"/>
      <c r="G392" s="82">
        <f>+D392*F392</f>
        <v>0</v>
      </c>
      <c r="H392" s="85"/>
      <c r="I392" s="103"/>
    </row>
    <row r="393" spans="2:9" x14ac:dyDescent="0.2">
      <c r="B393" s="105"/>
      <c r="C393" s="106"/>
      <c r="D393" s="75"/>
      <c r="E393" s="106"/>
      <c r="F393" s="107" t="s">
        <v>208</v>
      </c>
      <c r="G393" s="106"/>
      <c r="H393" s="108"/>
      <c r="I393" s="109">
        <f>SUM(G391:G392)</f>
        <v>0</v>
      </c>
    </row>
    <row r="394" spans="2:9" ht="14.25" x14ac:dyDescent="0.2">
      <c r="B394" s="73" t="s">
        <v>209</v>
      </c>
      <c r="C394" s="76"/>
      <c r="D394" s="75"/>
      <c r="E394" s="76"/>
      <c r="F394" s="77"/>
      <c r="G394" s="76"/>
      <c r="H394" s="76"/>
      <c r="I394" s="95"/>
    </row>
    <row r="395" spans="2:9" x14ac:dyDescent="0.2">
      <c r="B395" s="588" t="s">
        <v>188</v>
      </c>
      <c r="C395" s="589"/>
      <c r="D395" s="96" t="s">
        <v>136</v>
      </c>
      <c r="E395" s="110" t="s">
        <v>137</v>
      </c>
      <c r="F395" s="111" t="s">
        <v>201</v>
      </c>
      <c r="G395" s="112" t="s">
        <v>205</v>
      </c>
      <c r="H395" s="112"/>
      <c r="I395" s="100" t="s">
        <v>193</v>
      </c>
    </row>
    <row r="396" spans="2:9" x14ac:dyDescent="0.2">
      <c r="B396" s="590" t="s">
        <v>210</v>
      </c>
      <c r="C396" s="591"/>
      <c r="D396" s="91" t="s">
        <v>211</v>
      </c>
      <c r="E396" s="88">
        <v>1</v>
      </c>
      <c r="F396" s="104">
        <f>+(80000+50000*2)*1.671</f>
        <v>300780</v>
      </c>
      <c r="G396" s="113">
        <v>0.1</v>
      </c>
      <c r="H396" s="114"/>
      <c r="I396" s="115">
        <f>SUM(F396*E396)*G396</f>
        <v>30078</v>
      </c>
    </row>
    <row r="397" spans="2:9" x14ac:dyDescent="0.2">
      <c r="B397" s="627"/>
      <c r="C397" s="617"/>
      <c r="D397" s="91"/>
      <c r="E397" s="116"/>
      <c r="F397" s="117"/>
      <c r="G397" s="114"/>
      <c r="H397" s="114"/>
      <c r="I397" s="94">
        <f>SUM(F397*E397)*G397</f>
        <v>0</v>
      </c>
    </row>
    <row r="398" spans="2:9" x14ac:dyDescent="0.2">
      <c r="B398" s="598"/>
      <c r="C398" s="599"/>
      <c r="D398" s="91"/>
      <c r="E398" s="118"/>
      <c r="F398" s="117"/>
      <c r="G398" s="114"/>
      <c r="H398" s="114"/>
      <c r="I398" s="94">
        <f>SUM(F398*E398)*G398</f>
        <v>0</v>
      </c>
    </row>
    <row r="399" spans="2:9" x14ac:dyDescent="0.2">
      <c r="B399" s="92"/>
      <c r="C399" s="76"/>
      <c r="D399" s="75"/>
      <c r="E399" s="76"/>
      <c r="F399" s="605" t="s">
        <v>212</v>
      </c>
      <c r="G399" s="605"/>
      <c r="H399" s="119"/>
      <c r="I399" s="94">
        <f>I396</f>
        <v>30078</v>
      </c>
    </row>
    <row r="400" spans="2:9" ht="13.5" thickBot="1" x14ac:dyDescent="0.25">
      <c r="B400" s="92"/>
      <c r="C400" s="76"/>
      <c r="D400" s="75"/>
      <c r="E400" s="76"/>
      <c r="F400" s="120"/>
      <c r="G400" s="119"/>
      <c r="H400" s="119"/>
      <c r="I400" s="78"/>
    </row>
    <row r="401" spans="2:9" ht="13.5" thickBot="1" x14ac:dyDescent="0.25">
      <c r="B401" s="92"/>
      <c r="C401" s="76"/>
      <c r="D401" s="75"/>
      <c r="E401" s="606" t="s">
        <v>213</v>
      </c>
      <c r="F401" s="606"/>
      <c r="G401" s="606"/>
      <c r="H401" s="121"/>
      <c r="I401" s="122">
        <f>ROUND(SUM(I376+I388+I393+I399),0)</f>
        <v>40195</v>
      </c>
    </row>
    <row r="402" spans="2:9" ht="15" thickBot="1" x14ac:dyDescent="0.25">
      <c r="B402" s="73" t="s">
        <v>214</v>
      </c>
      <c r="C402" s="76"/>
      <c r="D402" s="123"/>
      <c r="E402" s="124"/>
      <c r="F402" s="77"/>
      <c r="G402" s="76"/>
      <c r="H402" s="76"/>
      <c r="I402" s="78"/>
    </row>
    <row r="403" spans="2:9" x14ac:dyDescent="0.2">
      <c r="B403" s="607" t="s">
        <v>215</v>
      </c>
      <c r="C403" s="608"/>
      <c r="D403" s="613" t="s">
        <v>216</v>
      </c>
      <c r="E403" s="614"/>
      <c r="F403" s="125" t="s">
        <v>195</v>
      </c>
      <c r="G403" s="126" t="s">
        <v>217</v>
      </c>
      <c r="H403" s="127"/>
      <c r="I403" s="615"/>
    </row>
    <row r="404" spans="2:9" x14ac:dyDescent="0.2">
      <c r="B404" s="609"/>
      <c r="C404" s="610"/>
      <c r="D404" s="617" t="s">
        <v>218</v>
      </c>
      <c r="E404" s="618"/>
      <c r="F404" s="128">
        <v>25</v>
      </c>
      <c r="G404" s="116">
        <f>I401*20%</f>
        <v>8039</v>
      </c>
      <c r="H404" s="129"/>
      <c r="I404" s="616"/>
    </row>
    <row r="405" spans="2:9" x14ac:dyDescent="0.2">
      <c r="B405" s="609"/>
      <c r="C405" s="610"/>
      <c r="D405" s="617" t="s">
        <v>168</v>
      </c>
      <c r="E405" s="618"/>
      <c r="F405" s="128">
        <v>5</v>
      </c>
      <c r="G405" s="116">
        <f>I401*5%</f>
        <v>2009.75</v>
      </c>
      <c r="H405" s="129"/>
      <c r="I405" s="616"/>
    </row>
    <row r="406" spans="2:9" x14ac:dyDescent="0.2">
      <c r="B406" s="609"/>
      <c r="C406" s="610"/>
      <c r="D406" s="619" t="s">
        <v>219</v>
      </c>
      <c r="E406" s="617"/>
      <c r="F406" s="128">
        <f>SUM(F404:F405)</f>
        <v>30</v>
      </c>
      <c r="G406" s="116">
        <f>SUM(G404:G405)</f>
        <v>10048.75</v>
      </c>
      <c r="H406" s="129"/>
      <c r="I406" s="616"/>
    </row>
    <row r="407" spans="2:9" ht="15" thickBot="1" x14ac:dyDescent="0.25">
      <c r="B407" s="609"/>
      <c r="C407" s="610"/>
      <c r="D407" s="130"/>
      <c r="E407" s="620" t="s">
        <v>220</v>
      </c>
      <c r="F407" s="621"/>
      <c r="G407" s="622"/>
      <c r="H407" s="38"/>
      <c r="I407" s="131">
        <f>SUM(G406:G406)</f>
        <v>10048.75</v>
      </c>
    </row>
    <row r="408" spans="2:9" ht="16.5" thickBot="1" x14ac:dyDescent="0.3">
      <c r="B408" s="611"/>
      <c r="C408" s="612"/>
      <c r="D408" s="628" t="s">
        <v>221</v>
      </c>
      <c r="E408" s="629"/>
      <c r="F408" s="630"/>
      <c r="G408" s="602">
        <f>SUM(I401+I407)</f>
        <v>50243.75</v>
      </c>
      <c r="H408" s="603"/>
      <c r="I408" s="604"/>
    </row>
    <row r="410" spans="2:9" ht="18.75" thickBot="1" x14ac:dyDescent="0.3">
      <c r="B410" s="564" t="s">
        <v>180</v>
      </c>
      <c r="C410" s="564"/>
      <c r="D410" s="564"/>
      <c r="E410" s="564"/>
      <c r="F410" s="564"/>
      <c r="G410" s="564"/>
      <c r="H410" s="564"/>
      <c r="I410" s="564"/>
    </row>
    <row r="411" spans="2:9" ht="15.75" thickBot="1" x14ac:dyDescent="0.3">
      <c r="B411" s="59" t="s">
        <v>181</v>
      </c>
      <c r="C411" s="565" t="s">
        <v>393</v>
      </c>
      <c r="D411" s="566"/>
      <c r="E411" s="566"/>
      <c r="F411" s="567"/>
      <c r="G411" s="60" t="s">
        <v>5</v>
      </c>
      <c r="H411" s="61"/>
      <c r="I411" s="62">
        <v>45373</v>
      </c>
    </row>
    <row r="412" spans="2:9" ht="13.5" thickBot="1" x14ac:dyDescent="0.25">
      <c r="B412" s="568" t="s">
        <v>182</v>
      </c>
      <c r="C412" s="569"/>
      <c r="D412" s="570"/>
      <c r="E412" s="568" t="s">
        <v>183</v>
      </c>
      <c r="F412" s="569"/>
      <c r="G412" s="569"/>
      <c r="H412" s="569"/>
      <c r="I412" s="570"/>
    </row>
    <row r="413" spans="2:9" ht="13.5" thickBot="1" x14ac:dyDescent="0.25">
      <c r="B413" s="571"/>
      <c r="C413" s="572"/>
      <c r="D413" s="573"/>
      <c r="E413" s="574" t="s">
        <v>62</v>
      </c>
      <c r="F413" s="575"/>
      <c r="G413" s="575"/>
      <c r="H413" s="575"/>
      <c r="I413" s="576"/>
    </row>
    <row r="414" spans="2:9" ht="13.5" thickBot="1" x14ac:dyDescent="0.25">
      <c r="B414" s="63" t="s">
        <v>184</v>
      </c>
      <c r="C414" s="64" t="s">
        <v>185</v>
      </c>
      <c r="D414" s="65" t="s">
        <v>152</v>
      </c>
      <c r="E414" s="577"/>
      <c r="F414" s="578"/>
      <c r="G414" s="578"/>
      <c r="H414" s="578"/>
      <c r="I414" s="579"/>
    </row>
    <row r="415" spans="2:9" ht="13.5" thickBot="1" x14ac:dyDescent="0.25">
      <c r="B415" s="583" t="s">
        <v>186</v>
      </c>
      <c r="C415" s="584"/>
      <c r="D415" s="66"/>
      <c r="E415" s="580"/>
      <c r="F415" s="581"/>
      <c r="G415" s="581"/>
      <c r="H415" s="581"/>
      <c r="I415" s="582"/>
    </row>
    <row r="416" spans="2:9" x14ac:dyDescent="0.2">
      <c r="B416" s="67" t="s">
        <v>187</v>
      </c>
      <c r="C416" s="68"/>
      <c r="D416" s="592"/>
      <c r="E416" s="592"/>
      <c r="F416" s="592"/>
      <c r="G416" s="592"/>
      <c r="H416" s="592"/>
      <c r="I416" s="593"/>
    </row>
    <row r="417" spans="2:9" x14ac:dyDescent="0.2">
      <c r="B417" s="588" t="s">
        <v>188</v>
      </c>
      <c r="C417" s="589"/>
      <c r="D417" s="96" t="s">
        <v>189</v>
      </c>
      <c r="E417" s="134" t="s">
        <v>190</v>
      </c>
      <c r="F417" s="111" t="s">
        <v>191</v>
      </c>
      <c r="G417" s="110" t="s">
        <v>192</v>
      </c>
      <c r="H417" s="112"/>
      <c r="I417" s="100" t="s">
        <v>193</v>
      </c>
    </row>
    <row r="418" spans="2:9" x14ac:dyDescent="0.2">
      <c r="B418" s="594" t="s">
        <v>194</v>
      </c>
      <c r="C418" s="595"/>
      <c r="D418" s="91" t="s">
        <v>195</v>
      </c>
      <c r="E418" s="135">
        <v>5</v>
      </c>
      <c r="F418" s="135">
        <f>SUM(I444)</f>
        <v>30078</v>
      </c>
      <c r="G418" s="116">
        <f>SUM(F418*5%)</f>
        <v>1503.9</v>
      </c>
      <c r="H418" s="69"/>
      <c r="I418" s="596"/>
    </row>
    <row r="419" spans="2:9" x14ac:dyDescent="0.2">
      <c r="B419" s="598" t="s">
        <v>196</v>
      </c>
      <c r="C419" s="599"/>
      <c r="D419" s="91" t="s">
        <v>195</v>
      </c>
      <c r="E419" s="135">
        <v>1.5</v>
      </c>
      <c r="F419" s="135">
        <f>SUM(I444)</f>
        <v>30078</v>
      </c>
      <c r="G419" s="116">
        <f>SUM(F419*1.5%)</f>
        <v>451.16999999999996</v>
      </c>
      <c r="H419" s="70"/>
      <c r="I419" s="597"/>
    </row>
    <row r="420" spans="2:9" x14ac:dyDescent="0.2">
      <c r="B420" s="600" t="s">
        <v>223</v>
      </c>
      <c r="C420" s="601"/>
      <c r="D420" s="91" t="s">
        <v>224</v>
      </c>
      <c r="E420" s="104">
        <v>0.5</v>
      </c>
      <c r="F420" s="104">
        <v>1010</v>
      </c>
      <c r="G420" s="88">
        <f>SUM(E420*F420)</f>
        <v>505</v>
      </c>
      <c r="H420" s="70"/>
      <c r="I420" s="597"/>
    </row>
    <row r="421" spans="2:9" x14ac:dyDescent="0.2">
      <c r="B421" s="587"/>
      <c r="C421" s="585"/>
      <c r="D421" s="585"/>
      <c r="E421" s="585"/>
      <c r="F421" s="71"/>
      <c r="G421" s="72" t="s">
        <v>197</v>
      </c>
      <c r="H421" s="72"/>
      <c r="I421" s="94">
        <f>SUM(G418:G420)</f>
        <v>2460.0700000000002</v>
      </c>
    </row>
    <row r="422" spans="2:9" x14ac:dyDescent="0.2">
      <c r="B422" s="73" t="s">
        <v>198</v>
      </c>
      <c r="C422" s="74"/>
      <c r="D422" s="75"/>
      <c r="E422" s="76"/>
      <c r="F422" s="77"/>
      <c r="G422" s="76"/>
      <c r="H422" s="76"/>
      <c r="I422" s="78"/>
    </row>
    <row r="423" spans="2:9" x14ac:dyDescent="0.2">
      <c r="B423" s="588" t="s">
        <v>188</v>
      </c>
      <c r="C423" s="589"/>
      <c r="D423" s="96" t="s">
        <v>199</v>
      </c>
      <c r="E423" s="110" t="s">
        <v>137</v>
      </c>
      <c r="F423" s="111" t="s">
        <v>200</v>
      </c>
      <c r="G423" s="110" t="s">
        <v>201</v>
      </c>
      <c r="H423" s="112"/>
      <c r="I423" s="100" t="s">
        <v>193</v>
      </c>
    </row>
    <row r="424" spans="2:9" x14ac:dyDescent="0.2">
      <c r="B424" s="590" t="s">
        <v>260</v>
      </c>
      <c r="C424" s="591"/>
      <c r="D424" s="79" t="s">
        <v>245</v>
      </c>
      <c r="E424" s="80">
        <v>0.1</v>
      </c>
      <c r="F424" s="136">
        <v>2</v>
      </c>
      <c r="G424" s="82">
        <f>462500*1.4/5</f>
        <v>129500</v>
      </c>
      <c r="H424" s="83"/>
      <c r="I424" s="90">
        <f t="shared" ref="I424:I432" si="9">(E424*(1+F424/100)) * (G424*(1+H424/100))</f>
        <v>13209.000000000002</v>
      </c>
    </row>
    <row r="425" spans="2:9" x14ac:dyDescent="0.2">
      <c r="B425" s="590"/>
      <c r="C425" s="591"/>
      <c r="D425" s="79"/>
      <c r="E425" s="80"/>
      <c r="F425" s="136"/>
      <c r="G425" s="82"/>
      <c r="H425" s="84"/>
      <c r="I425" s="90">
        <f t="shared" si="9"/>
        <v>0</v>
      </c>
    </row>
    <row r="426" spans="2:9" x14ac:dyDescent="0.2">
      <c r="B426" s="590"/>
      <c r="C426" s="591"/>
      <c r="D426" s="79"/>
      <c r="E426" s="80"/>
      <c r="F426" s="87"/>
      <c r="G426" s="82"/>
      <c r="H426" s="85"/>
      <c r="I426" s="90">
        <f t="shared" si="9"/>
        <v>0</v>
      </c>
    </row>
    <row r="427" spans="2:9" x14ac:dyDescent="0.2">
      <c r="B427" s="590"/>
      <c r="C427" s="591"/>
      <c r="D427" s="79"/>
      <c r="E427" s="80"/>
      <c r="F427" s="87"/>
      <c r="G427" s="82"/>
      <c r="H427" s="85"/>
      <c r="I427" s="90">
        <f t="shared" si="9"/>
        <v>0</v>
      </c>
    </row>
    <row r="428" spans="2:9" x14ac:dyDescent="0.2">
      <c r="B428" s="590"/>
      <c r="C428" s="591"/>
      <c r="D428" s="79"/>
      <c r="E428" s="80"/>
      <c r="F428" s="87"/>
      <c r="G428" s="82"/>
      <c r="H428" s="85"/>
      <c r="I428" s="90">
        <f t="shared" si="9"/>
        <v>0</v>
      </c>
    </row>
    <row r="429" spans="2:9" x14ac:dyDescent="0.2">
      <c r="B429" s="590"/>
      <c r="C429" s="591"/>
      <c r="D429" s="79"/>
      <c r="E429" s="80"/>
      <c r="F429" s="87"/>
      <c r="G429" s="82"/>
      <c r="H429" s="85"/>
      <c r="I429" s="90">
        <f t="shared" si="9"/>
        <v>0</v>
      </c>
    </row>
    <row r="430" spans="2:9" x14ac:dyDescent="0.2">
      <c r="B430" s="590"/>
      <c r="C430" s="591"/>
      <c r="D430" s="86"/>
      <c r="E430" s="80"/>
      <c r="F430" s="87"/>
      <c r="G430" s="82"/>
      <c r="H430" s="85"/>
      <c r="I430" s="90">
        <f t="shared" si="9"/>
        <v>0</v>
      </c>
    </row>
    <row r="431" spans="2:9" x14ac:dyDescent="0.2">
      <c r="B431" s="562"/>
      <c r="C431" s="563"/>
      <c r="D431" s="91"/>
      <c r="E431" s="80"/>
      <c r="F431" s="87"/>
      <c r="G431" s="88"/>
      <c r="H431" s="89"/>
      <c r="I431" s="90">
        <f t="shared" si="9"/>
        <v>0</v>
      </c>
    </row>
    <row r="432" spans="2:9" x14ac:dyDescent="0.2">
      <c r="B432" s="562"/>
      <c r="C432" s="563"/>
      <c r="D432" s="91"/>
      <c r="E432" s="80"/>
      <c r="F432" s="87"/>
      <c r="G432" s="88"/>
      <c r="H432" s="89"/>
      <c r="I432" s="90">
        <f t="shared" si="9"/>
        <v>0</v>
      </c>
    </row>
    <row r="433" spans="2:9" x14ac:dyDescent="0.2">
      <c r="B433" s="92"/>
      <c r="C433" s="76"/>
      <c r="D433" s="75"/>
      <c r="E433" s="76"/>
      <c r="F433" s="585" t="s">
        <v>202</v>
      </c>
      <c r="G433" s="586"/>
      <c r="H433" s="93"/>
      <c r="I433" s="94">
        <f>SUM(I424:I432)</f>
        <v>13209.000000000002</v>
      </c>
    </row>
    <row r="434" spans="2:9" ht="14.25" x14ac:dyDescent="0.2">
      <c r="B434" s="73" t="s">
        <v>203</v>
      </c>
      <c r="C434" s="74"/>
      <c r="D434" s="75"/>
      <c r="E434" s="76"/>
      <c r="F434" s="77"/>
      <c r="G434" s="76"/>
      <c r="H434" s="76"/>
      <c r="I434" s="95"/>
    </row>
    <row r="435" spans="2:9" x14ac:dyDescent="0.2">
      <c r="B435" s="588" t="s">
        <v>188</v>
      </c>
      <c r="C435" s="589"/>
      <c r="D435" s="96" t="s">
        <v>204</v>
      </c>
      <c r="E435" s="97" t="s">
        <v>205</v>
      </c>
      <c r="F435" s="98" t="s">
        <v>206</v>
      </c>
      <c r="G435" s="97" t="s">
        <v>207</v>
      </c>
      <c r="H435" s="99"/>
      <c r="I435" s="100" t="s">
        <v>193</v>
      </c>
    </row>
    <row r="436" spans="2:9" x14ac:dyDescent="0.2">
      <c r="B436" s="623"/>
      <c r="C436" s="624"/>
      <c r="D436" s="137"/>
      <c r="E436" s="101"/>
      <c r="F436" s="102"/>
      <c r="G436" s="82">
        <f>+D436*F436</f>
        <v>0</v>
      </c>
      <c r="H436" s="83"/>
      <c r="I436" s="103"/>
    </row>
    <row r="437" spans="2:9" x14ac:dyDescent="0.2">
      <c r="B437" s="623"/>
      <c r="C437" s="624"/>
      <c r="D437" s="137"/>
      <c r="E437" s="101"/>
      <c r="F437" s="104"/>
      <c r="G437" s="82">
        <f>+D437*F437</f>
        <v>0</v>
      </c>
      <c r="H437" s="85"/>
      <c r="I437" s="103"/>
    </row>
    <row r="438" spans="2:9" x14ac:dyDescent="0.2">
      <c r="B438" s="105"/>
      <c r="C438" s="106"/>
      <c r="D438" s="75"/>
      <c r="E438" s="106"/>
      <c r="F438" s="107" t="s">
        <v>208</v>
      </c>
      <c r="G438" s="106"/>
      <c r="H438" s="108"/>
      <c r="I438" s="109">
        <f>SUM(G436:G437)</f>
        <v>0</v>
      </c>
    </row>
    <row r="439" spans="2:9" ht="14.25" x14ac:dyDescent="0.2">
      <c r="B439" s="73" t="s">
        <v>209</v>
      </c>
      <c r="C439" s="76"/>
      <c r="D439" s="75"/>
      <c r="E439" s="76"/>
      <c r="F439" s="77"/>
      <c r="G439" s="76"/>
      <c r="H439" s="76"/>
      <c r="I439" s="95"/>
    </row>
    <row r="440" spans="2:9" x14ac:dyDescent="0.2">
      <c r="B440" s="588" t="s">
        <v>188</v>
      </c>
      <c r="C440" s="589"/>
      <c r="D440" s="96" t="s">
        <v>136</v>
      </c>
      <c r="E440" s="110" t="s">
        <v>137</v>
      </c>
      <c r="F440" s="111" t="s">
        <v>201</v>
      </c>
      <c r="G440" s="112" t="s">
        <v>205</v>
      </c>
      <c r="H440" s="112"/>
      <c r="I440" s="100" t="s">
        <v>193</v>
      </c>
    </row>
    <row r="441" spans="2:9" x14ac:dyDescent="0.2">
      <c r="B441" s="590" t="s">
        <v>210</v>
      </c>
      <c r="C441" s="591"/>
      <c r="D441" s="91" t="s">
        <v>211</v>
      </c>
      <c r="E441" s="88">
        <v>1</v>
      </c>
      <c r="F441" s="104">
        <f>+(80000+50000*2)*1.671</f>
        <v>300780</v>
      </c>
      <c r="G441" s="113">
        <v>0.1</v>
      </c>
      <c r="H441" s="114"/>
      <c r="I441" s="115">
        <f>SUM(F441*E441)*G441</f>
        <v>30078</v>
      </c>
    </row>
    <row r="442" spans="2:9" x14ac:dyDescent="0.2">
      <c r="B442" s="627"/>
      <c r="C442" s="617"/>
      <c r="D442" s="91"/>
      <c r="E442" s="116"/>
      <c r="F442" s="117"/>
      <c r="G442" s="114"/>
      <c r="H442" s="114"/>
      <c r="I442" s="94">
        <f>SUM(F442*E442)*G442</f>
        <v>0</v>
      </c>
    </row>
    <row r="443" spans="2:9" x14ac:dyDescent="0.2">
      <c r="B443" s="598"/>
      <c r="C443" s="599"/>
      <c r="D443" s="91"/>
      <c r="E443" s="118"/>
      <c r="F443" s="117"/>
      <c r="G443" s="114"/>
      <c r="H443" s="114"/>
      <c r="I443" s="94">
        <f>SUM(F443*E443)*G443</f>
        <v>0</v>
      </c>
    </row>
    <row r="444" spans="2:9" x14ac:dyDescent="0.2">
      <c r="B444" s="92"/>
      <c r="C444" s="76"/>
      <c r="D444" s="75"/>
      <c r="E444" s="76"/>
      <c r="F444" s="605" t="s">
        <v>212</v>
      </c>
      <c r="G444" s="605"/>
      <c r="H444" s="119"/>
      <c r="I444" s="94">
        <f>I441</f>
        <v>30078</v>
      </c>
    </row>
    <row r="445" spans="2:9" ht="13.5" thickBot="1" x14ac:dyDescent="0.25">
      <c r="B445" s="92"/>
      <c r="C445" s="76"/>
      <c r="D445" s="75"/>
      <c r="E445" s="76"/>
      <c r="F445" s="120"/>
      <c r="G445" s="119"/>
      <c r="H445" s="119"/>
      <c r="I445" s="78"/>
    </row>
    <row r="446" spans="2:9" ht="13.5" thickBot="1" x14ac:dyDescent="0.25">
      <c r="B446" s="92"/>
      <c r="C446" s="76"/>
      <c r="D446" s="75"/>
      <c r="E446" s="606" t="s">
        <v>213</v>
      </c>
      <c r="F446" s="606"/>
      <c r="G446" s="606"/>
      <c r="H446" s="121"/>
      <c r="I446" s="122">
        <f>ROUND(SUM(I421+I433+I438+I444),0)</f>
        <v>45747</v>
      </c>
    </row>
    <row r="447" spans="2:9" ht="15" thickBot="1" x14ac:dyDescent="0.25">
      <c r="B447" s="73" t="s">
        <v>214</v>
      </c>
      <c r="C447" s="76"/>
      <c r="D447" s="123"/>
      <c r="E447" s="124"/>
      <c r="F447" s="77"/>
      <c r="G447" s="76"/>
      <c r="H447" s="76"/>
      <c r="I447" s="78"/>
    </row>
    <row r="448" spans="2:9" x14ac:dyDescent="0.2">
      <c r="B448" s="607" t="s">
        <v>215</v>
      </c>
      <c r="C448" s="608"/>
      <c r="D448" s="613" t="s">
        <v>216</v>
      </c>
      <c r="E448" s="614"/>
      <c r="F448" s="125" t="s">
        <v>195</v>
      </c>
      <c r="G448" s="126" t="s">
        <v>217</v>
      </c>
      <c r="H448" s="127"/>
      <c r="I448" s="615"/>
    </row>
    <row r="449" spans="2:9" x14ac:dyDescent="0.2">
      <c r="B449" s="609"/>
      <c r="C449" s="610"/>
      <c r="D449" s="617" t="s">
        <v>218</v>
      </c>
      <c r="E449" s="618"/>
      <c r="F449" s="128">
        <v>25</v>
      </c>
      <c r="G449" s="116">
        <f>I446*20%</f>
        <v>9149.4</v>
      </c>
      <c r="H449" s="129"/>
      <c r="I449" s="616"/>
    </row>
    <row r="450" spans="2:9" x14ac:dyDescent="0.2">
      <c r="B450" s="609"/>
      <c r="C450" s="610"/>
      <c r="D450" s="617" t="s">
        <v>168</v>
      </c>
      <c r="E450" s="618"/>
      <c r="F450" s="128">
        <v>5</v>
      </c>
      <c r="G450" s="116">
        <f>I446*5%</f>
        <v>2287.35</v>
      </c>
      <c r="H450" s="129"/>
      <c r="I450" s="616"/>
    </row>
    <row r="451" spans="2:9" x14ac:dyDescent="0.2">
      <c r="B451" s="609"/>
      <c r="C451" s="610"/>
      <c r="D451" s="619" t="s">
        <v>219</v>
      </c>
      <c r="E451" s="617"/>
      <c r="F451" s="128">
        <f>SUM(F449:F450)</f>
        <v>30</v>
      </c>
      <c r="G451" s="116">
        <f>SUM(G449:G450)</f>
        <v>11436.75</v>
      </c>
      <c r="H451" s="129"/>
      <c r="I451" s="616"/>
    </row>
    <row r="452" spans="2:9" ht="15" thickBot="1" x14ac:dyDescent="0.25">
      <c r="B452" s="609"/>
      <c r="C452" s="610"/>
      <c r="D452" s="130"/>
      <c r="E452" s="620" t="s">
        <v>220</v>
      </c>
      <c r="F452" s="621"/>
      <c r="G452" s="622"/>
      <c r="H452" s="38"/>
      <c r="I452" s="131">
        <f>SUM(G451:G451)</f>
        <v>11436.75</v>
      </c>
    </row>
    <row r="453" spans="2:9" ht="16.5" thickBot="1" x14ac:dyDescent="0.3">
      <c r="B453" s="611"/>
      <c r="C453" s="612"/>
      <c r="D453" s="628" t="s">
        <v>221</v>
      </c>
      <c r="E453" s="629"/>
      <c r="F453" s="630"/>
      <c r="G453" s="602">
        <f>SUM(I446+I452)</f>
        <v>57183.75</v>
      </c>
      <c r="H453" s="603"/>
      <c r="I453" s="604"/>
    </row>
  </sheetData>
  <mergeCells count="434">
    <mergeCell ref="D453:F453"/>
    <mergeCell ref="G453:I453"/>
    <mergeCell ref="B443:C443"/>
    <mergeCell ref="F444:G444"/>
    <mergeCell ref="E446:G446"/>
    <mergeCell ref="B448:C453"/>
    <mergeCell ref="D448:E448"/>
    <mergeCell ref="I448:I451"/>
    <mergeCell ref="D449:E449"/>
    <mergeCell ref="D450:E450"/>
    <mergeCell ref="D451:E451"/>
    <mergeCell ref="E452:G452"/>
    <mergeCell ref="B435:C435"/>
    <mergeCell ref="B436:C436"/>
    <mergeCell ref="B437:C437"/>
    <mergeCell ref="B440:C440"/>
    <mergeCell ref="B441:C441"/>
    <mergeCell ref="B442:C442"/>
    <mergeCell ref="B428:C428"/>
    <mergeCell ref="B429:C429"/>
    <mergeCell ref="B430:C430"/>
    <mergeCell ref="B431:C431"/>
    <mergeCell ref="B432:C432"/>
    <mergeCell ref="F433:G433"/>
    <mergeCell ref="B421:E421"/>
    <mergeCell ref="B423:C423"/>
    <mergeCell ref="B424:C424"/>
    <mergeCell ref="B425:C425"/>
    <mergeCell ref="B426:C426"/>
    <mergeCell ref="B427:C427"/>
    <mergeCell ref="B413:D413"/>
    <mergeCell ref="E413:I415"/>
    <mergeCell ref="B415:C415"/>
    <mergeCell ref="D416:I416"/>
    <mergeCell ref="B417:C417"/>
    <mergeCell ref="B418:C418"/>
    <mergeCell ref="I418:I420"/>
    <mergeCell ref="B419:C419"/>
    <mergeCell ref="B420:C420"/>
    <mergeCell ref="D408:F408"/>
    <mergeCell ref="G408:I408"/>
    <mergeCell ref="B410:I410"/>
    <mergeCell ref="C411:F411"/>
    <mergeCell ref="B412:D412"/>
    <mergeCell ref="E412:I412"/>
    <mergeCell ref="B398:C398"/>
    <mergeCell ref="F399:G399"/>
    <mergeCell ref="E401:G401"/>
    <mergeCell ref="B403:C408"/>
    <mergeCell ref="D403:E403"/>
    <mergeCell ref="I403:I406"/>
    <mergeCell ref="D404:E404"/>
    <mergeCell ref="D405:E405"/>
    <mergeCell ref="D406:E406"/>
    <mergeCell ref="E407:G407"/>
    <mergeCell ref="B390:C390"/>
    <mergeCell ref="B391:C391"/>
    <mergeCell ref="B392:C392"/>
    <mergeCell ref="B395:C395"/>
    <mergeCell ref="B396:C396"/>
    <mergeCell ref="B397:C397"/>
    <mergeCell ref="B383:C383"/>
    <mergeCell ref="B384:C384"/>
    <mergeCell ref="B385:C385"/>
    <mergeCell ref="B386:C386"/>
    <mergeCell ref="B387:C387"/>
    <mergeCell ref="F388:G388"/>
    <mergeCell ref="B376:E376"/>
    <mergeCell ref="B378:C378"/>
    <mergeCell ref="B379:C379"/>
    <mergeCell ref="B380:C380"/>
    <mergeCell ref="B381:C381"/>
    <mergeCell ref="B382:C382"/>
    <mergeCell ref="B368:D368"/>
    <mergeCell ref="E368:I370"/>
    <mergeCell ref="B370:C370"/>
    <mergeCell ref="D371:I371"/>
    <mergeCell ref="B372:C372"/>
    <mergeCell ref="B373:C373"/>
    <mergeCell ref="I373:I375"/>
    <mergeCell ref="B374:C374"/>
    <mergeCell ref="B375:C375"/>
    <mergeCell ref="D363:F363"/>
    <mergeCell ref="G363:I363"/>
    <mergeCell ref="B365:I365"/>
    <mergeCell ref="C366:F366"/>
    <mergeCell ref="B367:D367"/>
    <mergeCell ref="E367:I367"/>
    <mergeCell ref="B353:C353"/>
    <mergeCell ref="F354:G354"/>
    <mergeCell ref="E356:G356"/>
    <mergeCell ref="B358:C363"/>
    <mergeCell ref="D358:E358"/>
    <mergeCell ref="I358:I361"/>
    <mergeCell ref="D359:E359"/>
    <mergeCell ref="D360:E360"/>
    <mergeCell ref="D361:E361"/>
    <mergeCell ref="E362:G362"/>
    <mergeCell ref="B345:C345"/>
    <mergeCell ref="B346:C346"/>
    <mergeCell ref="B347:C347"/>
    <mergeCell ref="B350:C350"/>
    <mergeCell ref="B351:C351"/>
    <mergeCell ref="B352:C352"/>
    <mergeCell ref="B338:C338"/>
    <mergeCell ref="B339:C339"/>
    <mergeCell ref="B340:C340"/>
    <mergeCell ref="B341:C341"/>
    <mergeCell ref="B342:C342"/>
    <mergeCell ref="F343:G343"/>
    <mergeCell ref="B331:E331"/>
    <mergeCell ref="B333:C333"/>
    <mergeCell ref="B334:C334"/>
    <mergeCell ref="B335:C335"/>
    <mergeCell ref="B336:C336"/>
    <mergeCell ref="B337:C337"/>
    <mergeCell ref="B323:D323"/>
    <mergeCell ref="E323:I325"/>
    <mergeCell ref="B325:C325"/>
    <mergeCell ref="D326:I326"/>
    <mergeCell ref="B327:C327"/>
    <mergeCell ref="B328:C328"/>
    <mergeCell ref="I328:I330"/>
    <mergeCell ref="B329:C329"/>
    <mergeCell ref="B330:C330"/>
    <mergeCell ref="D318:F318"/>
    <mergeCell ref="G318:I318"/>
    <mergeCell ref="B320:I320"/>
    <mergeCell ref="C321:F321"/>
    <mergeCell ref="B322:D322"/>
    <mergeCell ref="E322:I322"/>
    <mergeCell ref="B308:C308"/>
    <mergeCell ref="F309:G309"/>
    <mergeCell ref="E311:G311"/>
    <mergeCell ref="B313:C318"/>
    <mergeCell ref="D313:E313"/>
    <mergeCell ref="I313:I316"/>
    <mergeCell ref="D314:E314"/>
    <mergeCell ref="D315:E315"/>
    <mergeCell ref="D316:E316"/>
    <mergeCell ref="E317:G317"/>
    <mergeCell ref="B300:C300"/>
    <mergeCell ref="B301:C301"/>
    <mergeCell ref="B302:C302"/>
    <mergeCell ref="B305:C305"/>
    <mergeCell ref="B306:C306"/>
    <mergeCell ref="B307:C307"/>
    <mergeCell ref="B293:C293"/>
    <mergeCell ref="B294:C294"/>
    <mergeCell ref="B295:C295"/>
    <mergeCell ref="B296:C296"/>
    <mergeCell ref="B297:C297"/>
    <mergeCell ref="F298:G298"/>
    <mergeCell ref="B286:E286"/>
    <mergeCell ref="B288:C288"/>
    <mergeCell ref="B289:C289"/>
    <mergeCell ref="B290:C290"/>
    <mergeCell ref="B291:C291"/>
    <mergeCell ref="B292:C292"/>
    <mergeCell ref="B278:D278"/>
    <mergeCell ref="E278:I280"/>
    <mergeCell ref="B280:C280"/>
    <mergeCell ref="D281:I281"/>
    <mergeCell ref="B282:C282"/>
    <mergeCell ref="B283:C283"/>
    <mergeCell ref="I283:I285"/>
    <mergeCell ref="B284:C284"/>
    <mergeCell ref="B285:C285"/>
    <mergeCell ref="D273:F273"/>
    <mergeCell ref="G273:I273"/>
    <mergeCell ref="B275:I275"/>
    <mergeCell ref="C276:F276"/>
    <mergeCell ref="B277:D277"/>
    <mergeCell ref="E277:I277"/>
    <mergeCell ref="B263:C263"/>
    <mergeCell ref="F264:G264"/>
    <mergeCell ref="E266:G266"/>
    <mergeCell ref="B268:C273"/>
    <mergeCell ref="D268:E268"/>
    <mergeCell ref="I268:I271"/>
    <mergeCell ref="D269:E269"/>
    <mergeCell ref="D270:E270"/>
    <mergeCell ref="D271:E271"/>
    <mergeCell ref="E272:G272"/>
    <mergeCell ref="B255:C255"/>
    <mergeCell ref="B256:C256"/>
    <mergeCell ref="B257:C257"/>
    <mergeCell ref="B260:C260"/>
    <mergeCell ref="B261:C261"/>
    <mergeCell ref="B262:C262"/>
    <mergeCell ref="B248:C248"/>
    <mergeCell ref="B249:C249"/>
    <mergeCell ref="B250:C250"/>
    <mergeCell ref="B251:C251"/>
    <mergeCell ref="B252:C252"/>
    <mergeCell ref="F253:G253"/>
    <mergeCell ref="B241:E241"/>
    <mergeCell ref="B243:C243"/>
    <mergeCell ref="B244:C244"/>
    <mergeCell ref="B245:C245"/>
    <mergeCell ref="B246:C246"/>
    <mergeCell ref="B247:C247"/>
    <mergeCell ref="B233:D233"/>
    <mergeCell ref="E233:I235"/>
    <mergeCell ref="B235:C235"/>
    <mergeCell ref="D236:I236"/>
    <mergeCell ref="B237:C237"/>
    <mergeCell ref="B238:C238"/>
    <mergeCell ref="I238:I240"/>
    <mergeCell ref="B239:C239"/>
    <mergeCell ref="B240:C240"/>
    <mergeCell ref="D228:F228"/>
    <mergeCell ref="G228:I228"/>
    <mergeCell ref="B230:I230"/>
    <mergeCell ref="C231:F231"/>
    <mergeCell ref="B232:D232"/>
    <mergeCell ref="E232:I232"/>
    <mergeCell ref="B218:C218"/>
    <mergeCell ref="F219:G219"/>
    <mergeCell ref="E221:G221"/>
    <mergeCell ref="B223:C228"/>
    <mergeCell ref="D223:E223"/>
    <mergeCell ref="I223:I226"/>
    <mergeCell ref="D224:E224"/>
    <mergeCell ref="D225:E225"/>
    <mergeCell ref="D226:E226"/>
    <mergeCell ref="E227:G227"/>
    <mergeCell ref="B210:C210"/>
    <mergeCell ref="B211:C211"/>
    <mergeCell ref="B212:C212"/>
    <mergeCell ref="B215:C215"/>
    <mergeCell ref="B216:C216"/>
    <mergeCell ref="B217:C217"/>
    <mergeCell ref="B203:C203"/>
    <mergeCell ref="B204:C204"/>
    <mergeCell ref="B205:C205"/>
    <mergeCell ref="B206:C206"/>
    <mergeCell ref="B207:C207"/>
    <mergeCell ref="F208:G208"/>
    <mergeCell ref="B196:E196"/>
    <mergeCell ref="B198:C198"/>
    <mergeCell ref="B199:C199"/>
    <mergeCell ref="B200:C200"/>
    <mergeCell ref="B201:C201"/>
    <mergeCell ref="B202:C202"/>
    <mergeCell ref="D191:I191"/>
    <mergeCell ref="B192:C192"/>
    <mergeCell ref="B193:C193"/>
    <mergeCell ref="I193:I195"/>
    <mergeCell ref="B194:C194"/>
    <mergeCell ref="B195:C195"/>
    <mergeCell ref="B185:I185"/>
    <mergeCell ref="C186:F186"/>
    <mergeCell ref="B187:D187"/>
    <mergeCell ref="E187:I187"/>
    <mergeCell ref="B188:D188"/>
    <mergeCell ref="E188:I190"/>
    <mergeCell ref="B190:C190"/>
    <mergeCell ref="I178:I181"/>
    <mergeCell ref="D179:E179"/>
    <mergeCell ref="D180:E180"/>
    <mergeCell ref="D181:E181"/>
    <mergeCell ref="E182:G182"/>
    <mergeCell ref="D183:F183"/>
    <mergeCell ref="G183:I183"/>
    <mergeCell ref="B172:C172"/>
    <mergeCell ref="B173:C173"/>
    <mergeCell ref="F174:G174"/>
    <mergeCell ref="E176:G176"/>
    <mergeCell ref="B178:C183"/>
    <mergeCell ref="D178:E178"/>
    <mergeCell ref="F163:G163"/>
    <mergeCell ref="B165:C165"/>
    <mergeCell ref="B166:C166"/>
    <mergeCell ref="B167:C167"/>
    <mergeCell ref="B170:C170"/>
    <mergeCell ref="B171:C171"/>
    <mergeCell ref="B157:C157"/>
    <mergeCell ref="B158:C158"/>
    <mergeCell ref="B159:C159"/>
    <mergeCell ref="B160:C160"/>
    <mergeCell ref="B161:C161"/>
    <mergeCell ref="B162:C162"/>
    <mergeCell ref="B150:C150"/>
    <mergeCell ref="B151:E151"/>
    <mergeCell ref="B153:C153"/>
    <mergeCell ref="B154:C154"/>
    <mergeCell ref="B155:C155"/>
    <mergeCell ref="B156:C156"/>
    <mergeCell ref="D144:I144"/>
    <mergeCell ref="B145:C145"/>
    <mergeCell ref="B146:C146"/>
    <mergeCell ref="I146:I149"/>
    <mergeCell ref="B147:C147"/>
    <mergeCell ref="B148:C148"/>
    <mergeCell ref="B149:C149"/>
    <mergeCell ref="B138:I138"/>
    <mergeCell ref="C139:F139"/>
    <mergeCell ref="B140:D140"/>
    <mergeCell ref="E140:I140"/>
    <mergeCell ref="B141:D141"/>
    <mergeCell ref="E141:I143"/>
    <mergeCell ref="B143:C143"/>
    <mergeCell ref="I131:I134"/>
    <mergeCell ref="D132:E132"/>
    <mergeCell ref="D133:E133"/>
    <mergeCell ref="D134:E134"/>
    <mergeCell ref="E135:G135"/>
    <mergeCell ref="D136:F136"/>
    <mergeCell ref="G136:I136"/>
    <mergeCell ref="B125:C125"/>
    <mergeCell ref="B126:C126"/>
    <mergeCell ref="F127:G127"/>
    <mergeCell ref="E129:G129"/>
    <mergeCell ref="B131:C136"/>
    <mergeCell ref="D131:E131"/>
    <mergeCell ref="F116:G116"/>
    <mergeCell ref="B118:C118"/>
    <mergeCell ref="B119:C119"/>
    <mergeCell ref="B120:C120"/>
    <mergeCell ref="B123:C123"/>
    <mergeCell ref="B124:C124"/>
    <mergeCell ref="B110:C110"/>
    <mergeCell ref="B111:C111"/>
    <mergeCell ref="B112:C112"/>
    <mergeCell ref="B113:C113"/>
    <mergeCell ref="B114:C114"/>
    <mergeCell ref="B115:C115"/>
    <mergeCell ref="B103:C103"/>
    <mergeCell ref="B104:E104"/>
    <mergeCell ref="B106:C106"/>
    <mergeCell ref="B107:C107"/>
    <mergeCell ref="B108:C108"/>
    <mergeCell ref="B109:C109"/>
    <mergeCell ref="B94:D94"/>
    <mergeCell ref="E94:I96"/>
    <mergeCell ref="B96:C96"/>
    <mergeCell ref="D97:I97"/>
    <mergeCell ref="B98:C98"/>
    <mergeCell ref="B99:C99"/>
    <mergeCell ref="I99:I102"/>
    <mergeCell ref="B100:C100"/>
    <mergeCell ref="B101:C101"/>
    <mergeCell ref="B102:C102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9" manualBreakCount="9">
    <brk id="45" min="1" max="8" man="1"/>
    <brk id="90" min="1" max="8" man="1"/>
    <brk id="137" min="1" max="8" man="1"/>
    <brk id="184" min="1" max="8" man="1"/>
    <brk id="229" min="1" max="8" man="1"/>
    <brk id="274" min="1" max="8" man="1"/>
    <brk id="319" min="1" max="8" man="1"/>
    <brk id="364" min="1" max="8" man="1"/>
    <brk id="409" min="1" max="8" man="1"/>
  </row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3333FF"/>
    <pageSetUpPr fitToPage="1"/>
  </sheetPr>
  <dimension ref="B1:I225"/>
  <sheetViews>
    <sheetView view="pageBreakPreview" topLeftCell="A109" zoomScale="130" zoomScaleNormal="130" zoomScaleSheetLayoutView="130" workbookViewId="0">
      <selection activeCell="G169" sqref="G169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65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 t="s">
        <v>63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15039</v>
      </c>
      <c r="G9" s="116">
        <f>SUM(F9*5%)</f>
        <v>751.95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15039</v>
      </c>
      <c r="G10" s="116">
        <f>SUM(F10*1.5%)</f>
        <v>225.58499999999998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977.53500000000008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243</v>
      </c>
      <c r="C15" s="591"/>
      <c r="D15" s="79" t="s">
        <v>231</v>
      </c>
      <c r="E15" s="80">
        <v>0.04</v>
      </c>
      <c r="F15" s="81">
        <v>3</v>
      </c>
      <c r="G15" s="82">
        <f>313398*1.2</f>
        <v>376077.6</v>
      </c>
      <c r="H15" s="83"/>
      <c r="I15" s="90">
        <f t="shared" ref="I15:I23" si="0">(E15*(1+F15/100)) * (G15*(1+H15/100))</f>
        <v>15494.39712</v>
      </c>
    </row>
    <row r="16" spans="2:9" x14ac:dyDescent="0.2">
      <c r="B16" s="590"/>
      <c r="C16" s="591"/>
      <c r="D16" s="79"/>
      <c r="E16" s="80"/>
      <c r="F16" s="136"/>
      <c r="G16" s="82"/>
      <c r="H16" s="84"/>
      <c r="I16" s="90">
        <f t="shared" si="0"/>
        <v>0</v>
      </c>
    </row>
    <row r="17" spans="2:9" x14ac:dyDescent="0.2">
      <c r="B17" s="590"/>
      <c r="C17" s="591"/>
      <c r="D17" s="79"/>
      <c r="E17" s="80"/>
      <c r="F17" s="87"/>
      <c r="G17" s="82"/>
      <c r="H17" s="85"/>
      <c r="I17" s="90">
        <f t="shared" si="0"/>
        <v>0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15494.39712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8.5" customHeight="1" x14ac:dyDescent="0.2">
      <c r="B32" s="590" t="s">
        <v>210</v>
      </c>
      <c r="C32" s="591"/>
      <c r="D32" s="91" t="s">
        <v>211</v>
      </c>
      <c r="E32" s="88">
        <v>1</v>
      </c>
      <c r="F32" s="104">
        <f>+(80000+50000*2)*1.671</f>
        <v>300780</v>
      </c>
      <c r="G32" s="113">
        <v>0.05</v>
      </c>
      <c r="H32" s="114"/>
      <c r="I32" s="115">
        <f>SUM(F32*E32)*G32</f>
        <v>15039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15039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31511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6302.2000000000007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1575.5500000000002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7877.7500000000009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7877.7500000000009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39388.75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361</v>
      </c>
      <c r="F49" s="575"/>
      <c r="G49" s="575"/>
      <c r="H49" s="575"/>
      <c r="I49" s="576"/>
    </row>
    <row r="50" spans="2:9" ht="13.5" thickBot="1" x14ac:dyDescent="0.25">
      <c r="B50" s="63" t="s">
        <v>184</v>
      </c>
      <c r="C50" s="64" t="s">
        <v>185</v>
      </c>
      <c r="D50" s="65" t="s">
        <v>66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30078</v>
      </c>
      <c r="G54" s="116">
        <f>SUM(F54*5%)</f>
        <v>1503.9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30078</v>
      </c>
      <c r="G55" s="116">
        <f>SUM(F55*1.5%)</f>
        <v>451.16999999999996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1955.0700000000002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590" t="s">
        <v>368</v>
      </c>
      <c r="C60" s="591"/>
      <c r="D60" s="79" t="s">
        <v>20</v>
      </c>
      <c r="E60" s="80">
        <v>1</v>
      </c>
      <c r="F60" s="81">
        <v>3</v>
      </c>
      <c r="G60" s="82">
        <f>22700*1.4</f>
        <v>31779.999999999996</v>
      </c>
      <c r="H60" s="83"/>
      <c r="I60" s="90">
        <f t="shared" ref="I60:I68" si="1">(E60*(1+F60/100)) * (G60*(1+H60/100))</f>
        <v>32733.399999999998</v>
      </c>
    </row>
    <row r="61" spans="2:9" x14ac:dyDescent="0.2">
      <c r="B61" s="590" t="s">
        <v>261</v>
      </c>
      <c r="C61" s="591"/>
      <c r="D61" s="79" t="s">
        <v>227</v>
      </c>
      <c r="E61" s="80">
        <v>4</v>
      </c>
      <c r="F61" s="136">
        <v>3</v>
      </c>
      <c r="G61" s="82">
        <f>1600*1.3</f>
        <v>2080</v>
      </c>
      <c r="H61" s="84"/>
      <c r="I61" s="90">
        <f t="shared" si="1"/>
        <v>8569.6</v>
      </c>
    </row>
    <row r="62" spans="2:9" x14ac:dyDescent="0.2">
      <c r="B62" s="590" t="s">
        <v>262</v>
      </c>
      <c r="C62" s="591"/>
      <c r="D62" s="79" t="s">
        <v>227</v>
      </c>
      <c r="E62" s="80">
        <v>0.15</v>
      </c>
      <c r="F62" s="87">
        <v>3</v>
      </c>
      <c r="G62" s="82">
        <f>1621*1.3</f>
        <v>2107.3000000000002</v>
      </c>
      <c r="H62" s="85"/>
      <c r="I62" s="90">
        <f t="shared" si="1"/>
        <v>325.57785000000001</v>
      </c>
    </row>
    <row r="63" spans="2:9" x14ac:dyDescent="0.2">
      <c r="B63" s="590"/>
      <c r="C63" s="591"/>
      <c r="D63" s="79"/>
      <c r="E63" s="80"/>
      <c r="F63" s="87"/>
      <c r="G63" s="82"/>
      <c r="H63" s="85"/>
      <c r="I63" s="90">
        <f t="shared" si="1"/>
        <v>0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41628.577850000001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22.15" customHeight="1" x14ac:dyDescent="0.2">
      <c r="B77" s="590" t="s">
        <v>210</v>
      </c>
      <c r="C77" s="591"/>
      <c r="D77" s="91" t="s">
        <v>211</v>
      </c>
      <c r="E77" s="88">
        <v>1</v>
      </c>
      <c r="F77" s="104">
        <f>+(80000+50000*2)*1.671</f>
        <v>300780</v>
      </c>
      <c r="G77" s="113">
        <v>0.1</v>
      </c>
      <c r="H77" s="114"/>
      <c r="I77" s="115">
        <f>SUM(F77*E77)*G77</f>
        <v>30078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30078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73662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14732.400000000001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3683.1000000000004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18415.5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18415.5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92077.5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67</v>
      </c>
      <c r="F94" s="575"/>
      <c r="G94" s="575"/>
      <c r="H94" s="575"/>
      <c r="I94" s="576"/>
    </row>
    <row r="95" spans="2:9" ht="13.5" thickBot="1" x14ac:dyDescent="0.25">
      <c r="B95" s="63" t="s">
        <v>225</v>
      </c>
      <c r="C95" s="64" t="s">
        <v>185</v>
      </c>
      <c r="D95" s="65" t="s">
        <v>68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21054.600000000002</v>
      </c>
      <c r="G99" s="116">
        <f>SUM(F99*5%)</f>
        <v>1052.7300000000002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21054.600000000002</v>
      </c>
      <c r="G100" s="116">
        <f>SUM(F100*1.5%)</f>
        <v>315.81900000000002</v>
      </c>
      <c r="H100" s="70"/>
      <c r="I100" s="597"/>
    </row>
    <row r="101" spans="2:9" x14ac:dyDescent="0.2">
      <c r="B101" s="600" t="s">
        <v>263</v>
      </c>
      <c r="C101" s="601"/>
      <c r="D101" s="91"/>
      <c r="E101" s="104">
        <v>0.36</v>
      </c>
      <c r="F101" s="104">
        <v>30000</v>
      </c>
      <c r="G101" s="88">
        <f>SUM(E101*F101)</f>
        <v>10800</v>
      </c>
      <c r="H101" s="89"/>
      <c r="I101" s="138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SUM(G99:H101)</f>
        <v>12168.549000000001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ht="19.899999999999999" customHeight="1" x14ac:dyDescent="0.2">
      <c r="B105" s="590" t="s">
        <v>264</v>
      </c>
      <c r="C105" s="591"/>
      <c r="D105" s="79" t="s">
        <v>265</v>
      </c>
      <c r="E105" s="80">
        <v>0.04</v>
      </c>
      <c r="F105" s="81">
        <v>3</v>
      </c>
      <c r="G105" s="82">
        <f>15644*1.4</f>
        <v>21901.599999999999</v>
      </c>
      <c r="H105" s="83"/>
      <c r="I105" s="90">
        <f t="shared" ref="I105:I113" si="2">(E105*(1+F105/100)) * (G105*(1+H105/100))</f>
        <v>902.34591999999998</v>
      </c>
    </row>
    <row r="106" spans="2:9" x14ac:dyDescent="0.2">
      <c r="B106" s="590" t="s">
        <v>262</v>
      </c>
      <c r="C106" s="591"/>
      <c r="D106" s="79" t="s">
        <v>227</v>
      </c>
      <c r="E106" s="80">
        <v>2.5</v>
      </c>
      <c r="F106" s="87">
        <v>3</v>
      </c>
      <c r="G106" s="82">
        <f>1621*1.3</f>
        <v>2107.3000000000002</v>
      </c>
      <c r="H106" s="84"/>
      <c r="I106" s="90">
        <f t="shared" si="2"/>
        <v>5426.2975000000006</v>
      </c>
    </row>
    <row r="107" spans="2:9" x14ac:dyDescent="0.2">
      <c r="B107" s="590"/>
      <c r="C107" s="591"/>
      <c r="D107" s="79"/>
      <c r="E107" s="80"/>
      <c r="F107" s="87"/>
      <c r="G107" s="82"/>
      <c r="H107" s="85"/>
      <c r="I107" s="90">
        <f t="shared" si="2"/>
        <v>0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6328.6434200000003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21.6" customHeight="1" x14ac:dyDescent="0.2">
      <c r="B122" s="590" t="s">
        <v>210</v>
      </c>
      <c r="C122" s="591"/>
      <c r="D122" s="91" t="s">
        <v>211</v>
      </c>
      <c r="E122" s="88">
        <v>1</v>
      </c>
      <c r="F122" s="104">
        <f>+(80000+50000*2)*1.671</f>
        <v>300780</v>
      </c>
      <c r="G122" s="113">
        <v>7.0000000000000007E-2</v>
      </c>
      <c r="H122" s="114"/>
      <c r="I122" s="115">
        <f>SUM(F122*E122)*G122</f>
        <v>21054.600000000002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21054.600000000002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39552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7910.4000000000005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1977.6000000000001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9888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9888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49440</v>
      </c>
      <c r="H134" s="603"/>
      <c r="I134" s="604"/>
    </row>
    <row r="137" spans="2:9" ht="18.75" thickBot="1" x14ac:dyDescent="0.3">
      <c r="B137" s="564" t="s">
        <v>180</v>
      </c>
      <c r="C137" s="564"/>
      <c r="D137" s="564"/>
      <c r="E137" s="564"/>
      <c r="F137" s="564"/>
      <c r="G137" s="564"/>
      <c r="H137" s="564"/>
      <c r="I137" s="564"/>
    </row>
    <row r="138" spans="2:9" ht="15.75" thickBot="1" x14ac:dyDescent="0.3">
      <c r="B138" s="59" t="s">
        <v>181</v>
      </c>
      <c r="C138" s="565" t="s">
        <v>393</v>
      </c>
      <c r="D138" s="566"/>
      <c r="E138" s="566"/>
      <c r="F138" s="567"/>
      <c r="G138" s="60" t="s">
        <v>5</v>
      </c>
      <c r="H138" s="61"/>
      <c r="I138" s="62">
        <v>45373</v>
      </c>
    </row>
    <row r="139" spans="2:9" ht="13.5" thickBot="1" x14ac:dyDescent="0.25">
      <c r="B139" s="568" t="s">
        <v>182</v>
      </c>
      <c r="C139" s="569"/>
      <c r="D139" s="570"/>
      <c r="E139" s="568" t="s">
        <v>183</v>
      </c>
      <c r="F139" s="569"/>
      <c r="G139" s="569"/>
      <c r="H139" s="569"/>
      <c r="I139" s="570"/>
    </row>
    <row r="140" spans="2:9" ht="13.5" thickBot="1" x14ac:dyDescent="0.25">
      <c r="B140" s="571"/>
      <c r="C140" s="572"/>
      <c r="D140" s="573"/>
      <c r="E140" s="574" t="s">
        <v>362</v>
      </c>
      <c r="F140" s="575"/>
      <c r="G140" s="575"/>
      <c r="H140" s="575"/>
      <c r="I140" s="576"/>
    </row>
    <row r="141" spans="2:9" ht="13.5" thickBot="1" x14ac:dyDescent="0.25">
      <c r="B141" s="63" t="s">
        <v>184</v>
      </c>
      <c r="C141" s="64" t="s">
        <v>185</v>
      </c>
      <c r="D141" s="65" t="s">
        <v>155</v>
      </c>
      <c r="E141" s="577"/>
      <c r="F141" s="578"/>
      <c r="G141" s="578"/>
      <c r="H141" s="578"/>
      <c r="I141" s="579"/>
    </row>
    <row r="142" spans="2:9" ht="13.5" thickBot="1" x14ac:dyDescent="0.25">
      <c r="B142" s="583" t="s">
        <v>186</v>
      </c>
      <c r="C142" s="584"/>
      <c r="D142" s="66"/>
      <c r="E142" s="580"/>
      <c r="F142" s="581"/>
      <c r="G142" s="581"/>
      <c r="H142" s="581"/>
      <c r="I142" s="582"/>
    </row>
    <row r="143" spans="2:9" x14ac:dyDescent="0.2">
      <c r="B143" s="67" t="s">
        <v>187</v>
      </c>
      <c r="C143" s="68"/>
      <c r="D143" s="592"/>
      <c r="E143" s="592"/>
      <c r="F143" s="592"/>
      <c r="G143" s="592"/>
      <c r="H143" s="592"/>
      <c r="I143" s="593"/>
    </row>
    <row r="144" spans="2:9" x14ac:dyDescent="0.2">
      <c r="B144" s="588" t="s">
        <v>188</v>
      </c>
      <c r="C144" s="589"/>
      <c r="D144" s="96" t="s">
        <v>189</v>
      </c>
      <c r="E144" s="134" t="s">
        <v>190</v>
      </c>
      <c r="F144" s="111" t="s">
        <v>191</v>
      </c>
      <c r="G144" s="110" t="s">
        <v>192</v>
      </c>
      <c r="H144" s="112"/>
      <c r="I144" s="100" t="s">
        <v>193</v>
      </c>
    </row>
    <row r="145" spans="2:9" x14ac:dyDescent="0.2">
      <c r="B145" s="594" t="s">
        <v>194</v>
      </c>
      <c r="C145" s="595"/>
      <c r="D145" s="91" t="s">
        <v>195</v>
      </c>
      <c r="E145" s="135">
        <v>5</v>
      </c>
      <c r="F145" s="135">
        <f>SUM(I171)</f>
        <v>30078</v>
      </c>
      <c r="G145" s="116">
        <f>SUM(F145*5%)</f>
        <v>1503.9</v>
      </c>
      <c r="H145" s="69"/>
      <c r="I145" s="596"/>
    </row>
    <row r="146" spans="2:9" x14ac:dyDescent="0.2">
      <c r="B146" s="598" t="s">
        <v>196</v>
      </c>
      <c r="C146" s="599"/>
      <c r="D146" s="91" t="s">
        <v>195</v>
      </c>
      <c r="E146" s="135">
        <v>1.5</v>
      </c>
      <c r="F146" s="135">
        <f>SUM(I171)</f>
        <v>30078</v>
      </c>
      <c r="G146" s="116">
        <f>SUM(F146*1.5%)</f>
        <v>451.16999999999996</v>
      </c>
      <c r="H146" s="70"/>
      <c r="I146" s="597"/>
    </row>
    <row r="147" spans="2:9" x14ac:dyDescent="0.2">
      <c r="B147" s="600"/>
      <c r="C147" s="601"/>
      <c r="D147" s="91"/>
      <c r="E147" s="104"/>
      <c r="F147" s="104"/>
      <c r="G147" s="88">
        <f>SUM(E147*F147)</f>
        <v>0</v>
      </c>
      <c r="H147" s="70"/>
      <c r="I147" s="597"/>
    </row>
    <row r="148" spans="2:9" x14ac:dyDescent="0.2">
      <c r="B148" s="587"/>
      <c r="C148" s="585"/>
      <c r="D148" s="585"/>
      <c r="E148" s="585"/>
      <c r="F148" s="71"/>
      <c r="G148" s="72" t="s">
        <v>197</v>
      </c>
      <c r="H148" s="72"/>
      <c r="I148" s="94">
        <f>SUM(G145:G147)</f>
        <v>1955.0700000000002</v>
      </c>
    </row>
    <row r="149" spans="2:9" x14ac:dyDescent="0.2">
      <c r="B149" s="73" t="s">
        <v>198</v>
      </c>
      <c r="C149" s="74"/>
      <c r="D149" s="75"/>
      <c r="E149" s="76"/>
      <c r="F149" s="77"/>
      <c r="G149" s="76"/>
      <c r="H149" s="76"/>
      <c r="I149" s="78"/>
    </row>
    <row r="150" spans="2:9" x14ac:dyDescent="0.2">
      <c r="B150" s="588" t="s">
        <v>188</v>
      </c>
      <c r="C150" s="589"/>
      <c r="D150" s="96" t="s">
        <v>199</v>
      </c>
      <c r="E150" s="110" t="s">
        <v>137</v>
      </c>
      <c r="F150" s="111" t="s">
        <v>200</v>
      </c>
      <c r="G150" s="110" t="s">
        <v>201</v>
      </c>
      <c r="H150" s="112"/>
      <c r="I150" s="100" t="s">
        <v>193</v>
      </c>
    </row>
    <row r="151" spans="2:9" x14ac:dyDescent="0.2">
      <c r="B151" s="590" t="s">
        <v>367</v>
      </c>
      <c r="C151" s="591"/>
      <c r="D151" s="79" t="s">
        <v>20</v>
      </c>
      <c r="E151" s="80">
        <v>1</v>
      </c>
      <c r="F151" s="81">
        <v>3</v>
      </c>
      <c r="G151" s="82">
        <v>85389</v>
      </c>
      <c r="H151" s="83"/>
      <c r="I151" s="90">
        <f t="shared" ref="I151:I159" si="3">(E151*(1+F151/100)) * (G151*(1+H151/100))</f>
        <v>87950.67</v>
      </c>
    </row>
    <row r="152" spans="2:9" ht="19.899999999999999" customHeight="1" x14ac:dyDescent="0.2">
      <c r="B152" s="590" t="s">
        <v>266</v>
      </c>
      <c r="C152" s="591"/>
      <c r="D152" s="79" t="s">
        <v>227</v>
      </c>
      <c r="E152" s="80">
        <v>0.06</v>
      </c>
      <c r="F152" s="136">
        <v>3</v>
      </c>
      <c r="G152" s="82">
        <f>4241*1.3</f>
        <v>5513.3</v>
      </c>
      <c r="H152" s="84"/>
      <c r="I152" s="90">
        <f t="shared" si="3"/>
        <v>340.72194000000002</v>
      </c>
    </row>
    <row r="153" spans="2:9" ht="13.15" customHeight="1" x14ac:dyDescent="0.2">
      <c r="B153" s="590" t="s">
        <v>261</v>
      </c>
      <c r="C153" s="591"/>
      <c r="D153" s="79" t="s">
        <v>227</v>
      </c>
      <c r="E153" s="80">
        <v>3</v>
      </c>
      <c r="F153" s="136">
        <v>3</v>
      </c>
      <c r="G153" s="82">
        <f>1600*1.3</f>
        <v>2080</v>
      </c>
      <c r="H153" s="85"/>
      <c r="I153" s="90">
        <f t="shared" si="3"/>
        <v>6427.2</v>
      </c>
    </row>
    <row r="154" spans="2:9" x14ac:dyDescent="0.2">
      <c r="B154" s="590"/>
      <c r="C154" s="591"/>
      <c r="D154" s="79"/>
      <c r="E154" s="80"/>
      <c r="F154" s="87"/>
      <c r="G154" s="82"/>
      <c r="H154" s="85"/>
      <c r="I154" s="90">
        <f t="shared" si="3"/>
        <v>0</v>
      </c>
    </row>
    <row r="155" spans="2:9" x14ac:dyDescent="0.2">
      <c r="B155" s="590"/>
      <c r="C155" s="591"/>
      <c r="D155" s="79"/>
      <c r="E155" s="80"/>
      <c r="F155" s="87"/>
      <c r="G155" s="82"/>
      <c r="H155" s="85"/>
      <c r="I155" s="90">
        <f t="shared" si="3"/>
        <v>0</v>
      </c>
    </row>
    <row r="156" spans="2:9" x14ac:dyDescent="0.2">
      <c r="B156" s="590"/>
      <c r="C156" s="591"/>
      <c r="D156" s="79"/>
      <c r="E156" s="80"/>
      <c r="F156" s="87"/>
      <c r="G156" s="82"/>
      <c r="H156" s="85"/>
      <c r="I156" s="90">
        <f t="shared" si="3"/>
        <v>0</v>
      </c>
    </row>
    <row r="157" spans="2:9" x14ac:dyDescent="0.2">
      <c r="B157" s="590"/>
      <c r="C157" s="591"/>
      <c r="D157" s="86"/>
      <c r="E157" s="80"/>
      <c r="F157" s="87"/>
      <c r="G157" s="82"/>
      <c r="H157" s="85"/>
      <c r="I157" s="90">
        <f t="shared" si="3"/>
        <v>0</v>
      </c>
    </row>
    <row r="158" spans="2:9" x14ac:dyDescent="0.2">
      <c r="B158" s="562"/>
      <c r="C158" s="563"/>
      <c r="D158" s="91"/>
      <c r="E158" s="80"/>
      <c r="F158" s="87"/>
      <c r="G158" s="88"/>
      <c r="H158" s="89"/>
      <c r="I158" s="90">
        <f t="shared" si="3"/>
        <v>0</v>
      </c>
    </row>
    <row r="159" spans="2:9" x14ac:dyDescent="0.2">
      <c r="B159" s="562"/>
      <c r="C159" s="563"/>
      <c r="D159" s="91"/>
      <c r="E159" s="80"/>
      <c r="F159" s="87"/>
      <c r="G159" s="88"/>
      <c r="H159" s="89"/>
      <c r="I159" s="90">
        <f t="shared" si="3"/>
        <v>0</v>
      </c>
    </row>
    <row r="160" spans="2:9" x14ac:dyDescent="0.2">
      <c r="B160" s="92"/>
      <c r="C160" s="76"/>
      <c r="D160" s="75"/>
      <c r="E160" s="76"/>
      <c r="F160" s="585" t="s">
        <v>202</v>
      </c>
      <c r="G160" s="586"/>
      <c r="H160" s="93"/>
      <c r="I160" s="94">
        <f>SUM(I151:I159)</f>
        <v>94718.591939999998</v>
      </c>
    </row>
    <row r="161" spans="2:9" ht="14.25" x14ac:dyDescent="0.2">
      <c r="B161" s="73" t="s">
        <v>203</v>
      </c>
      <c r="C161" s="74"/>
      <c r="D161" s="75"/>
      <c r="E161" s="76"/>
      <c r="F161" s="77"/>
      <c r="G161" s="76"/>
      <c r="H161" s="76"/>
      <c r="I161" s="95"/>
    </row>
    <row r="162" spans="2:9" x14ac:dyDescent="0.2">
      <c r="B162" s="588" t="s">
        <v>188</v>
      </c>
      <c r="C162" s="589"/>
      <c r="D162" s="96" t="s">
        <v>204</v>
      </c>
      <c r="E162" s="97" t="s">
        <v>205</v>
      </c>
      <c r="F162" s="98" t="s">
        <v>206</v>
      </c>
      <c r="G162" s="97" t="s">
        <v>207</v>
      </c>
      <c r="H162" s="99"/>
      <c r="I162" s="100" t="s">
        <v>193</v>
      </c>
    </row>
    <row r="163" spans="2:9" x14ac:dyDescent="0.2">
      <c r="B163" s="623"/>
      <c r="C163" s="624"/>
      <c r="D163" s="137"/>
      <c r="E163" s="101"/>
      <c r="F163" s="102"/>
      <c r="G163" s="82">
        <f>+D163*F163</f>
        <v>0</v>
      </c>
      <c r="H163" s="83"/>
      <c r="I163" s="103"/>
    </row>
    <row r="164" spans="2:9" x14ac:dyDescent="0.2">
      <c r="B164" s="623"/>
      <c r="C164" s="624"/>
      <c r="D164" s="137"/>
      <c r="E164" s="101"/>
      <c r="F164" s="104"/>
      <c r="G164" s="82">
        <f>+D164*F164</f>
        <v>0</v>
      </c>
      <c r="H164" s="85"/>
      <c r="I164" s="103"/>
    </row>
    <row r="165" spans="2:9" x14ac:dyDescent="0.2">
      <c r="B165" s="105"/>
      <c r="C165" s="106"/>
      <c r="D165" s="75"/>
      <c r="E165" s="106"/>
      <c r="F165" s="107" t="s">
        <v>208</v>
      </c>
      <c r="G165" s="106"/>
      <c r="H165" s="108"/>
      <c r="I165" s="109">
        <f>SUM(G163:G164)</f>
        <v>0</v>
      </c>
    </row>
    <row r="166" spans="2:9" ht="14.25" x14ac:dyDescent="0.2">
      <c r="B166" s="73" t="s">
        <v>209</v>
      </c>
      <c r="C166" s="76"/>
      <c r="D166" s="75"/>
      <c r="E166" s="76"/>
      <c r="F166" s="77"/>
      <c r="G166" s="76"/>
      <c r="H166" s="76"/>
      <c r="I166" s="95"/>
    </row>
    <row r="167" spans="2:9" x14ac:dyDescent="0.2">
      <c r="B167" s="588" t="s">
        <v>188</v>
      </c>
      <c r="C167" s="589"/>
      <c r="D167" s="96" t="s">
        <v>136</v>
      </c>
      <c r="E167" s="110" t="s">
        <v>137</v>
      </c>
      <c r="F167" s="111" t="s">
        <v>201</v>
      </c>
      <c r="G167" s="112" t="s">
        <v>205</v>
      </c>
      <c r="H167" s="112"/>
      <c r="I167" s="100" t="s">
        <v>193</v>
      </c>
    </row>
    <row r="168" spans="2:9" ht="22.9" customHeight="1" x14ac:dyDescent="0.2">
      <c r="B168" s="590" t="s">
        <v>210</v>
      </c>
      <c r="C168" s="591"/>
      <c r="D168" s="91" t="s">
        <v>211</v>
      </c>
      <c r="E168" s="88">
        <v>1</v>
      </c>
      <c r="F168" s="104">
        <f>+(80000+50000*2)*1.671</f>
        <v>300780</v>
      </c>
      <c r="G168" s="113">
        <v>0.1</v>
      </c>
      <c r="H168" s="114"/>
      <c r="I168" s="115">
        <f>SUM(F168*E168)*G168</f>
        <v>30078</v>
      </c>
    </row>
    <row r="169" spans="2:9" x14ac:dyDescent="0.2">
      <c r="B169" s="627"/>
      <c r="C169" s="617"/>
      <c r="D169" s="91"/>
      <c r="E169" s="116"/>
      <c r="F169" s="117"/>
      <c r="G169" s="114"/>
      <c r="H169" s="114"/>
      <c r="I169" s="94">
        <f>SUM(F169*E169)*G169</f>
        <v>0</v>
      </c>
    </row>
    <row r="170" spans="2:9" x14ac:dyDescent="0.2">
      <c r="B170" s="598"/>
      <c r="C170" s="599"/>
      <c r="D170" s="91"/>
      <c r="E170" s="118"/>
      <c r="F170" s="117"/>
      <c r="G170" s="114"/>
      <c r="H170" s="114"/>
      <c r="I170" s="94">
        <f>SUM(F170*E170)*G170</f>
        <v>0</v>
      </c>
    </row>
    <row r="171" spans="2:9" x14ac:dyDescent="0.2">
      <c r="B171" s="92"/>
      <c r="C171" s="76"/>
      <c r="D171" s="75"/>
      <c r="E171" s="76"/>
      <c r="F171" s="605" t="s">
        <v>212</v>
      </c>
      <c r="G171" s="605"/>
      <c r="H171" s="119"/>
      <c r="I171" s="94">
        <f>I168</f>
        <v>30078</v>
      </c>
    </row>
    <row r="172" spans="2:9" ht="13.5" thickBot="1" x14ac:dyDescent="0.25">
      <c r="B172" s="92"/>
      <c r="C172" s="76"/>
      <c r="D172" s="75"/>
      <c r="E172" s="76"/>
      <c r="F172" s="120"/>
      <c r="G172" s="119"/>
      <c r="H172" s="119"/>
      <c r="I172" s="78"/>
    </row>
    <row r="173" spans="2:9" ht="13.5" thickBot="1" x14ac:dyDescent="0.25">
      <c r="B173" s="92"/>
      <c r="C173" s="76"/>
      <c r="D173" s="75"/>
      <c r="E173" s="606" t="s">
        <v>213</v>
      </c>
      <c r="F173" s="606"/>
      <c r="G173" s="606"/>
      <c r="H173" s="121"/>
      <c r="I173" s="122">
        <f>ROUND(SUM(I148+I160+I165+I171),0)</f>
        <v>126752</v>
      </c>
    </row>
    <row r="174" spans="2:9" ht="15" thickBot="1" x14ac:dyDescent="0.25">
      <c r="B174" s="73" t="s">
        <v>214</v>
      </c>
      <c r="C174" s="76"/>
      <c r="D174" s="123"/>
      <c r="E174" s="124"/>
      <c r="F174" s="77"/>
      <c r="G174" s="76"/>
      <c r="H174" s="76"/>
      <c r="I174" s="78"/>
    </row>
    <row r="175" spans="2:9" x14ac:dyDescent="0.2">
      <c r="B175" s="607" t="s">
        <v>215</v>
      </c>
      <c r="C175" s="608"/>
      <c r="D175" s="613" t="s">
        <v>216</v>
      </c>
      <c r="E175" s="614"/>
      <c r="F175" s="125" t="s">
        <v>195</v>
      </c>
      <c r="G175" s="126" t="s">
        <v>217</v>
      </c>
      <c r="H175" s="127"/>
      <c r="I175" s="615"/>
    </row>
    <row r="176" spans="2:9" x14ac:dyDescent="0.2">
      <c r="B176" s="609"/>
      <c r="C176" s="610"/>
      <c r="D176" s="617" t="s">
        <v>218</v>
      </c>
      <c r="E176" s="618"/>
      <c r="F176" s="128">
        <v>25</v>
      </c>
      <c r="G176" s="116">
        <f>I173*20%</f>
        <v>25350.400000000001</v>
      </c>
      <c r="H176" s="129"/>
      <c r="I176" s="616"/>
    </row>
    <row r="177" spans="2:9" x14ac:dyDescent="0.2">
      <c r="B177" s="609"/>
      <c r="C177" s="610"/>
      <c r="D177" s="617" t="s">
        <v>168</v>
      </c>
      <c r="E177" s="618"/>
      <c r="F177" s="128">
        <v>5</v>
      </c>
      <c r="G177" s="116">
        <f>I173*5%</f>
        <v>6337.6</v>
      </c>
      <c r="H177" s="129"/>
      <c r="I177" s="616"/>
    </row>
    <row r="178" spans="2:9" x14ac:dyDescent="0.2">
      <c r="B178" s="609"/>
      <c r="C178" s="610"/>
      <c r="D178" s="619" t="s">
        <v>219</v>
      </c>
      <c r="E178" s="617"/>
      <c r="F178" s="128">
        <f>SUM(F176:F177)</f>
        <v>30</v>
      </c>
      <c r="G178" s="116">
        <f>SUM(G176:G177)</f>
        <v>31688</v>
      </c>
      <c r="H178" s="129"/>
      <c r="I178" s="616"/>
    </row>
    <row r="179" spans="2:9" ht="15" thickBot="1" x14ac:dyDescent="0.25">
      <c r="B179" s="609"/>
      <c r="C179" s="610"/>
      <c r="D179" s="130"/>
      <c r="E179" s="620" t="s">
        <v>220</v>
      </c>
      <c r="F179" s="621"/>
      <c r="G179" s="622"/>
      <c r="H179" s="38"/>
      <c r="I179" s="131">
        <f>SUM(G178:G178)</f>
        <v>31688</v>
      </c>
    </row>
    <row r="180" spans="2:9" ht="16.5" thickBot="1" x14ac:dyDescent="0.3">
      <c r="B180" s="611"/>
      <c r="C180" s="612"/>
      <c r="D180" s="628" t="s">
        <v>221</v>
      </c>
      <c r="E180" s="629"/>
      <c r="F180" s="630"/>
      <c r="G180" s="602">
        <f>SUM(I173+I179)</f>
        <v>158440</v>
      </c>
      <c r="H180" s="603"/>
      <c r="I180" s="604"/>
    </row>
    <row r="182" spans="2:9" ht="18.75" thickBot="1" x14ac:dyDescent="0.3">
      <c r="B182" s="564" t="s">
        <v>180</v>
      </c>
      <c r="C182" s="564"/>
      <c r="D182" s="564"/>
      <c r="E182" s="564"/>
      <c r="F182" s="564"/>
      <c r="G182" s="564"/>
      <c r="H182" s="564"/>
      <c r="I182" s="564"/>
    </row>
    <row r="183" spans="2:9" ht="15.75" thickBot="1" x14ac:dyDescent="0.3">
      <c r="B183" s="59" t="s">
        <v>181</v>
      </c>
      <c r="C183" s="565" t="s">
        <v>393</v>
      </c>
      <c r="D183" s="566"/>
      <c r="E183" s="566"/>
      <c r="F183" s="567"/>
      <c r="G183" s="60" t="s">
        <v>5</v>
      </c>
      <c r="H183" s="61"/>
      <c r="I183" s="62">
        <v>45373</v>
      </c>
    </row>
    <row r="184" spans="2:9" ht="13.5" thickBot="1" x14ac:dyDescent="0.25">
      <c r="B184" s="568" t="s">
        <v>182</v>
      </c>
      <c r="C184" s="569"/>
      <c r="D184" s="570"/>
      <c r="E184" s="568" t="s">
        <v>183</v>
      </c>
      <c r="F184" s="569"/>
      <c r="G184" s="569"/>
      <c r="H184" s="569"/>
      <c r="I184" s="570"/>
    </row>
    <row r="185" spans="2:9" ht="13.5" thickBot="1" x14ac:dyDescent="0.25">
      <c r="B185" s="571"/>
      <c r="C185" s="572"/>
      <c r="D185" s="573"/>
      <c r="E185" s="574" t="s">
        <v>71</v>
      </c>
      <c r="F185" s="575"/>
      <c r="G185" s="575"/>
      <c r="H185" s="575"/>
      <c r="I185" s="576"/>
    </row>
    <row r="186" spans="2:9" ht="13.5" thickBot="1" x14ac:dyDescent="0.25">
      <c r="B186" s="63" t="s">
        <v>184</v>
      </c>
      <c r="C186" s="64" t="s">
        <v>185</v>
      </c>
      <c r="D186" s="65" t="s">
        <v>70</v>
      </c>
      <c r="E186" s="577"/>
      <c r="F186" s="578"/>
      <c r="G186" s="578"/>
      <c r="H186" s="578"/>
      <c r="I186" s="579"/>
    </row>
    <row r="187" spans="2:9" ht="13.5" thickBot="1" x14ac:dyDescent="0.25">
      <c r="B187" s="583" t="s">
        <v>186</v>
      </c>
      <c r="C187" s="584"/>
      <c r="D187" s="66"/>
      <c r="E187" s="580"/>
      <c r="F187" s="581"/>
      <c r="G187" s="581"/>
      <c r="H187" s="581"/>
      <c r="I187" s="582"/>
    </row>
    <row r="188" spans="2:9" x14ac:dyDescent="0.2">
      <c r="B188" s="67" t="s">
        <v>187</v>
      </c>
      <c r="C188" s="68"/>
      <c r="D188" s="592"/>
      <c r="E188" s="592"/>
      <c r="F188" s="592"/>
      <c r="G188" s="592"/>
      <c r="H188" s="592"/>
      <c r="I188" s="593"/>
    </row>
    <row r="189" spans="2:9" x14ac:dyDescent="0.2">
      <c r="B189" s="588" t="s">
        <v>188</v>
      </c>
      <c r="C189" s="589"/>
      <c r="D189" s="96" t="s">
        <v>189</v>
      </c>
      <c r="E189" s="134" t="s">
        <v>190</v>
      </c>
      <c r="F189" s="111" t="s">
        <v>191</v>
      </c>
      <c r="G189" s="110" t="s">
        <v>192</v>
      </c>
      <c r="H189" s="112"/>
      <c r="I189" s="100" t="s">
        <v>193</v>
      </c>
    </row>
    <row r="190" spans="2:9" x14ac:dyDescent="0.2">
      <c r="B190" s="594" t="s">
        <v>194</v>
      </c>
      <c r="C190" s="595"/>
      <c r="D190" s="91" t="s">
        <v>195</v>
      </c>
      <c r="E190" s="135">
        <v>5</v>
      </c>
      <c r="F190" s="135">
        <f>SUM(I216)</f>
        <v>24062.400000000001</v>
      </c>
      <c r="G190" s="116">
        <f>SUM(F190*5%)</f>
        <v>1203.1200000000001</v>
      </c>
      <c r="H190" s="69"/>
      <c r="I190" s="596"/>
    </row>
    <row r="191" spans="2:9" x14ac:dyDescent="0.2">
      <c r="B191" s="598" t="s">
        <v>196</v>
      </c>
      <c r="C191" s="599"/>
      <c r="D191" s="91" t="s">
        <v>195</v>
      </c>
      <c r="E191" s="135">
        <v>1.5</v>
      </c>
      <c r="F191" s="135">
        <f>SUM(I216)</f>
        <v>24062.400000000001</v>
      </c>
      <c r="G191" s="116">
        <f>SUM(F191*1.5%)</f>
        <v>360.93600000000004</v>
      </c>
      <c r="H191" s="70"/>
      <c r="I191" s="597"/>
    </row>
    <row r="192" spans="2:9" x14ac:dyDescent="0.2">
      <c r="B192" s="600" t="s">
        <v>223</v>
      </c>
      <c r="C192" s="601"/>
      <c r="D192" s="91" t="s">
        <v>224</v>
      </c>
      <c r="E192" s="104">
        <v>1</v>
      </c>
      <c r="F192" s="104">
        <v>1010</v>
      </c>
      <c r="G192" s="88">
        <f>SUM(E192*F192)</f>
        <v>1010</v>
      </c>
      <c r="H192" s="70"/>
      <c r="I192" s="597"/>
    </row>
    <row r="193" spans="2:9" x14ac:dyDescent="0.2">
      <c r="B193" s="587"/>
      <c r="C193" s="585"/>
      <c r="D193" s="585"/>
      <c r="E193" s="585"/>
      <c r="F193" s="71"/>
      <c r="G193" s="72" t="s">
        <v>197</v>
      </c>
      <c r="H193" s="72"/>
      <c r="I193" s="94">
        <f>SUM(G190:G192)</f>
        <v>2574.056</v>
      </c>
    </row>
    <row r="194" spans="2:9" x14ac:dyDescent="0.2">
      <c r="B194" s="73" t="s">
        <v>198</v>
      </c>
      <c r="C194" s="74"/>
      <c r="D194" s="75"/>
      <c r="E194" s="76"/>
      <c r="F194" s="77"/>
      <c r="G194" s="76"/>
      <c r="H194" s="76"/>
      <c r="I194" s="78"/>
    </row>
    <row r="195" spans="2:9" x14ac:dyDescent="0.2">
      <c r="B195" s="588" t="s">
        <v>188</v>
      </c>
      <c r="C195" s="589"/>
      <c r="D195" s="96" t="s">
        <v>199</v>
      </c>
      <c r="E195" s="110" t="s">
        <v>137</v>
      </c>
      <c r="F195" s="111" t="s">
        <v>200</v>
      </c>
      <c r="G195" s="110" t="s">
        <v>201</v>
      </c>
      <c r="H195" s="112"/>
      <c r="I195" s="100" t="s">
        <v>193</v>
      </c>
    </row>
    <row r="196" spans="2:9" ht="21" customHeight="1" x14ac:dyDescent="0.2">
      <c r="B196" s="590" t="s">
        <v>267</v>
      </c>
      <c r="C196" s="591"/>
      <c r="D196" s="79" t="s">
        <v>237</v>
      </c>
      <c r="E196" s="80">
        <v>2.5</v>
      </c>
      <c r="F196" s="81">
        <v>5</v>
      </c>
      <c r="G196" s="82">
        <v>6085</v>
      </c>
      <c r="H196" s="83"/>
      <c r="I196" s="90">
        <f t="shared" ref="I196:I204" si="4">(E196*(1+F196/100)) * (G196*(1+H196/100))</f>
        <v>15973.125</v>
      </c>
    </row>
    <row r="197" spans="2:9" x14ac:dyDescent="0.2">
      <c r="B197" s="590" t="s">
        <v>268</v>
      </c>
      <c r="C197" s="591"/>
      <c r="D197" s="79" t="s">
        <v>227</v>
      </c>
      <c r="E197" s="80">
        <v>0.85</v>
      </c>
      <c r="F197" s="136">
        <v>5</v>
      </c>
      <c r="G197" s="82">
        <f>1200*1.3</f>
        <v>1560</v>
      </c>
      <c r="H197" s="84"/>
      <c r="I197" s="90">
        <f t="shared" si="4"/>
        <v>1392.3</v>
      </c>
    </row>
    <row r="198" spans="2:9" x14ac:dyDescent="0.2">
      <c r="B198" s="590" t="s">
        <v>269</v>
      </c>
      <c r="C198" s="591"/>
      <c r="D198" s="79" t="s">
        <v>237</v>
      </c>
      <c r="E198" s="80">
        <v>1.75</v>
      </c>
      <c r="F198" s="87">
        <v>5</v>
      </c>
      <c r="G198" s="82">
        <v>7055</v>
      </c>
      <c r="H198" s="85"/>
      <c r="I198" s="90">
        <f t="shared" si="4"/>
        <v>12963.562500000002</v>
      </c>
    </row>
    <row r="199" spans="2:9" x14ac:dyDescent="0.2">
      <c r="B199" s="590" t="s">
        <v>270</v>
      </c>
      <c r="C199" s="591"/>
      <c r="D199" s="79" t="s">
        <v>237</v>
      </c>
      <c r="E199" s="80">
        <v>1.7</v>
      </c>
      <c r="F199" s="87">
        <v>5</v>
      </c>
      <c r="G199" s="82">
        <v>7300</v>
      </c>
      <c r="H199" s="85"/>
      <c r="I199" s="90">
        <f t="shared" si="4"/>
        <v>13030.5</v>
      </c>
    </row>
    <row r="200" spans="2:9" x14ac:dyDescent="0.2">
      <c r="B200" s="590" t="s">
        <v>271</v>
      </c>
      <c r="C200" s="591"/>
      <c r="D200" s="79" t="s">
        <v>20</v>
      </c>
      <c r="E200" s="80">
        <v>1</v>
      </c>
      <c r="F200" s="87">
        <v>5</v>
      </c>
      <c r="G200" s="82">
        <v>30050</v>
      </c>
      <c r="H200" s="85"/>
      <c r="I200" s="90">
        <f t="shared" si="4"/>
        <v>31552.5</v>
      </c>
    </row>
    <row r="201" spans="2:9" x14ac:dyDescent="0.2">
      <c r="B201" s="590" t="s">
        <v>272</v>
      </c>
      <c r="C201" s="591"/>
      <c r="D201" s="79" t="s">
        <v>227</v>
      </c>
      <c r="E201" s="80">
        <v>0.75</v>
      </c>
      <c r="F201" s="87">
        <v>5</v>
      </c>
      <c r="G201" s="82">
        <f>200*1.3</f>
        <v>260</v>
      </c>
      <c r="H201" s="85"/>
      <c r="I201" s="90">
        <f t="shared" si="4"/>
        <v>204.75000000000003</v>
      </c>
    </row>
    <row r="202" spans="2:9" x14ac:dyDescent="0.2">
      <c r="B202" s="590"/>
      <c r="C202" s="591"/>
      <c r="D202" s="86"/>
      <c r="E202" s="80"/>
      <c r="F202" s="87"/>
      <c r="G202" s="82"/>
      <c r="H202" s="85"/>
      <c r="I202" s="90">
        <f t="shared" si="4"/>
        <v>0</v>
      </c>
    </row>
    <row r="203" spans="2:9" x14ac:dyDescent="0.2">
      <c r="B203" s="562"/>
      <c r="C203" s="563"/>
      <c r="D203" s="91"/>
      <c r="E203" s="80"/>
      <c r="F203" s="87"/>
      <c r="G203" s="88"/>
      <c r="H203" s="89"/>
      <c r="I203" s="90">
        <f t="shared" si="4"/>
        <v>0</v>
      </c>
    </row>
    <row r="204" spans="2:9" x14ac:dyDescent="0.2">
      <c r="B204" s="562"/>
      <c r="C204" s="563"/>
      <c r="D204" s="91"/>
      <c r="E204" s="80"/>
      <c r="F204" s="87"/>
      <c r="G204" s="88"/>
      <c r="H204" s="89"/>
      <c r="I204" s="90">
        <f t="shared" si="4"/>
        <v>0</v>
      </c>
    </row>
    <row r="205" spans="2:9" x14ac:dyDescent="0.2">
      <c r="B205" s="92"/>
      <c r="C205" s="76"/>
      <c r="D205" s="75"/>
      <c r="E205" s="76"/>
      <c r="F205" s="585" t="s">
        <v>202</v>
      </c>
      <c r="G205" s="586"/>
      <c r="H205" s="93"/>
      <c r="I205" s="94">
        <f>SUM(I196:I204)</f>
        <v>75116.737500000003</v>
      </c>
    </row>
    <row r="206" spans="2:9" ht="14.25" x14ac:dyDescent="0.2">
      <c r="B206" s="73" t="s">
        <v>203</v>
      </c>
      <c r="C206" s="74"/>
      <c r="D206" s="75"/>
      <c r="E206" s="76"/>
      <c r="F206" s="77"/>
      <c r="G206" s="76"/>
      <c r="H206" s="76"/>
      <c r="I206" s="95"/>
    </row>
    <row r="207" spans="2:9" x14ac:dyDescent="0.2">
      <c r="B207" s="588" t="s">
        <v>188</v>
      </c>
      <c r="C207" s="589"/>
      <c r="D207" s="96" t="s">
        <v>204</v>
      </c>
      <c r="E207" s="97" t="s">
        <v>205</v>
      </c>
      <c r="F207" s="98" t="s">
        <v>206</v>
      </c>
      <c r="G207" s="97" t="s">
        <v>207</v>
      </c>
      <c r="H207" s="99"/>
      <c r="I207" s="100" t="s">
        <v>193</v>
      </c>
    </row>
    <row r="208" spans="2:9" x14ac:dyDescent="0.2">
      <c r="B208" s="623"/>
      <c r="C208" s="624"/>
      <c r="D208" s="137"/>
      <c r="E208" s="101"/>
      <c r="F208" s="102"/>
      <c r="G208" s="82">
        <f>+D208*F208</f>
        <v>0</v>
      </c>
      <c r="H208" s="83"/>
      <c r="I208" s="103"/>
    </row>
    <row r="209" spans="2:9" x14ac:dyDescent="0.2">
      <c r="B209" s="623"/>
      <c r="C209" s="624"/>
      <c r="D209" s="137"/>
      <c r="E209" s="101"/>
      <c r="F209" s="104"/>
      <c r="G209" s="82">
        <f>+D209*F209</f>
        <v>0</v>
      </c>
      <c r="H209" s="85"/>
      <c r="I209" s="103"/>
    </row>
    <row r="210" spans="2:9" x14ac:dyDescent="0.2">
      <c r="B210" s="105"/>
      <c r="C210" s="106"/>
      <c r="D210" s="75"/>
      <c r="E210" s="106"/>
      <c r="F210" s="107" t="s">
        <v>208</v>
      </c>
      <c r="G210" s="106"/>
      <c r="H210" s="108"/>
      <c r="I210" s="109">
        <f>SUM(G208:G209)</f>
        <v>0</v>
      </c>
    </row>
    <row r="211" spans="2:9" ht="14.25" x14ac:dyDescent="0.2">
      <c r="B211" s="73" t="s">
        <v>209</v>
      </c>
      <c r="C211" s="76"/>
      <c r="D211" s="75"/>
      <c r="E211" s="76"/>
      <c r="F211" s="77"/>
      <c r="G211" s="76"/>
      <c r="H211" s="76"/>
      <c r="I211" s="95"/>
    </row>
    <row r="212" spans="2:9" x14ac:dyDescent="0.2">
      <c r="B212" s="588" t="s">
        <v>188</v>
      </c>
      <c r="C212" s="589"/>
      <c r="D212" s="96" t="s">
        <v>136</v>
      </c>
      <c r="E212" s="110" t="s">
        <v>137</v>
      </c>
      <c r="F212" s="111" t="s">
        <v>201</v>
      </c>
      <c r="G212" s="112" t="s">
        <v>205</v>
      </c>
      <c r="H212" s="112"/>
      <c r="I212" s="100" t="s">
        <v>193</v>
      </c>
    </row>
    <row r="213" spans="2:9" ht="21.6" customHeight="1" x14ac:dyDescent="0.2">
      <c r="B213" s="590" t="s">
        <v>210</v>
      </c>
      <c r="C213" s="591"/>
      <c r="D213" s="91" t="s">
        <v>211</v>
      </c>
      <c r="E213" s="88">
        <v>1</v>
      </c>
      <c r="F213" s="104">
        <f>+(80000+50000*2)*1.671</f>
        <v>300780</v>
      </c>
      <c r="G213" s="113">
        <v>0.08</v>
      </c>
      <c r="H213" s="114"/>
      <c r="I213" s="115">
        <f>SUM(F213*E213)*G213</f>
        <v>24062.400000000001</v>
      </c>
    </row>
    <row r="214" spans="2:9" x14ac:dyDescent="0.2">
      <c r="B214" s="627"/>
      <c r="C214" s="617"/>
      <c r="D214" s="91"/>
      <c r="E214" s="116"/>
      <c r="F214" s="117"/>
      <c r="G214" s="114"/>
      <c r="H214" s="114"/>
      <c r="I214" s="94">
        <f>SUM(F214*E214)*G214</f>
        <v>0</v>
      </c>
    </row>
    <row r="215" spans="2:9" x14ac:dyDescent="0.2">
      <c r="B215" s="598"/>
      <c r="C215" s="599"/>
      <c r="D215" s="91"/>
      <c r="E215" s="118"/>
      <c r="F215" s="117"/>
      <c r="G215" s="114"/>
      <c r="H215" s="114"/>
      <c r="I215" s="94">
        <f>SUM(F215*E215)*G215</f>
        <v>0</v>
      </c>
    </row>
    <row r="216" spans="2:9" x14ac:dyDescent="0.2">
      <c r="B216" s="92"/>
      <c r="C216" s="76"/>
      <c r="D216" s="75"/>
      <c r="E216" s="76"/>
      <c r="F216" s="605" t="s">
        <v>212</v>
      </c>
      <c r="G216" s="605"/>
      <c r="H216" s="119"/>
      <c r="I216" s="94">
        <f>I213</f>
        <v>24062.400000000001</v>
      </c>
    </row>
    <row r="217" spans="2:9" ht="13.5" thickBot="1" x14ac:dyDescent="0.25">
      <c r="B217" s="92"/>
      <c r="C217" s="76"/>
      <c r="D217" s="75"/>
      <c r="E217" s="76"/>
      <c r="F217" s="120"/>
      <c r="G217" s="119"/>
      <c r="H217" s="119"/>
      <c r="I217" s="78"/>
    </row>
    <row r="218" spans="2:9" ht="13.5" thickBot="1" x14ac:dyDescent="0.25">
      <c r="B218" s="92"/>
      <c r="C218" s="76"/>
      <c r="D218" s="75"/>
      <c r="E218" s="606" t="s">
        <v>213</v>
      </c>
      <c r="F218" s="606"/>
      <c r="G218" s="606"/>
      <c r="H218" s="121"/>
      <c r="I218" s="122">
        <f>ROUND(SUM(I193+I205+I210+I216),0)</f>
        <v>101753</v>
      </c>
    </row>
    <row r="219" spans="2:9" ht="15" thickBot="1" x14ac:dyDescent="0.25">
      <c r="B219" s="73" t="s">
        <v>214</v>
      </c>
      <c r="C219" s="76"/>
      <c r="D219" s="123"/>
      <c r="E219" s="124"/>
      <c r="F219" s="77"/>
      <c r="G219" s="76"/>
      <c r="H219" s="76"/>
      <c r="I219" s="78"/>
    </row>
    <row r="220" spans="2:9" x14ac:dyDescent="0.2">
      <c r="B220" s="607" t="s">
        <v>215</v>
      </c>
      <c r="C220" s="608"/>
      <c r="D220" s="613" t="s">
        <v>216</v>
      </c>
      <c r="E220" s="614"/>
      <c r="F220" s="125" t="s">
        <v>195</v>
      </c>
      <c r="G220" s="126" t="s">
        <v>217</v>
      </c>
      <c r="H220" s="127"/>
      <c r="I220" s="615"/>
    </row>
    <row r="221" spans="2:9" x14ac:dyDescent="0.2">
      <c r="B221" s="609"/>
      <c r="C221" s="610"/>
      <c r="D221" s="617" t="s">
        <v>218</v>
      </c>
      <c r="E221" s="618"/>
      <c r="F221" s="128">
        <v>25</v>
      </c>
      <c r="G221" s="116">
        <f>I218*20%</f>
        <v>20350.600000000002</v>
      </c>
      <c r="H221" s="129"/>
      <c r="I221" s="616"/>
    </row>
    <row r="222" spans="2:9" x14ac:dyDescent="0.2">
      <c r="B222" s="609"/>
      <c r="C222" s="610"/>
      <c r="D222" s="617" t="s">
        <v>168</v>
      </c>
      <c r="E222" s="618"/>
      <c r="F222" s="128">
        <v>5</v>
      </c>
      <c r="G222" s="116">
        <f>I218*5%</f>
        <v>5087.6500000000005</v>
      </c>
      <c r="H222" s="129"/>
      <c r="I222" s="616"/>
    </row>
    <row r="223" spans="2:9" x14ac:dyDescent="0.2">
      <c r="B223" s="609"/>
      <c r="C223" s="610"/>
      <c r="D223" s="619" t="s">
        <v>219</v>
      </c>
      <c r="E223" s="617"/>
      <c r="F223" s="128">
        <f>SUM(F221:F222)</f>
        <v>30</v>
      </c>
      <c r="G223" s="116">
        <f>SUM(G221:G222)</f>
        <v>25438.250000000004</v>
      </c>
      <c r="H223" s="129"/>
      <c r="I223" s="616"/>
    </row>
    <row r="224" spans="2:9" ht="15" thickBot="1" x14ac:dyDescent="0.25">
      <c r="B224" s="609"/>
      <c r="C224" s="610"/>
      <c r="D224" s="130"/>
      <c r="E224" s="620" t="s">
        <v>220</v>
      </c>
      <c r="F224" s="621"/>
      <c r="G224" s="622"/>
      <c r="H224" s="38"/>
      <c r="I224" s="131">
        <f>SUM(G223:G223)</f>
        <v>25438.250000000004</v>
      </c>
    </row>
    <row r="225" spans="2:9" ht="16.5" thickBot="1" x14ac:dyDescent="0.3">
      <c r="B225" s="611"/>
      <c r="C225" s="612"/>
      <c r="D225" s="628" t="s">
        <v>221</v>
      </c>
      <c r="E225" s="629"/>
      <c r="F225" s="630"/>
      <c r="G225" s="602">
        <f>SUM(I218+I224)</f>
        <v>127191.25</v>
      </c>
      <c r="H225" s="603"/>
      <c r="I225" s="604"/>
    </row>
  </sheetData>
  <mergeCells count="215">
    <mergeCell ref="D225:F225"/>
    <mergeCell ref="G225:I225"/>
    <mergeCell ref="B215:C215"/>
    <mergeCell ref="F216:G216"/>
    <mergeCell ref="E218:G218"/>
    <mergeCell ref="B220:C225"/>
    <mergeCell ref="D220:E220"/>
    <mergeCell ref="I220:I223"/>
    <mergeCell ref="D221:E221"/>
    <mergeCell ref="D222:E222"/>
    <mergeCell ref="D223:E223"/>
    <mergeCell ref="E224:G224"/>
    <mergeCell ref="B207:C207"/>
    <mergeCell ref="B208:C208"/>
    <mergeCell ref="B209:C209"/>
    <mergeCell ref="B212:C212"/>
    <mergeCell ref="B213:C213"/>
    <mergeCell ref="B214:C214"/>
    <mergeCell ref="B200:C200"/>
    <mergeCell ref="B201:C201"/>
    <mergeCell ref="B202:C202"/>
    <mergeCell ref="B203:C203"/>
    <mergeCell ref="B204:C204"/>
    <mergeCell ref="F205:G205"/>
    <mergeCell ref="B193:E193"/>
    <mergeCell ref="B195:C195"/>
    <mergeCell ref="B196:C196"/>
    <mergeCell ref="B197:C197"/>
    <mergeCell ref="B198:C198"/>
    <mergeCell ref="B199:C199"/>
    <mergeCell ref="B185:D185"/>
    <mergeCell ref="E185:I187"/>
    <mergeCell ref="B187:C187"/>
    <mergeCell ref="D188:I188"/>
    <mergeCell ref="B189:C189"/>
    <mergeCell ref="B190:C190"/>
    <mergeCell ref="I190:I192"/>
    <mergeCell ref="B191:C191"/>
    <mergeCell ref="B192:C192"/>
    <mergeCell ref="D180:F180"/>
    <mergeCell ref="G180:I180"/>
    <mergeCell ref="B182:I182"/>
    <mergeCell ref="C183:F183"/>
    <mergeCell ref="B184:D184"/>
    <mergeCell ref="E184:I184"/>
    <mergeCell ref="B170:C170"/>
    <mergeCell ref="F171:G171"/>
    <mergeCell ref="E173:G173"/>
    <mergeCell ref="B175:C180"/>
    <mergeCell ref="D175:E175"/>
    <mergeCell ref="I175:I178"/>
    <mergeCell ref="D176:E176"/>
    <mergeCell ref="D177:E177"/>
    <mergeCell ref="D178:E178"/>
    <mergeCell ref="E179:G179"/>
    <mergeCell ref="B162:C162"/>
    <mergeCell ref="B163:C163"/>
    <mergeCell ref="B164:C164"/>
    <mergeCell ref="B167:C167"/>
    <mergeCell ref="B168:C168"/>
    <mergeCell ref="B169:C169"/>
    <mergeCell ref="B155:C155"/>
    <mergeCell ref="B156:C156"/>
    <mergeCell ref="B157:C157"/>
    <mergeCell ref="B158:C158"/>
    <mergeCell ref="B159:C159"/>
    <mergeCell ref="B139:D139"/>
    <mergeCell ref="E139:I139"/>
    <mergeCell ref="F160:G160"/>
    <mergeCell ref="B148:E148"/>
    <mergeCell ref="B150:C150"/>
    <mergeCell ref="B151:C151"/>
    <mergeCell ref="B152:C152"/>
    <mergeCell ref="B153:C153"/>
    <mergeCell ref="B154:C154"/>
    <mergeCell ref="B140:D140"/>
    <mergeCell ref="E140:I142"/>
    <mergeCell ref="B142:C142"/>
    <mergeCell ref="D143:I143"/>
    <mergeCell ref="B144:C144"/>
    <mergeCell ref="B145:C145"/>
    <mergeCell ref="I145:I147"/>
    <mergeCell ref="B146:C146"/>
    <mergeCell ref="B147:C147"/>
    <mergeCell ref="I129:I132"/>
    <mergeCell ref="D130:E130"/>
    <mergeCell ref="D131:E131"/>
    <mergeCell ref="D132:E132"/>
    <mergeCell ref="E133:G133"/>
    <mergeCell ref="D134:F134"/>
    <mergeCell ref="G134:I134"/>
    <mergeCell ref="B137:I137"/>
    <mergeCell ref="C138:F138"/>
    <mergeCell ref="B123:C123"/>
    <mergeCell ref="B124:C124"/>
    <mergeCell ref="F125:G125"/>
    <mergeCell ref="E127:G127"/>
    <mergeCell ref="B129:C134"/>
    <mergeCell ref="D129:E129"/>
    <mergeCell ref="F114:G114"/>
    <mergeCell ref="B116:C116"/>
    <mergeCell ref="B117:C117"/>
    <mergeCell ref="B118:C118"/>
    <mergeCell ref="B121:C121"/>
    <mergeCell ref="B122:C122"/>
    <mergeCell ref="B108:C108"/>
    <mergeCell ref="B109:C109"/>
    <mergeCell ref="B110:C110"/>
    <mergeCell ref="B111:C111"/>
    <mergeCell ref="B112:C112"/>
    <mergeCell ref="B113:C113"/>
    <mergeCell ref="B101:C101"/>
    <mergeCell ref="B102:E102"/>
    <mergeCell ref="B104:C104"/>
    <mergeCell ref="B105:C105"/>
    <mergeCell ref="B106:C106"/>
    <mergeCell ref="B107:C107"/>
    <mergeCell ref="B94:D94"/>
    <mergeCell ref="E94:I96"/>
    <mergeCell ref="B96:C96"/>
    <mergeCell ref="D97:I97"/>
    <mergeCell ref="B98:C98"/>
    <mergeCell ref="B99:C99"/>
    <mergeCell ref="I99:I100"/>
    <mergeCell ref="B100:C100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4" manualBreakCount="4">
    <brk id="45" min="1" max="8" man="1"/>
    <brk id="90" min="1" max="8" man="1"/>
    <brk id="136" min="1" max="8" man="1"/>
    <brk id="181" min="1" max="8" man="1"/>
  </row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3333FF"/>
    <pageSetUpPr fitToPage="1"/>
  </sheetPr>
  <dimension ref="B1:I314"/>
  <sheetViews>
    <sheetView view="pageBreakPreview" topLeftCell="A304" zoomScale="130" zoomScaleNormal="130" zoomScaleSheetLayoutView="130" workbookViewId="0">
      <selection activeCell="D10" sqref="D10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74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 t="s">
        <v>72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15039</v>
      </c>
      <c r="G9" s="116">
        <f>SUM(F9*5%)</f>
        <v>751.95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15039</v>
      </c>
      <c r="G10" s="116">
        <f>SUM(F10*1.5%)</f>
        <v>225.58499999999998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977.53500000000008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273</v>
      </c>
      <c r="C15" s="591"/>
      <c r="D15" s="79" t="s">
        <v>20</v>
      </c>
      <c r="E15" s="80">
        <v>1</v>
      </c>
      <c r="F15" s="81">
        <v>3</v>
      </c>
      <c r="G15" s="82">
        <v>39000</v>
      </c>
      <c r="H15" s="83"/>
      <c r="I15" s="90">
        <f t="shared" ref="I15:I23" si="0">(E15*(1+F15/100)) * (G15*(1+H15/100))</f>
        <v>40170</v>
      </c>
    </row>
    <row r="16" spans="2:9" x14ac:dyDescent="0.2">
      <c r="B16" s="590" t="s">
        <v>261</v>
      </c>
      <c r="C16" s="591"/>
      <c r="D16" s="79" t="s">
        <v>227</v>
      </c>
      <c r="E16" s="80">
        <v>4</v>
      </c>
      <c r="F16" s="136">
        <v>3</v>
      </c>
      <c r="G16" s="82">
        <v>1300</v>
      </c>
      <c r="H16" s="84"/>
      <c r="I16" s="90">
        <f t="shared" si="0"/>
        <v>5356</v>
      </c>
    </row>
    <row r="17" spans="2:9" x14ac:dyDescent="0.2">
      <c r="B17" s="590" t="s">
        <v>262</v>
      </c>
      <c r="C17" s="591"/>
      <c r="D17" s="79" t="s">
        <v>227</v>
      </c>
      <c r="E17" s="80">
        <v>0.05</v>
      </c>
      <c r="F17" s="87">
        <v>3</v>
      </c>
      <c r="G17" s="82">
        <f>1621*1.3</f>
        <v>2107.3000000000002</v>
      </c>
      <c r="H17" s="85"/>
      <c r="I17" s="90">
        <f t="shared" si="0"/>
        <v>108.52595000000002</v>
      </c>
    </row>
    <row r="18" spans="2:9" x14ac:dyDescent="0.2">
      <c r="B18" s="590" t="s">
        <v>274</v>
      </c>
      <c r="C18" s="591"/>
      <c r="D18" s="79" t="s">
        <v>39</v>
      </c>
      <c r="E18" s="80">
        <v>1</v>
      </c>
      <c r="F18" s="87"/>
      <c r="G18" s="82">
        <v>3560</v>
      </c>
      <c r="H18" s="85"/>
      <c r="I18" s="90">
        <f t="shared" si="0"/>
        <v>3560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49194.525950000003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8.5" customHeight="1" x14ac:dyDescent="0.2">
      <c r="B32" s="590" t="s">
        <v>210</v>
      </c>
      <c r="C32" s="591"/>
      <c r="D32" s="91" t="s">
        <v>211</v>
      </c>
      <c r="E32" s="88">
        <v>1</v>
      </c>
      <c r="F32" s="104">
        <f>+(80000+50000*2)*1.671</f>
        <v>300780</v>
      </c>
      <c r="G32" s="113">
        <v>0.05</v>
      </c>
      <c r="H32" s="114"/>
      <c r="I32" s="115">
        <f>SUM(F32*E32)*G32</f>
        <v>15039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15039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65211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13042.2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3260.55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16302.75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16302.75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81513.75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366</v>
      </c>
      <c r="F49" s="575"/>
      <c r="G49" s="575"/>
      <c r="H49" s="575"/>
      <c r="I49" s="576"/>
    </row>
    <row r="50" spans="2:9" ht="13.5" thickBot="1" x14ac:dyDescent="0.25">
      <c r="B50" s="63" t="s">
        <v>184</v>
      </c>
      <c r="C50" s="64" t="s">
        <v>185</v>
      </c>
      <c r="D50" s="65" t="s">
        <v>75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30078</v>
      </c>
      <c r="G54" s="116">
        <f>SUM(F54*5%)</f>
        <v>1503.9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30078</v>
      </c>
      <c r="G55" s="116">
        <f>SUM(F55*1.5%)</f>
        <v>451.16999999999996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1955.0700000000002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ht="19.149999999999999" customHeight="1" x14ac:dyDescent="0.2">
      <c r="B60" s="590" t="s">
        <v>369</v>
      </c>
      <c r="C60" s="591"/>
      <c r="D60" s="79" t="s">
        <v>20</v>
      </c>
      <c r="E60" s="80">
        <v>1</v>
      </c>
      <c r="F60" s="81">
        <v>3</v>
      </c>
      <c r="G60" s="82">
        <f>39409*1.3</f>
        <v>51231.700000000004</v>
      </c>
      <c r="H60" s="83"/>
      <c r="I60" s="90">
        <f t="shared" ref="I60:I68" si="1">(E60*(1+F60/100)) * (G60*(1+H60/100))</f>
        <v>52768.651000000005</v>
      </c>
    </row>
    <row r="61" spans="2:9" x14ac:dyDescent="0.2">
      <c r="B61" s="590" t="s">
        <v>261</v>
      </c>
      <c r="C61" s="591"/>
      <c r="D61" s="79" t="s">
        <v>227</v>
      </c>
      <c r="E61" s="80">
        <v>3</v>
      </c>
      <c r="F61" s="136">
        <v>3</v>
      </c>
      <c r="G61" s="82">
        <f>1600*1.3</f>
        <v>2080</v>
      </c>
      <c r="H61" s="84"/>
      <c r="I61" s="90">
        <f t="shared" si="1"/>
        <v>6427.2</v>
      </c>
    </row>
    <row r="62" spans="2:9" x14ac:dyDescent="0.2">
      <c r="B62" s="590" t="s">
        <v>262</v>
      </c>
      <c r="C62" s="591"/>
      <c r="D62" s="79" t="s">
        <v>227</v>
      </c>
      <c r="E62" s="80">
        <v>0.11</v>
      </c>
      <c r="F62" s="87">
        <v>3</v>
      </c>
      <c r="G62" s="82">
        <f>1621*1.3</f>
        <v>2107.3000000000002</v>
      </c>
      <c r="H62" s="85"/>
      <c r="I62" s="90">
        <f t="shared" si="1"/>
        <v>238.75709000000001</v>
      </c>
    </row>
    <row r="63" spans="2:9" x14ac:dyDescent="0.2">
      <c r="B63" s="590"/>
      <c r="C63" s="591"/>
      <c r="D63" s="79"/>
      <c r="E63" s="80"/>
      <c r="F63" s="87"/>
      <c r="G63" s="82"/>
      <c r="H63" s="85"/>
      <c r="I63" s="90">
        <f t="shared" si="1"/>
        <v>0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59434.608090000002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22.15" customHeight="1" x14ac:dyDescent="0.2">
      <c r="B77" s="590" t="s">
        <v>210</v>
      </c>
      <c r="C77" s="591"/>
      <c r="D77" s="91" t="s">
        <v>211</v>
      </c>
      <c r="E77" s="88">
        <v>1</v>
      </c>
      <c r="F77" s="104">
        <f>+(80000+50000*2)*1.671</f>
        <v>300780</v>
      </c>
      <c r="G77" s="113">
        <v>0.1</v>
      </c>
      <c r="H77" s="114"/>
      <c r="I77" s="115">
        <f>SUM(F77*E77)*G77</f>
        <v>30078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30078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91468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18293.600000000002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4573.4000000000005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22867.000000000004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22867.000000000004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114335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365</v>
      </c>
      <c r="F94" s="575"/>
      <c r="G94" s="575"/>
      <c r="H94" s="575"/>
      <c r="I94" s="576"/>
    </row>
    <row r="95" spans="2:9" ht="13.5" thickBot="1" x14ac:dyDescent="0.25">
      <c r="B95" s="63" t="s">
        <v>275</v>
      </c>
      <c r="C95" s="64" t="s">
        <v>185</v>
      </c>
      <c r="D95" s="65" t="s">
        <v>76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90150.45</v>
      </c>
      <c r="G99" s="116">
        <f>SUM(F99*5%)</f>
        <v>4507.5225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90150.45</v>
      </c>
      <c r="G100" s="116">
        <f>SUM(F100*1.5%)</f>
        <v>1352.25675</v>
      </c>
      <c r="H100" s="70"/>
      <c r="I100" s="597"/>
    </row>
    <row r="101" spans="2:9" x14ac:dyDescent="0.2">
      <c r="B101" s="600"/>
      <c r="C101" s="601"/>
      <c r="D101" s="91"/>
      <c r="E101" s="104"/>
      <c r="F101" s="104"/>
      <c r="G101" s="88">
        <f>SUM(E101*F101)</f>
        <v>0</v>
      </c>
      <c r="H101" s="89"/>
      <c r="I101" s="138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SUM(G99:H101)</f>
        <v>5859.7792499999996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 t="s">
        <v>370</v>
      </c>
      <c r="C105" s="591"/>
      <c r="D105" s="79" t="s">
        <v>237</v>
      </c>
      <c r="E105" s="80">
        <v>1</v>
      </c>
      <c r="F105" s="81"/>
      <c r="G105" s="82">
        <f>284900</f>
        <v>284900</v>
      </c>
      <c r="H105" s="83"/>
      <c r="I105" s="90">
        <f t="shared" ref="I105:I113" si="2">(E105*(1+F105/100)) * (G105*(1+H105/100))</f>
        <v>284900</v>
      </c>
    </row>
    <row r="106" spans="2:9" x14ac:dyDescent="0.2">
      <c r="B106" s="590" t="s">
        <v>262</v>
      </c>
      <c r="C106" s="591"/>
      <c r="D106" s="79" t="s">
        <v>227</v>
      </c>
      <c r="E106" s="80">
        <v>1</v>
      </c>
      <c r="F106" s="87">
        <v>3</v>
      </c>
      <c r="G106" s="82">
        <f>1621*1.3</f>
        <v>2107.3000000000002</v>
      </c>
      <c r="H106" s="84"/>
      <c r="I106" s="90">
        <f t="shared" si="2"/>
        <v>2170.5190000000002</v>
      </c>
    </row>
    <row r="107" spans="2:9" x14ac:dyDescent="0.2">
      <c r="B107" s="590" t="s">
        <v>276</v>
      </c>
      <c r="C107" s="591"/>
      <c r="D107" s="79" t="s">
        <v>237</v>
      </c>
      <c r="E107" s="80">
        <v>1</v>
      </c>
      <c r="F107" s="87"/>
      <c r="G107" s="82">
        <f>4975*1.3</f>
        <v>6467.5</v>
      </c>
      <c r="H107" s="85"/>
      <c r="I107" s="90">
        <f t="shared" si="2"/>
        <v>6467.5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293538.01899999997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21.6" customHeight="1" x14ac:dyDescent="0.2">
      <c r="B122" s="590" t="s">
        <v>244</v>
      </c>
      <c r="C122" s="591"/>
      <c r="D122" s="91" t="s">
        <v>211</v>
      </c>
      <c r="E122" s="88">
        <v>1</v>
      </c>
      <c r="F122" s="104">
        <f>+(80000+50000*1)*1.671</f>
        <v>217230</v>
      </c>
      <c r="G122" s="113">
        <v>0.41499999999999998</v>
      </c>
      <c r="H122" s="114"/>
      <c r="I122" s="115">
        <f>SUM(F122*E122)*G122</f>
        <v>90150.45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90150.45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389548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77909.600000000006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19477.400000000001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97387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97387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486935</v>
      </c>
      <c r="H134" s="603"/>
      <c r="I134" s="604"/>
    </row>
    <row r="136" spans="2:9" ht="18.75" thickBot="1" x14ac:dyDescent="0.3">
      <c r="B136" s="564" t="s">
        <v>180</v>
      </c>
      <c r="C136" s="564"/>
      <c r="D136" s="564"/>
      <c r="E136" s="564"/>
      <c r="F136" s="564"/>
      <c r="G136" s="564"/>
      <c r="H136" s="564"/>
      <c r="I136" s="564"/>
    </row>
    <row r="137" spans="2:9" ht="15.75" thickBot="1" x14ac:dyDescent="0.3">
      <c r="B137" s="59" t="s">
        <v>181</v>
      </c>
      <c r="C137" s="565" t="s">
        <v>393</v>
      </c>
      <c r="D137" s="566"/>
      <c r="E137" s="566"/>
      <c r="F137" s="567"/>
      <c r="G137" s="60" t="s">
        <v>5</v>
      </c>
      <c r="H137" s="61"/>
      <c r="I137" s="62">
        <v>45373</v>
      </c>
    </row>
    <row r="138" spans="2:9" ht="13.5" thickBot="1" x14ac:dyDescent="0.25">
      <c r="B138" s="568" t="s">
        <v>182</v>
      </c>
      <c r="C138" s="569"/>
      <c r="D138" s="570"/>
      <c r="E138" s="568" t="s">
        <v>183</v>
      </c>
      <c r="F138" s="569"/>
      <c r="G138" s="569"/>
      <c r="H138" s="569"/>
      <c r="I138" s="570"/>
    </row>
    <row r="139" spans="2:9" ht="13.5" thickBot="1" x14ac:dyDescent="0.25">
      <c r="B139" s="571"/>
      <c r="C139" s="572"/>
      <c r="D139" s="573"/>
      <c r="E139" s="574" t="s">
        <v>364</v>
      </c>
      <c r="F139" s="575"/>
      <c r="G139" s="575"/>
      <c r="H139" s="575"/>
      <c r="I139" s="576"/>
    </row>
    <row r="140" spans="2:9" ht="13.5" thickBot="1" x14ac:dyDescent="0.25">
      <c r="B140" s="63" t="s">
        <v>275</v>
      </c>
      <c r="C140" s="64" t="s">
        <v>185</v>
      </c>
      <c r="D140" s="65" t="s">
        <v>78</v>
      </c>
      <c r="E140" s="577"/>
      <c r="F140" s="578"/>
      <c r="G140" s="578"/>
      <c r="H140" s="578"/>
      <c r="I140" s="579"/>
    </row>
    <row r="141" spans="2:9" ht="13.5" thickBot="1" x14ac:dyDescent="0.25">
      <c r="B141" s="583" t="s">
        <v>186</v>
      </c>
      <c r="C141" s="584"/>
      <c r="D141" s="66"/>
      <c r="E141" s="580"/>
      <c r="F141" s="581"/>
      <c r="G141" s="581"/>
      <c r="H141" s="581"/>
      <c r="I141" s="582"/>
    </row>
    <row r="142" spans="2:9" x14ac:dyDescent="0.2">
      <c r="B142" s="67" t="s">
        <v>187</v>
      </c>
      <c r="C142" s="68"/>
      <c r="D142" s="592"/>
      <c r="E142" s="592"/>
      <c r="F142" s="592"/>
      <c r="G142" s="592"/>
      <c r="H142" s="592"/>
      <c r="I142" s="593"/>
    </row>
    <row r="143" spans="2:9" x14ac:dyDescent="0.2">
      <c r="B143" s="588" t="s">
        <v>188</v>
      </c>
      <c r="C143" s="589"/>
      <c r="D143" s="96" t="s">
        <v>189</v>
      </c>
      <c r="E143" s="134" t="s">
        <v>190</v>
      </c>
      <c r="F143" s="111" t="s">
        <v>191</v>
      </c>
      <c r="G143" s="110" t="s">
        <v>192</v>
      </c>
      <c r="H143" s="112"/>
      <c r="I143" s="100" t="s">
        <v>193</v>
      </c>
    </row>
    <row r="144" spans="2:9" x14ac:dyDescent="0.2">
      <c r="B144" s="594" t="s">
        <v>194</v>
      </c>
      <c r="C144" s="595"/>
      <c r="D144" s="91" t="s">
        <v>195</v>
      </c>
      <c r="E144" s="135">
        <v>5</v>
      </c>
      <c r="F144" s="135">
        <f>SUM(I170)</f>
        <v>62996.7</v>
      </c>
      <c r="G144" s="116">
        <f>SUM(F144*5%)</f>
        <v>3149.835</v>
      </c>
      <c r="H144" s="69"/>
      <c r="I144" s="596"/>
    </row>
    <row r="145" spans="2:9" x14ac:dyDescent="0.2">
      <c r="B145" s="598" t="s">
        <v>196</v>
      </c>
      <c r="C145" s="599"/>
      <c r="D145" s="91" t="s">
        <v>195</v>
      </c>
      <c r="E145" s="135">
        <v>1.5</v>
      </c>
      <c r="F145" s="135">
        <f>SUM(I170)</f>
        <v>62996.7</v>
      </c>
      <c r="G145" s="116">
        <f>SUM(F145*1.5%)</f>
        <v>944.95049999999992</v>
      </c>
      <c r="H145" s="70"/>
      <c r="I145" s="597"/>
    </row>
    <row r="146" spans="2:9" x14ac:dyDescent="0.2">
      <c r="B146" s="600"/>
      <c r="C146" s="601"/>
      <c r="D146" s="91"/>
      <c r="E146" s="104"/>
      <c r="F146" s="104"/>
      <c r="G146" s="88">
        <f>SUM(E146*F146)</f>
        <v>0</v>
      </c>
      <c r="H146" s="89"/>
      <c r="I146" s="138"/>
    </row>
    <row r="147" spans="2:9" x14ac:dyDescent="0.2">
      <c r="B147" s="587"/>
      <c r="C147" s="585"/>
      <c r="D147" s="585"/>
      <c r="E147" s="585"/>
      <c r="F147" s="71"/>
      <c r="G147" s="72" t="s">
        <v>197</v>
      </c>
      <c r="H147" s="72"/>
      <c r="I147" s="94">
        <f>SUM(G144:H146)</f>
        <v>4094.7855</v>
      </c>
    </row>
    <row r="148" spans="2:9" x14ac:dyDescent="0.2">
      <c r="B148" s="73" t="s">
        <v>198</v>
      </c>
      <c r="C148" s="74"/>
      <c r="D148" s="75"/>
      <c r="E148" s="76"/>
      <c r="F148" s="77"/>
      <c r="G148" s="76"/>
      <c r="H148" s="76"/>
      <c r="I148" s="78"/>
    </row>
    <row r="149" spans="2:9" x14ac:dyDescent="0.2">
      <c r="B149" s="588" t="s">
        <v>188</v>
      </c>
      <c r="C149" s="589"/>
      <c r="D149" s="96" t="s">
        <v>199</v>
      </c>
      <c r="E149" s="110" t="s">
        <v>137</v>
      </c>
      <c r="F149" s="111" t="s">
        <v>200</v>
      </c>
      <c r="G149" s="110" t="s">
        <v>201</v>
      </c>
      <c r="H149" s="112"/>
      <c r="I149" s="100" t="s">
        <v>193</v>
      </c>
    </row>
    <row r="150" spans="2:9" x14ac:dyDescent="0.2">
      <c r="B150" s="590" t="s">
        <v>371</v>
      </c>
      <c r="C150" s="591"/>
      <c r="D150" s="79" t="s">
        <v>237</v>
      </c>
      <c r="E150" s="80">
        <v>1</v>
      </c>
      <c r="F150" s="81"/>
      <c r="G150" s="82">
        <f>128900*1.2</f>
        <v>154680</v>
      </c>
      <c r="H150" s="83"/>
      <c r="I150" s="90">
        <f t="shared" ref="I150:I158" si="3">(E150*(1+F150/100)) * (G150*(1+H150/100))</f>
        <v>154680</v>
      </c>
    </row>
    <row r="151" spans="2:9" x14ac:dyDescent="0.2">
      <c r="B151" s="590" t="s">
        <v>262</v>
      </c>
      <c r="C151" s="591"/>
      <c r="D151" s="79" t="s">
        <v>227</v>
      </c>
      <c r="E151" s="80">
        <v>0.5</v>
      </c>
      <c r="F151" s="87">
        <v>3</v>
      </c>
      <c r="G151" s="82">
        <f>1621*1.3</f>
        <v>2107.3000000000002</v>
      </c>
      <c r="H151" s="84"/>
      <c r="I151" s="90">
        <f t="shared" si="3"/>
        <v>1085.2595000000001</v>
      </c>
    </row>
    <row r="152" spans="2:9" x14ac:dyDescent="0.2">
      <c r="B152" s="590" t="s">
        <v>276</v>
      </c>
      <c r="C152" s="591"/>
      <c r="D152" s="79" t="s">
        <v>237</v>
      </c>
      <c r="E152" s="80">
        <v>1</v>
      </c>
      <c r="F152" s="87"/>
      <c r="G152" s="82">
        <f>4975*1.3</f>
        <v>6467.5</v>
      </c>
      <c r="H152" s="85"/>
      <c r="I152" s="90">
        <f t="shared" si="3"/>
        <v>6467.5</v>
      </c>
    </row>
    <row r="153" spans="2:9" x14ac:dyDescent="0.2">
      <c r="B153" s="590" t="s">
        <v>277</v>
      </c>
      <c r="C153" s="591"/>
      <c r="D153" s="79" t="s">
        <v>237</v>
      </c>
      <c r="E153" s="80">
        <v>1</v>
      </c>
      <c r="F153" s="87"/>
      <c r="G153" s="82">
        <f>25900</f>
        <v>25900</v>
      </c>
      <c r="H153" s="85"/>
      <c r="I153" s="90">
        <f t="shared" si="3"/>
        <v>25900</v>
      </c>
    </row>
    <row r="154" spans="2:9" x14ac:dyDescent="0.2">
      <c r="B154" s="590" t="s">
        <v>278</v>
      </c>
      <c r="C154" s="591"/>
      <c r="D154" s="79" t="s">
        <v>237</v>
      </c>
      <c r="E154" s="80">
        <v>1</v>
      </c>
      <c r="F154" s="87"/>
      <c r="G154" s="82">
        <f>26900</f>
        <v>26900</v>
      </c>
      <c r="H154" s="85"/>
      <c r="I154" s="90">
        <f t="shared" si="3"/>
        <v>26900</v>
      </c>
    </row>
    <row r="155" spans="2:9" x14ac:dyDescent="0.2">
      <c r="B155" s="590"/>
      <c r="C155" s="591"/>
      <c r="D155" s="79"/>
      <c r="E155" s="80"/>
      <c r="F155" s="87"/>
      <c r="G155" s="82"/>
      <c r="H155" s="85"/>
      <c r="I155" s="90">
        <f t="shared" si="3"/>
        <v>0</v>
      </c>
    </row>
    <row r="156" spans="2:9" x14ac:dyDescent="0.2">
      <c r="B156" s="590"/>
      <c r="C156" s="591"/>
      <c r="D156" s="86"/>
      <c r="E156" s="80"/>
      <c r="F156" s="87"/>
      <c r="G156" s="82"/>
      <c r="H156" s="85"/>
      <c r="I156" s="90">
        <f t="shared" si="3"/>
        <v>0</v>
      </c>
    </row>
    <row r="157" spans="2:9" x14ac:dyDescent="0.2">
      <c r="B157" s="562"/>
      <c r="C157" s="563"/>
      <c r="D157" s="91"/>
      <c r="E157" s="80"/>
      <c r="F157" s="87"/>
      <c r="G157" s="88"/>
      <c r="H157" s="89"/>
      <c r="I157" s="90">
        <f t="shared" si="3"/>
        <v>0</v>
      </c>
    </row>
    <row r="158" spans="2:9" x14ac:dyDescent="0.2">
      <c r="B158" s="562"/>
      <c r="C158" s="563"/>
      <c r="D158" s="91"/>
      <c r="E158" s="80"/>
      <c r="F158" s="87"/>
      <c r="G158" s="88"/>
      <c r="H158" s="89"/>
      <c r="I158" s="90">
        <f t="shared" si="3"/>
        <v>0</v>
      </c>
    </row>
    <row r="159" spans="2:9" x14ac:dyDescent="0.2">
      <c r="B159" s="92"/>
      <c r="C159" s="76"/>
      <c r="D159" s="75"/>
      <c r="E159" s="76"/>
      <c r="F159" s="585" t="s">
        <v>202</v>
      </c>
      <c r="G159" s="586"/>
      <c r="H159" s="93"/>
      <c r="I159" s="94">
        <f>SUM(I150:I158)</f>
        <v>215032.75949999999</v>
      </c>
    </row>
    <row r="160" spans="2:9" ht="14.25" x14ac:dyDescent="0.2">
      <c r="B160" s="73" t="s">
        <v>203</v>
      </c>
      <c r="C160" s="74"/>
      <c r="D160" s="75"/>
      <c r="E160" s="76"/>
      <c r="F160" s="77"/>
      <c r="G160" s="76"/>
      <c r="H160" s="76"/>
      <c r="I160" s="95"/>
    </row>
    <row r="161" spans="2:9" x14ac:dyDescent="0.2">
      <c r="B161" s="588" t="s">
        <v>188</v>
      </c>
      <c r="C161" s="589"/>
      <c r="D161" s="96" t="s">
        <v>204</v>
      </c>
      <c r="E161" s="97" t="s">
        <v>205</v>
      </c>
      <c r="F161" s="98" t="s">
        <v>206</v>
      </c>
      <c r="G161" s="97" t="s">
        <v>207</v>
      </c>
      <c r="H161" s="99"/>
      <c r="I161" s="100" t="s">
        <v>193</v>
      </c>
    </row>
    <row r="162" spans="2:9" x14ac:dyDescent="0.2">
      <c r="B162" s="623"/>
      <c r="C162" s="624"/>
      <c r="D162" s="137"/>
      <c r="E162" s="101"/>
      <c r="F162" s="102"/>
      <c r="G162" s="82">
        <f>+D162*F162</f>
        <v>0</v>
      </c>
      <c r="H162" s="83"/>
      <c r="I162" s="103"/>
    </row>
    <row r="163" spans="2:9" x14ac:dyDescent="0.2">
      <c r="B163" s="623"/>
      <c r="C163" s="624"/>
      <c r="D163" s="137"/>
      <c r="E163" s="101"/>
      <c r="F163" s="104"/>
      <c r="G163" s="82">
        <f>+D163*F163</f>
        <v>0</v>
      </c>
      <c r="H163" s="85"/>
      <c r="I163" s="103"/>
    </row>
    <row r="164" spans="2:9" x14ac:dyDescent="0.2">
      <c r="B164" s="105"/>
      <c r="C164" s="106"/>
      <c r="D164" s="75"/>
      <c r="E164" s="106"/>
      <c r="F164" s="107" t="s">
        <v>208</v>
      </c>
      <c r="G164" s="106"/>
      <c r="H164" s="108"/>
      <c r="I164" s="109">
        <f>SUM(G162:G163)</f>
        <v>0</v>
      </c>
    </row>
    <row r="165" spans="2:9" ht="14.25" x14ac:dyDescent="0.2">
      <c r="B165" s="73" t="s">
        <v>209</v>
      </c>
      <c r="C165" s="76"/>
      <c r="D165" s="75"/>
      <c r="E165" s="76"/>
      <c r="F165" s="77"/>
      <c r="G165" s="76"/>
      <c r="H165" s="76"/>
      <c r="I165" s="95"/>
    </row>
    <row r="166" spans="2:9" x14ac:dyDescent="0.2">
      <c r="B166" s="588" t="s">
        <v>188</v>
      </c>
      <c r="C166" s="589"/>
      <c r="D166" s="96" t="s">
        <v>136</v>
      </c>
      <c r="E166" s="110" t="s">
        <v>137</v>
      </c>
      <c r="F166" s="111" t="s">
        <v>201</v>
      </c>
      <c r="G166" s="112" t="s">
        <v>205</v>
      </c>
      <c r="H166" s="112"/>
      <c r="I166" s="100" t="s">
        <v>193</v>
      </c>
    </row>
    <row r="167" spans="2:9" ht="21.6" customHeight="1" x14ac:dyDescent="0.2">
      <c r="B167" s="590" t="s">
        <v>244</v>
      </c>
      <c r="C167" s="591"/>
      <c r="D167" s="91" t="s">
        <v>211</v>
      </c>
      <c r="E167" s="88">
        <v>1</v>
      </c>
      <c r="F167" s="104">
        <f>+(80000+50000*1)*1.671</f>
        <v>217230</v>
      </c>
      <c r="G167" s="113">
        <v>0.28999999999999998</v>
      </c>
      <c r="H167" s="114"/>
      <c r="I167" s="115">
        <f>SUM(F167*E167)*G167</f>
        <v>62996.7</v>
      </c>
    </row>
    <row r="168" spans="2:9" x14ac:dyDescent="0.2">
      <c r="B168" s="627"/>
      <c r="C168" s="617"/>
      <c r="D168" s="91"/>
      <c r="E168" s="116"/>
      <c r="F168" s="117"/>
      <c r="G168" s="114"/>
      <c r="H168" s="114"/>
      <c r="I168" s="94">
        <f>SUM(F168*E168)*G168</f>
        <v>0</v>
      </c>
    </row>
    <row r="169" spans="2:9" x14ac:dyDescent="0.2">
      <c r="B169" s="598"/>
      <c r="C169" s="599"/>
      <c r="D169" s="91"/>
      <c r="E169" s="118"/>
      <c r="F169" s="117"/>
      <c r="G169" s="114"/>
      <c r="H169" s="114"/>
      <c r="I169" s="94">
        <f>SUM(F169*E169)*G169</f>
        <v>0</v>
      </c>
    </row>
    <row r="170" spans="2:9" x14ac:dyDescent="0.2">
      <c r="B170" s="92"/>
      <c r="C170" s="76"/>
      <c r="D170" s="75"/>
      <c r="E170" s="76"/>
      <c r="F170" s="605" t="s">
        <v>212</v>
      </c>
      <c r="G170" s="605"/>
      <c r="H170" s="119"/>
      <c r="I170" s="94">
        <f>I167</f>
        <v>62996.7</v>
      </c>
    </row>
    <row r="171" spans="2:9" ht="13.5" thickBot="1" x14ac:dyDescent="0.25">
      <c r="B171" s="92"/>
      <c r="C171" s="76"/>
      <c r="D171" s="75"/>
      <c r="E171" s="76"/>
      <c r="F171" s="120"/>
      <c r="G171" s="119"/>
      <c r="H171" s="119"/>
      <c r="I171" s="78"/>
    </row>
    <row r="172" spans="2:9" ht="13.5" thickBot="1" x14ac:dyDescent="0.25">
      <c r="B172" s="92"/>
      <c r="C172" s="76"/>
      <c r="D172" s="75"/>
      <c r="E172" s="606" t="s">
        <v>213</v>
      </c>
      <c r="F172" s="606"/>
      <c r="G172" s="606"/>
      <c r="H172" s="121"/>
      <c r="I172" s="122">
        <f>ROUND(SUM(I147+I159+I164+I170),0)</f>
        <v>282124</v>
      </c>
    </row>
    <row r="173" spans="2:9" ht="15" thickBot="1" x14ac:dyDescent="0.25">
      <c r="B173" s="73" t="s">
        <v>214</v>
      </c>
      <c r="C173" s="76"/>
      <c r="D173" s="123"/>
      <c r="E173" s="124"/>
      <c r="F173" s="77"/>
      <c r="G173" s="76"/>
      <c r="H173" s="76"/>
      <c r="I173" s="78"/>
    </row>
    <row r="174" spans="2:9" x14ac:dyDescent="0.2">
      <c r="B174" s="607" t="s">
        <v>215</v>
      </c>
      <c r="C174" s="608"/>
      <c r="D174" s="613" t="s">
        <v>216</v>
      </c>
      <c r="E174" s="614"/>
      <c r="F174" s="125" t="s">
        <v>195</v>
      </c>
      <c r="G174" s="126" t="s">
        <v>217</v>
      </c>
      <c r="H174" s="127"/>
      <c r="I174" s="615"/>
    </row>
    <row r="175" spans="2:9" x14ac:dyDescent="0.2">
      <c r="B175" s="609"/>
      <c r="C175" s="610"/>
      <c r="D175" s="617" t="s">
        <v>218</v>
      </c>
      <c r="E175" s="618"/>
      <c r="F175" s="128">
        <v>25</v>
      </c>
      <c r="G175" s="116">
        <f>I172*20%</f>
        <v>56424.800000000003</v>
      </c>
      <c r="H175" s="129"/>
      <c r="I175" s="616"/>
    </row>
    <row r="176" spans="2:9" x14ac:dyDescent="0.2">
      <c r="B176" s="609"/>
      <c r="C176" s="610"/>
      <c r="D176" s="617" t="s">
        <v>168</v>
      </c>
      <c r="E176" s="618"/>
      <c r="F176" s="128">
        <v>5</v>
      </c>
      <c r="G176" s="116">
        <f>I172*5%</f>
        <v>14106.2</v>
      </c>
      <c r="H176" s="129"/>
      <c r="I176" s="616"/>
    </row>
    <row r="177" spans="2:9" x14ac:dyDescent="0.2">
      <c r="B177" s="609"/>
      <c r="C177" s="610"/>
      <c r="D177" s="619" t="s">
        <v>219</v>
      </c>
      <c r="E177" s="617"/>
      <c r="F177" s="128">
        <f>SUM(F175:F176)</f>
        <v>30</v>
      </c>
      <c r="G177" s="116">
        <f>SUM(G175:G176)</f>
        <v>70531</v>
      </c>
      <c r="H177" s="129"/>
      <c r="I177" s="616"/>
    </row>
    <row r="178" spans="2:9" ht="15" thickBot="1" x14ac:dyDescent="0.25">
      <c r="B178" s="609"/>
      <c r="C178" s="610"/>
      <c r="D178" s="130"/>
      <c r="E178" s="620" t="s">
        <v>220</v>
      </c>
      <c r="F178" s="621"/>
      <c r="G178" s="622"/>
      <c r="H178" s="38"/>
      <c r="I178" s="131">
        <f>SUM(G177:G177)</f>
        <v>70531</v>
      </c>
    </row>
    <row r="179" spans="2:9" ht="16.5" thickBot="1" x14ac:dyDescent="0.3">
      <c r="B179" s="611"/>
      <c r="C179" s="612"/>
      <c r="D179" s="628" t="s">
        <v>221</v>
      </c>
      <c r="E179" s="629"/>
      <c r="F179" s="630"/>
      <c r="G179" s="602">
        <f>SUM(I172+I178)</f>
        <v>352655</v>
      </c>
      <c r="H179" s="603"/>
      <c r="I179" s="604"/>
    </row>
    <row r="181" spans="2:9" ht="18.75" thickBot="1" x14ac:dyDescent="0.3">
      <c r="B181" s="564" t="s">
        <v>180</v>
      </c>
      <c r="C181" s="564"/>
      <c r="D181" s="564"/>
      <c r="E181" s="564"/>
      <c r="F181" s="564"/>
      <c r="G181" s="564"/>
      <c r="H181" s="564"/>
      <c r="I181" s="564"/>
    </row>
    <row r="182" spans="2:9" ht="15" x14ac:dyDescent="0.25">
      <c r="B182" s="59" t="s">
        <v>181</v>
      </c>
      <c r="C182" s="565" t="s">
        <v>393</v>
      </c>
      <c r="D182" s="566"/>
      <c r="E182" s="566"/>
      <c r="F182" s="567"/>
      <c r="G182" s="60" t="s">
        <v>5</v>
      </c>
      <c r="H182" s="61"/>
      <c r="I182" s="62">
        <v>45373</v>
      </c>
    </row>
    <row r="183" spans="2:9" ht="13.5" thickBot="1" x14ac:dyDescent="0.25">
      <c r="B183" s="568" t="s">
        <v>182</v>
      </c>
      <c r="C183" s="569"/>
      <c r="D183" s="570"/>
      <c r="E183" s="568" t="s">
        <v>183</v>
      </c>
      <c r="F183" s="569"/>
      <c r="G183" s="569"/>
      <c r="H183" s="569"/>
      <c r="I183" s="570"/>
    </row>
    <row r="184" spans="2:9" ht="13.5" thickBot="1" x14ac:dyDescent="0.25">
      <c r="B184" s="571"/>
      <c r="C184" s="572"/>
      <c r="D184" s="573"/>
      <c r="E184" s="574" t="s">
        <v>80</v>
      </c>
      <c r="F184" s="575"/>
      <c r="G184" s="575"/>
      <c r="H184" s="575"/>
      <c r="I184" s="576"/>
    </row>
    <row r="185" spans="2:9" ht="13.5" thickBot="1" x14ac:dyDescent="0.25">
      <c r="B185" s="63" t="s">
        <v>275</v>
      </c>
      <c r="C185" s="64" t="s">
        <v>185</v>
      </c>
      <c r="D185" s="65" t="s">
        <v>157</v>
      </c>
      <c r="E185" s="577"/>
      <c r="F185" s="578"/>
      <c r="G185" s="578"/>
      <c r="H185" s="578"/>
      <c r="I185" s="579"/>
    </row>
    <row r="186" spans="2:9" ht="13.5" thickBot="1" x14ac:dyDescent="0.25">
      <c r="B186" s="583" t="s">
        <v>186</v>
      </c>
      <c r="C186" s="584"/>
      <c r="D186" s="66"/>
      <c r="E186" s="580"/>
      <c r="F186" s="581"/>
      <c r="G186" s="581"/>
      <c r="H186" s="581"/>
      <c r="I186" s="582"/>
    </row>
    <row r="187" spans="2:9" x14ac:dyDescent="0.2">
      <c r="B187" s="67" t="s">
        <v>187</v>
      </c>
      <c r="C187" s="68"/>
      <c r="D187" s="592"/>
      <c r="E187" s="592"/>
      <c r="F187" s="592"/>
      <c r="G187" s="592"/>
      <c r="H187" s="592"/>
      <c r="I187" s="593"/>
    </row>
    <row r="188" spans="2:9" x14ac:dyDescent="0.2">
      <c r="B188" s="588" t="s">
        <v>188</v>
      </c>
      <c r="C188" s="589"/>
      <c r="D188" s="96" t="s">
        <v>189</v>
      </c>
      <c r="E188" s="134" t="s">
        <v>190</v>
      </c>
      <c r="F188" s="111" t="s">
        <v>191</v>
      </c>
      <c r="G188" s="110" t="s">
        <v>192</v>
      </c>
      <c r="H188" s="112"/>
      <c r="I188" s="100" t="s">
        <v>193</v>
      </c>
    </row>
    <row r="189" spans="2:9" x14ac:dyDescent="0.2">
      <c r="B189" s="594" t="s">
        <v>194</v>
      </c>
      <c r="C189" s="595"/>
      <c r="D189" s="91" t="s">
        <v>195</v>
      </c>
      <c r="E189" s="135">
        <v>5</v>
      </c>
      <c r="F189" s="135">
        <f>SUM(I215)</f>
        <v>13033.8</v>
      </c>
      <c r="G189" s="116">
        <f>SUM(F189*5%)</f>
        <v>651.69000000000005</v>
      </c>
      <c r="H189" s="69"/>
      <c r="I189" s="596"/>
    </row>
    <row r="190" spans="2:9" x14ac:dyDescent="0.2">
      <c r="B190" s="598" t="s">
        <v>196</v>
      </c>
      <c r="C190" s="599"/>
      <c r="D190" s="91" t="s">
        <v>195</v>
      </c>
      <c r="E190" s="135">
        <v>1.5</v>
      </c>
      <c r="F190" s="135">
        <f>SUM(I215)</f>
        <v>13033.8</v>
      </c>
      <c r="G190" s="116">
        <f>SUM(F190*1.5%)</f>
        <v>195.50699999999998</v>
      </c>
      <c r="H190" s="70"/>
      <c r="I190" s="597"/>
    </row>
    <row r="191" spans="2:9" x14ac:dyDescent="0.2">
      <c r="B191" s="600"/>
      <c r="C191" s="601"/>
      <c r="D191" s="91"/>
      <c r="E191" s="104"/>
      <c r="F191" s="104"/>
      <c r="G191" s="88">
        <f>SUM(E191*F191)</f>
        <v>0</v>
      </c>
      <c r="H191" s="70"/>
      <c r="I191" s="597"/>
    </row>
    <row r="192" spans="2:9" x14ac:dyDescent="0.2">
      <c r="B192" s="587"/>
      <c r="C192" s="585"/>
      <c r="D192" s="585"/>
      <c r="E192" s="585"/>
      <c r="F192" s="71"/>
      <c r="G192" s="72" t="s">
        <v>197</v>
      </c>
      <c r="H192" s="72"/>
      <c r="I192" s="94">
        <f>SUM(G189:G191)</f>
        <v>847.197</v>
      </c>
    </row>
    <row r="193" spans="2:9" x14ac:dyDescent="0.2">
      <c r="B193" s="73" t="s">
        <v>198</v>
      </c>
      <c r="C193" s="74"/>
      <c r="D193" s="75"/>
      <c r="E193" s="76"/>
      <c r="F193" s="77"/>
      <c r="G193" s="76"/>
      <c r="H193" s="76"/>
      <c r="I193" s="78"/>
    </row>
    <row r="194" spans="2:9" x14ac:dyDescent="0.2">
      <c r="B194" s="588" t="s">
        <v>188</v>
      </c>
      <c r="C194" s="589"/>
      <c r="D194" s="96" t="s">
        <v>199</v>
      </c>
      <c r="E194" s="110" t="s">
        <v>137</v>
      </c>
      <c r="F194" s="111" t="s">
        <v>200</v>
      </c>
      <c r="G194" s="110" t="s">
        <v>201</v>
      </c>
      <c r="H194" s="112"/>
      <c r="I194" s="100" t="s">
        <v>193</v>
      </c>
    </row>
    <row r="195" spans="2:9" x14ac:dyDescent="0.2">
      <c r="B195" s="590" t="s">
        <v>279</v>
      </c>
      <c r="C195" s="591"/>
      <c r="D195" s="79" t="s">
        <v>237</v>
      </c>
      <c r="E195" s="80">
        <v>1</v>
      </c>
      <c r="F195" s="81"/>
      <c r="G195" s="82">
        <f>59900*1.3</f>
        <v>77870</v>
      </c>
      <c r="H195" s="83"/>
      <c r="I195" s="90">
        <f t="shared" ref="I195:I203" si="4">(E195*(1+F195/100)) * (G195*(1+H195/100))</f>
        <v>77870</v>
      </c>
    </row>
    <row r="196" spans="2:9" x14ac:dyDescent="0.2">
      <c r="B196" s="590"/>
      <c r="C196" s="591"/>
      <c r="D196" s="79"/>
      <c r="E196" s="80"/>
      <c r="F196" s="136"/>
      <c r="G196" s="82"/>
      <c r="H196" s="84"/>
      <c r="I196" s="90">
        <f t="shared" si="4"/>
        <v>0</v>
      </c>
    </row>
    <row r="197" spans="2:9" x14ac:dyDescent="0.2">
      <c r="B197" s="590"/>
      <c r="C197" s="591"/>
      <c r="D197" s="79"/>
      <c r="E197" s="80"/>
      <c r="F197" s="87"/>
      <c r="G197" s="82"/>
      <c r="H197" s="85"/>
      <c r="I197" s="90">
        <f t="shared" si="4"/>
        <v>0</v>
      </c>
    </row>
    <row r="198" spans="2:9" x14ac:dyDescent="0.2">
      <c r="B198" s="590"/>
      <c r="C198" s="591"/>
      <c r="D198" s="79"/>
      <c r="E198" s="80"/>
      <c r="F198" s="87"/>
      <c r="G198" s="82"/>
      <c r="H198" s="85"/>
      <c r="I198" s="90">
        <f t="shared" si="4"/>
        <v>0</v>
      </c>
    </row>
    <row r="199" spans="2:9" x14ac:dyDescent="0.2">
      <c r="B199" s="590"/>
      <c r="C199" s="591"/>
      <c r="D199" s="79"/>
      <c r="E199" s="80"/>
      <c r="F199" s="87"/>
      <c r="G199" s="82"/>
      <c r="H199" s="85"/>
      <c r="I199" s="90">
        <f t="shared" si="4"/>
        <v>0</v>
      </c>
    </row>
    <row r="200" spans="2:9" x14ac:dyDescent="0.2">
      <c r="B200" s="590"/>
      <c r="C200" s="591"/>
      <c r="D200" s="79"/>
      <c r="E200" s="80"/>
      <c r="F200" s="87"/>
      <c r="G200" s="82"/>
      <c r="H200" s="85"/>
      <c r="I200" s="90">
        <f t="shared" si="4"/>
        <v>0</v>
      </c>
    </row>
    <row r="201" spans="2:9" x14ac:dyDescent="0.2">
      <c r="B201" s="590"/>
      <c r="C201" s="591"/>
      <c r="D201" s="86"/>
      <c r="E201" s="80"/>
      <c r="F201" s="87"/>
      <c r="G201" s="82"/>
      <c r="H201" s="85"/>
      <c r="I201" s="90">
        <f t="shared" si="4"/>
        <v>0</v>
      </c>
    </row>
    <row r="202" spans="2:9" x14ac:dyDescent="0.2">
      <c r="B202" s="562"/>
      <c r="C202" s="563"/>
      <c r="D202" s="91"/>
      <c r="E202" s="80"/>
      <c r="F202" s="87"/>
      <c r="G202" s="88"/>
      <c r="H202" s="89"/>
      <c r="I202" s="90">
        <f t="shared" si="4"/>
        <v>0</v>
      </c>
    </row>
    <row r="203" spans="2:9" x14ac:dyDescent="0.2">
      <c r="B203" s="562"/>
      <c r="C203" s="563"/>
      <c r="D203" s="91"/>
      <c r="E203" s="80"/>
      <c r="F203" s="87"/>
      <c r="G203" s="88"/>
      <c r="H203" s="89"/>
      <c r="I203" s="90">
        <f t="shared" si="4"/>
        <v>0</v>
      </c>
    </row>
    <row r="204" spans="2:9" x14ac:dyDescent="0.2">
      <c r="B204" s="92"/>
      <c r="C204" s="76"/>
      <c r="D204" s="75"/>
      <c r="E204" s="76"/>
      <c r="F204" s="585" t="s">
        <v>202</v>
      </c>
      <c r="G204" s="586"/>
      <c r="H204" s="93"/>
      <c r="I204" s="94">
        <f>SUM(I195:I203)</f>
        <v>77870</v>
      </c>
    </row>
    <row r="205" spans="2:9" ht="14.25" x14ac:dyDescent="0.2">
      <c r="B205" s="73" t="s">
        <v>203</v>
      </c>
      <c r="C205" s="74"/>
      <c r="D205" s="75"/>
      <c r="E205" s="76"/>
      <c r="F205" s="77"/>
      <c r="G205" s="76"/>
      <c r="H205" s="76"/>
      <c r="I205" s="95"/>
    </row>
    <row r="206" spans="2:9" x14ac:dyDescent="0.2">
      <c r="B206" s="588" t="s">
        <v>188</v>
      </c>
      <c r="C206" s="589"/>
      <c r="D206" s="96" t="s">
        <v>204</v>
      </c>
      <c r="E206" s="97" t="s">
        <v>205</v>
      </c>
      <c r="F206" s="98" t="s">
        <v>206</v>
      </c>
      <c r="G206" s="97" t="s">
        <v>207</v>
      </c>
      <c r="H206" s="99"/>
      <c r="I206" s="100" t="s">
        <v>193</v>
      </c>
    </row>
    <row r="207" spans="2:9" x14ac:dyDescent="0.2">
      <c r="B207" s="623"/>
      <c r="C207" s="624"/>
      <c r="D207" s="137"/>
      <c r="E207" s="101"/>
      <c r="F207" s="102"/>
      <c r="G207" s="82">
        <f>+D207*F207</f>
        <v>0</v>
      </c>
      <c r="H207" s="83"/>
      <c r="I207" s="103"/>
    </row>
    <row r="208" spans="2:9" x14ac:dyDescent="0.2">
      <c r="B208" s="623"/>
      <c r="C208" s="624"/>
      <c r="D208" s="137"/>
      <c r="E208" s="101"/>
      <c r="F208" s="104"/>
      <c r="G208" s="82">
        <f>+D208*F208</f>
        <v>0</v>
      </c>
      <c r="H208" s="85"/>
      <c r="I208" s="103"/>
    </row>
    <row r="209" spans="2:9" x14ac:dyDescent="0.2">
      <c r="B209" s="105"/>
      <c r="C209" s="106"/>
      <c r="D209" s="75"/>
      <c r="E209" s="106"/>
      <c r="F209" s="107" t="s">
        <v>208</v>
      </c>
      <c r="G209" s="106"/>
      <c r="H209" s="108"/>
      <c r="I209" s="109">
        <f>SUM(G207:G208)</f>
        <v>0</v>
      </c>
    </row>
    <row r="210" spans="2:9" ht="14.25" x14ac:dyDescent="0.2">
      <c r="B210" s="73" t="s">
        <v>209</v>
      </c>
      <c r="C210" s="76"/>
      <c r="D210" s="75"/>
      <c r="E210" s="76"/>
      <c r="F210" s="77"/>
      <c r="G210" s="76"/>
      <c r="H210" s="76"/>
      <c r="I210" s="95"/>
    </row>
    <row r="211" spans="2:9" x14ac:dyDescent="0.2">
      <c r="B211" s="588" t="s">
        <v>188</v>
      </c>
      <c r="C211" s="589"/>
      <c r="D211" s="96" t="s">
        <v>136</v>
      </c>
      <c r="E211" s="110" t="s">
        <v>137</v>
      </c>
      <c r="F211" s="111" t="s">
        <v>201</v>
      </c>
      <c r="G211" s="112" t="s">
        <v>205</v>
      </c>
      <c r="H211" s="112"/>
      <c r="I211" s="100" t="s">
        <v>193</v>
      </c>
    </row>
    <row r="212" spans="2:9" ht="21.6" customHeight="1" x14ac:dyDescent="0.2">
      <c r="B212" s="590" t="s">
        <v>244</v>
      </c>
      <c r="C212" s="591"/>
      <c r="D212" s="91" t="s">
        <v>211</v>
      </c>
      <c r="E212" s="88">
        <v>1</v>
      </c>
      <c r="F212" s="104">
        <f>+(80000+50000*1)*1.671</f>
        <v>217230</v>
      </c>
      <c r="G212" s="113">
        <v>0.06</v>
      </c>
      <c r="H212" s="114"/>
      <c r="I212" s="115">
        <f>SUM(F212*E212)*G212</f>
        <v>13033.8</v>
      </c>
    </row>
    <row r="213" spans="2:9" x14ac:dyDescent="0.2">
      <c r="B213" s="627"/>
      <c r="C213" s="617"/>
      <c r="D213" s="91"/>
      <c r="E213" s="116"/>
      <c r="F213" s="117"/>
      <c r="G213" s="114"/>
      <c r="H213" s="114"/>
      <c r="I213" s="94">
        <f>SUM(F213*E213)*G213</f>
        <v>0</v>
      </c>
    </row>
    <row r="214" spans="2:9" x14ac:dyDescent="0.2">
      <c r="B214" s="598"/>
      <c r="C214" s="599"/>
      <c r="D214" s="91"/>
      <c r="E214" s="118"/>
      <c r="F214" s="117"/>
      <c r="G214" s="114"/>
      <c r="H214" s="114"/>
      <c r="I214" s="94">
        <f>SUM(F214*E214)*G214</f>
        <v>0</v>
      </c>
    </row>
    <row r="215" spans="2:9" x14ac:dyDescent="0.2">
      <c r="B215" s="92"/>
      <c r="C215" s="76"/>
      <c r="D215" s="75"/>
      <c r="E215" s="76"/>
      <c r="F215" s="605" t="s">
        <v>212</v>
      </c>
      <c r="G215" s="605"/>
      <c r="H215" s="119"/>
      <c r="I215" s="94">
        <f>I212</f>
        <v>13033.8</v>
      </c>
    </row>
    <row r="216" spans="2:9" ht="13.5" thickBot="1" x14ac:dyDescent="0.25">
      <c r="B216" s="92"/>
      <c r="C216" s="76"/>
      <c r="D216" s="75"/>
      <c r="E216" s="76"/>
      <c r="F216" s="120"/>
      <c r="G216" s="119"/>
      <c r="H216" s="119"/>
      <c r="I216" s="78"/>
    </row>
    <row r="217" spans="2:9" ht="13.5" thickBot="1" x14ac:dyDescent="0.25">
      <c r="B217" s="92"/>
      <c r="C217" s="76"/>
      <c r="D217" s="75"/>
      <c r="E217" s="606" t="s">
        <v>213</v>
      </c>
      <c r="F217" s="606"/>
      <c r="G217" s="606"/>
      <c r="H217" s="121"/>
      <c r="I217" s="122">
        <f>ROUND(SUM(I192+I204+I209+I215),0)</f>
        <v>91751</v>
      </c>
    </row>
    <row r="218" spans="2:9" ht="15" thickBot="1" x14ac:dyDescent="0.25">
      <c r="B218" s="73" t="s">
        <v>214</v>
      </c>
      <c r="C218" s="76"/>
      <c r="D218" s="123"/>
      <c r="E218" s="124"/>
      <c r="F218" s="77"/>
      <c r="G218" s="76"/>
      <c r="H218" s="76"/>
      <c r="I218" s="78"/>
    </row>
    <row r="219" spans="2:9" x14ac:dyDescent="0.2">
      <c r="B219" s="607" t="s">
        <v>215</v>
      </c>
      <c r="C219" s="608"/>
      <c r="D219" s="613" t="s">
        <v>216</v>
      </c>
      <c r="E219" s="614"/>
      <c r="F219" s="125" t="s">
        <v>195</v>
      </c>
      <c r="G219" s="126" t="s">
        <v>217</v>
      </c>
      <c r="H219" s="127"/>
      <c r="I219" s="615"/>
    </row>
    <row r="220" spans="2:9" x14ac:dyDescent="0.2">
      <c r="B220" s="609"/>
      <c r="C220" s="610"/>
      <c r="D220" s="617" t="s">
        <v>218</v>
      </c>
      <c r="E220" s="618"/>
      <c r="F220" s="128">
        <v>25</v>
      </c>
      <c r="G220" s="116">
        <f>I217*20%</f>
        <v>18350.2</v>
      </c>
      <c r="H220" s="129"/>
      <c r="I220" s="616"/>
    </row>
    <row r="221" spans="2:9" x14ac:dyDescent="0.2">
      <c r="B221" s="609"/>
      <c r="C221" s="610"/>
      <c r="D221" s="617" t="s">
        <v>168</v>
      </c>
      <c r="E221" s="618"/>
      <c r="F221" s="128">
        <v>5</v>
      </c>
      <c r="G221" s="116">
        <f>I217*5%</f>
        <v>4587.55</v>
      </c>
      <c r="H221" s="129"/>
      <c r="I221" s="616"/>
    </row>
    <row r="222" spans="2:9" x14ac:dyDescent="0.2">
      <c r="B222" s="609"/>
      <c r="C222" s="610"/>
      <c r="D222" s="619" t="s">
        <v>219</v>
      </c>
      <c r="E222" s="617"/>
      <c r="F222" s="128">
        <f>SUM(F220:F221)</f>
        <v>30</v>
      </c>
      <c r="G222" s="116">
        <f>SUM(G220:G221)</f>
        <v>22937.75</v>
      </c>
      <c r="H222" s="129"/>
      <c r="I222" s="616"/>
    </row>
    <row r="223" spans="2:9" ht="15" thickBot="1" x14ac:dyDescent="0.25">
      <c r="B223" s="609"/>
      <c r="C223" s="610"/>
      <c r="D223" s="130"/>
      <c r="E223" s="620" t="s">
        <v>220</v>
      </c>
      <c r="F223" s="621"/>
      <c r="G223" s="622"/>
      <c r="H223" s="38"/>
      <c r="I223" s="131">
        <f>SUM(G222:G222)</f>
        <v>22937.75</v>
      </c>
    </row>
    <row r="224" spans="2:9" ht="16.5" thickBot="1" x14ac:dyDescent="0.3">
      <c r="B224" s="611"/>
      <c r="C224" s="612"/>
      <c r="D224" s="628" t="s">
        <v>221</v>
      </c>
      <c r="E224" s="629"/>
      <c r="F224" s="630"/>
      <c r="G224" s="602">
        <f>SUM(I217+I223)</f>
        <v>114688.75</v>
      </c>
      <c r="H224" s="603"/>
      <c r="I224" s="604"/>
    </row>
    <row r="226" spans="2:9" ht="18.75" thickBot="1" x14ac:dyDescent="0.3">
      <c r="B226" s="564" t="s">
        <v>180</v>
      </c>
      <c r="C226" s="564"/>
      <c r="D226" s="564"/>
      <c r="E226" s="564"/>
      <c r="F226" s="564"/>
      <c r="G226" s="564"/>
      <c r="H226" s="564"/>
      <c r="I226" s="564"/>
    </row>
    <row r="227" spans="2:9" ht="15.75" thickBot="1" x14ac:dyDescent="0.3">
      <c r="B227" s="59" t="s">
        <v>181</v>
      </c>
      <c r="C227" s="565" t="s">
        <v>393</v>
      </c>
      <c r="D227" s="566"/>
      <c r="E227" s="566"/>
      <c r="F227" s="567"/>
      <c r="G227" s="60" t="s">
        <v>5</v>
      </c>
      <c r="H227" s="61"/>
      <c r="I227" s="62">
        <v>45373</v>
      </c>
    </row>
    <row r="228" spans="2:9" ht="13.5" thickBot="1" x14ac:dyDescent="0.25">
      <c r="B228" s="568" t="s">
        <v>182</v>
      </c>
      <c r="C228" s="569"/>
      <c r="D228" s="570"/>
      <c r="E228" s="568" t="s">
        <v>183</v>
      </c>
      <c r="F228" s="569"/>
      <c r="G228" s="569"/>
      <c r="H228" s="569"/>
      <c r="I228" s="570"/>
    </row>
    <row r="229" spans="2:9" ht="13.5" thickBot="1" x14ac:dyDescent="0.25">
      <c r="B229" s="571"/>
      <c r="C229" s="572"/>
      <c r="D229" s="573"/>
      <c r="E229" s="574" t="s">
        <v>82</v>
      </c>
      <c r="F229" s="575"/>
      <c r="G229" s="575"/>
      <c r="H229" s="575"/>
      <c r="I229" s="576"/>
    </row>
    <row r="230" spans="2:9" ht="13.5" thickBot="1" x14ac:dyDescent="0.25">
      <c r="B230" s="63" t="s">
        <v>275</v>
      </c>
      <c r="C230" s="64" t="s">
        <v>185</v>
      </c>
      <c r="D230" s="65" t="s">
        <v>79</v>
      </c>
      <c r="E230" s="577"/>
      <c r="F230" s="578"/>
      <c r="G230" s="578"/>
      <c r="H230" s="578"/>
      <c r="I230" s="579"/>
    </row>
    <row r="231" spans="2:9" ht="13.5" thickBot="1" x14ac:dyDescent="0.25">
      <c r="B231" s="583" t="s">
        <v>186</v>
      </c>
      <c r="C231" s="584"/>
      <c r="D231" s="66"/>
      <c r="E231" s="580"/>
      <c r="F231" s="581"/>
      <c r="G231" s="581"/>
      <c r="H231" s="581"/>
      <c r="I231" s="582"/>
    </row>
    <row r="232" spans="2:9" x14ac:dyDescent="0.2">
      <c r="B232" s="67" t="s">
        <v>187</v>
      </c>
      <c r="C232" s="68"/>
      <c r="D232" s="592"/>
      <c r="E232" s="592"/>
      <c r="F232" s="592"/>
      <c r="G232" s="592"/>
      <c r="H232" s="592"/>
      <c r="I232" s="593"/>
    </row>
    <row r="233" spans="2:9" x14ac:dyDescent="0.2">
      <c r="B233" s="588" t="s">
        <v>188</v>
      </c>
      <c r="C233" s="589"/>
      <c r="D233" s="96" t="s">
        <v>189</v>
      </c>
      <c r="E233" s="134" t="s">
        <v>190</v>
      </c>
      <c r="F233" s="111" t="s">
        <v>191</v>
      </c>
      <c r="G233" s="110" t="s">
        <v>192</v>
      </c>
      <c r="H233" s="112"/>
      <c r="I233" s="100" t="s">
        <v>193</v>
      </c>
    </row>
    <row r="234" spans="2:9" x14ac:dyDescent="0.2">
      <c r="B234" s="594" t="s">
        <v>194</v>
      </c>
      <c r="C234" s="595"/>
      <c r="D234" s="91" t="s">
        <v>195</v>
      </c>
      <c r="E234" s="135">
        <v>5</v>
      </c>
      <c r="F234" s="135">
        <f>SUM(I260)</f>
        <v>13033.8</v>
      </c>
      <c r="G234" s="116">
        <f>SUM(F234*5%)</f>
        <v>651.69000000000005</v>
      </c>
      <c r="H234" s="69"/>
      <c r="I234" s="596"/>
    </row>
    <row r="235" spans="2:9" x14ac:dyDescent="0.2">
      <c r="B235" s="598" t="s">
        <v>196</v>
      </c>
      <c r="C235" s="599"/>
      <c r="D235" s="91" t="s">
        <v>195</v>
      </c>
      <c r="E235" s="135">
        <v>1.5</v>
      </c>
      <c r="F235" s="135">
        <f>SUM(I260)</f>
        <v>13033.8</v>
      </c>
      <c r="G235" s="116">
        <f>SUM(F235*1.5%)</f>
        <v>195.50699999999998</v>
      </c>
      <c r="H235" s="70"/>
      <c r="I235" s="597"/>
    </row>
    <row r="236" spans="2:9" x14ac:dyDescent="0.2">
      <c r="B236" s="600"/>
      <c r="C236" s="601"/>
      <c r="D236" s="91"/>
      <c r="E236" s="104"/>
      <c r="F236" s="104"/>
      <c r="G236" s="88">
        <f>SUM(E236*F236)</f>
        <v>0</v>
      </c>
      <c r="H236" s="70"/>
      <c r="I236" s="597"/>
    </row>
    <row r="237" spans="2:9" x14ac:dyDescent="0.2">
      <c r="B237" s="587"/>
      <c r="C237" s="585"/>
      <c r="D237" s="585"/>
      <c r="E237" s="585"/>
      <c r="F237" s="71"/>
      <c r="G237" s="72" t="s">
        <v>197</v>
      </c>
      <c r="H237" s="72"/>
      <c r="I237" s="94">
        <f>SUM(G234:G236)</f>
        <v>847.197</v>
      </c>
    </row>
    <row r="238" spans="2:9" x14ac:dyDescent="0.2">
      <c r="B238" s="73" t="s">
        <v>198</v>
      </c>
      <c r="C238" s="74"/>
      <c r="D238" s="75"/>
      <c r="E238" s="76"/>
      <c r="F238" s="77"/>
      <c r="G238" s="76"/>
      <c r="H238" s="76"/>
      <c r="I238" s="78"/>
    </row>
    <row r="239" spans="2:9" x14ac:dyDescent="0.2">
      <c r="B239" s="588" t="s">
        <v>188</v>
      </c>
      <c r="C239" s="589"/>
      <c r="D239" s="96" t="s">
        <v>199</v>
      </c>
      <c r="E239" s="110" t="s">
        <v>137</v>
      </c>
      <c r="F239" s="111" t="s">
        <v>200</v>
      </c>
      <c r="G239" s="110" t="s">
        <v>201</v>
      </c>
      <c r="H239" s="112"/>
      <c r="I239" s="100" t="s">
        <v>193</v>
      </c>
    </row>
    <row r="240" spans="2:9" x14ac:dyDescent="0.2">
      <c r="B240" s="590" t="s">
        <v>280</v>
      </c>
      <c r="C240" s="591"/>
      <c r="D240" s="79" t="s">
        <v>237</v>
      </c>
      <c r="E240" s="80">
        <v>1</v>
      </c>
      <c r="F240" s="81"/>
      <c r="G240" s="82">
        <f>32900*1.3</f>
        <v>42770</v>
      </c>
      <c r="H240" s="83"/>
      <c r="I240" s="90">
        <f t="shared" ref="I240:I248" si="5">(E240*(1+F240/100)) * (G240*(1+H240/100))</f>
        <v>42770</v>
      </c>
    </row>
    <row r="241" spans="2:9" x14ac:dyDescent="0.2">
      <c r="B241" s="590"/>
      <c r="C241" s="591"/>
      <c r="D241" s="79"/>
      <c r="E241" s="80"/>
      <c r="F241" s="136"/>
      <c r="G241" s="82"/>
      <c r="H241" s="84"/>
      <c r="I241" s="90">
        <f t="shared" si="5"/>
        <v>0</v>
      </c>
    </row>
    <row r="242" spans="2:9" x14ac:dyDescent="0.2">
      <c r="B242" s="590"/>
      <c r="C242" s="591"/>
      <c r="D242" s="79"/>
      <c r="E242" s="80"/>
      <c r="F242" s="87"/>
      <c r="G242" s="82"/>
      <c r="H242" s="85"/>
      <c r="I242" s="90">
        <f t="shared" si="5"/>
        <v>0</v>
      </c>
    </row>
    <row r="243" spans="2:9" x14ac:dyDescent="0.2">
      <c r="B243" s="590"/>
      <c r="C243" s="591"/>
      <c r="D243" s="79"/>
      <c r="E243" s="80"/>
      <c r="F243" s="87"/>
      <c r="G243" s="82"/>
      <c r="H243" s="85"/>
      <c r="I243" s="90">
        <f t="shared" si="5"/>
        <v>0</v>
      </c>
    </row>
    <row r="244" spans="2:9" x14ac:dyDescent="0.2">
      <c r="B244" s="590"/>
      <c r="C244" s="591"/>
      <c r="D244" s="79"/>
      <c r="E244" s="80"/>
      <c r="F244" s="87"/>
      <c r="G244" s="82"/>
      <c r="H244" s="85"/>
      <c r="I244" s="90">
        <f t="shared" si="5"/>
        <v>0</v>
      </c>
    </row>
    <row r="245" spans="2:9" x14ac:dyDescent="0.2">
      <c r="B245" s="590"/>
      <c r="C245" s="591"/>
      <c r="D245" s="79"/>
      <c r="E245" s="80"/>
      <c r="F245" s="87"/>
      <c r="G245" s="82"/>
      <c r="H245" s="85"/>
      <c r="I245" s="90">
        <f t="shared" si="5"/>
        <v>0</v>
      </c>
    </row>
    <row r="246" spans="2:9" x14ac:dyDescent="0.2">
      <c r="B246" s="590"/>
      <c r="C246" s="591"/>
      <c r="D246" s="86"/>
      <c r="E246" s="80"/>
      <c r="F246" s="87"/>
      <c r="G246" s="82"/>
      <c r="H246" s="85"/>
      <c r="I246" s="90">
        <f t="shared" si="5"/>
        <v>0</v>
      </c>
    </row>
    <row r="247" spans="2:9" x14ac:dyDescent="0.2">
      <c r="B247" s="562"/>
      <c r="C247" s="563"/>
      <c r="D247" s="91"/>
      <c r="E247" s="80"/>
      <c r="F247" s="87"/>
      <c r="G247" s="88"/>
      <c r="H247" s="89"/>
      <c r="I247" s="90">
        <f t="shared" si="5"/>
        <v>0</v>
      </c>
    </row>
    <row r="248" spans="2:9" x14ac:dyDescent="0.2">
      <c r="B248" s="562"/>
      <c r="C248" s="563"/>
      <c r="D248" s="91"/>
      <c r="E248" s="80"/>
      <c r="F248" s="87"/>
      <c r="G248" s="88"/>
      <c r="H248" s="89"/>
      <c r="I248" s="90">
        <f t="shared" si="5"/>
        <v>0</v>
      </c>
    </row>
    <row r="249" spans="2:9" x14ac:dyDescent="0.2">
      <c r="B249" s="92"/>
      <c r="C249" s="76"/>
      <c r="D249" s="75"/>
      <c r="E249" s="76"/>
      <c r="F249" s="585" t="s">
        <v>202</v>
      </c>
      <c r="G249" s="586"/>
      <c r="H249" s="93"/>
      <c r="I249" s="94">
        <f>SUM(I240:I248)</f>
        <v>42770</v>
      </c>
    </row>
    <row r="250" spans="2:9" ht="14.25" x14ac:dyDescent="0.2">
      <c r="B250" s="73" t="s">
        <v>203</v>
      </c>
      <c r="C250" s="74"/>
      <c r="D250" s="75"/>
      <c r="E250" s="76"/>
      <c r="F250" s="77"/>
      <c r="G250" s="76"/>
      <c r="H250" s="76"/>
      <c r="I250" s="95"/>
    </row>
    <row r="251" spans="2:9" x14ac:dyDescent="0.2">
      <c r="B251" s="588" t="s">
        <v>188</v>
      </c>
      <c r="C251" s="589"/>
      <c r="D251" s="96" t="s">
        <v>204</v>
      </c>
      <c r="E251" s="97" t="s">
        <v>205</v>
      </c>
      <c r="F251" s="98" t="s">
        <v>206</v>
      </c>
      <c r="G251" s="97" t="s">
        <v>207</v>
      </c>
      <c r="H251" s="99"/>
      <c r="I251" s="100" t="s">
        <v>193</v>
      </c>
    </row>
    <row r="252" spans="2:9" x14ac:dyDescent="0.2">
      <c r="B252" s="623"/>
      <c r="C252" s="624"/>
      <c r="D252" s="137"/>
      <c r="E252" s="101"/>
      <c r="F252" s="102"/>
      <c r="G252" s="82">
        <f>+D252*F252</f>
        <v>0</v>
      </c>
      <c r="H252" s="83"/>
      <c r="I252" s="103"/>
    </row>
    <row r="253" spans="2:9" x14ac:dyDescent="0.2">
      <c r="B253" s="623"/>
      <c r="C253" s="624"/>
      <c r="D253" s="137"/>
      <c r="E253" s="101"/>
      <c r="F253" s="104"/>
      <c r="G253" s="82">
        <f>+D253*F253</f>
        <v>0</v>
      </c>
      <c r="H253" s="85"/>
      <c r="I253" s="103"/>
    </row>
    <row r="254" spans="2:9" x14ac:dyDescent="0.2">
      <c r="B254" s="105"/>
      <c r="C254" s="106"/>
      <c r="D254" s="75"/>
      <c r="E254" s="106"/>
      <c r="F254" s="107" t="s">
        <v>208</v>
      </c>
      <c r="G254" s="106"/>
      <c r="H254" s="108"/>
      <c r="I254" s="109">
        <f>SUM(G252:G253)</f>
        <v>0</v>
      </c>
    </row>
    <row r="255" spans="2:9" ht="14.25" x14ac:dyDescent="0.2">
      <c r="B255" s="73" t="s">
        <v>209</v>
      </c>
      <c r="C255" s="76"/>
      <c r="D255" s="75"/>
      <c r="E255" s="76"/>
      <c r="F255" s="77"/>
      <c r="G255" s="76"/>
      <c r="H255" s="76"/>
      <c r="I255" s="95"/>
    </row>
    <row r="256" spans="2:9" x14ac:dyDescent="0.2">
      <c r="B256" s="588" t="s">
        <v>188</v>
      </c>
      <c r="C256" s="589"/>
      <c r="D256" s="96" t="s">
        <v>136</v>
      </c>
      <c r="E256" s="110" t="s">
        <v>137</v>
      </c>
      <c r="F256" s="111" t="s">
        <v>201</v>
      </c>
      <c r="G256" s="112" t="s">
        <v>205</v>
      </c>
      <c r="H256" s="112"/>
      <c r="I256" s="100" t="s">
        <v>193</v>
      </c>
    </row>
    <row r="257" spans="2:9" ht="21" customHeight="1" x14ac:dyDescent="0.2">
      <c r="B257" s="590" t="s">
        <v>244</v>
      </c>
      <c r="C257" s="591"/>
      <c r="D257" s="91" t="s">
        <v>211</v>
      </c>
      <c r="E257" s="88">
        <v>1</v>
      </c>
      <c r="F257" s="104">
        <f>+(80000+50000*1)*1.671</f>
        <v>217230</v>
      </c>
      <c r="G257" s="113">
        <v>0.06</v>
      </c>
      <c r="H257" s="114"/>
      <c r="I257" s="115">
        <f>SUM(F257*E257)*G257</f>
        <v>13033.8</v>
      </c>
    </row>
    <row r="258" spans="2:9" x14ac:dyDescent="0.2">
      <c r="B258" s="627"/>
      <c r="C258" s="617"/>
      <c r="D258" s="91"/>
      <c r="E258" s="116"/>
      <c r="F258" s="117"/>
      <c r="G258" s="114"/>
      <c r="H258" s="114"/>
      <c r="I258" s="94">
        <f>SUM(F258*E258)*G258</f>
        <v>0</v>
      </c>
    </row>
    <row r="259" spans="2:9" x14ac:dyDescent="0.2">
      <c r="B259" s="598"/>
      <c r="C259" s="599"/>
      <c r="D259" s="91"/>
      <c r="E259" s="118"/>
      <c r="F259" s="117"/>
      <c r="G259" s="114"/>
      <c r="H259" s="114"/>
      <c r="I259" s="94">
        <f>SUM(F259*E259)*G259</f>
        <v>0</v>
      </c>
    </row>
    <row r="260" spans="2:9" x14ac:dyDescent="0.2">
      <c r="B260" s="92"/>
      <c r="C260" s="76"/>
      <c r="D260" s="75"/>
      <c r="E260" s="76"/>
      <c r="F260" s="605" t="s">
        <v>212</v>
      </c>
      <c r="G260" s="605"/>
      <c r="H260" s="119"/>
      <c r="I260" s="94">
        <f>I257</f>
        <v>13033.8</v>
      </c>
    </row>
    <row r="261" spans="2:9" ht="13.5" thickBot="1" x14ac:dyDescent="0.25">
      <c r="B261" s="92"/>
      <c r="C261" s="76"/>
      <c r="D261" s="75"/>
      <c r="E261" s="76"/>
      <c r="F261" s="120"/>
      <c r="G261" s="119"/>
      <c r="H261" s="119"/>
      <c r="I261" s="78"/>
    </row>
    <row r="262" spans="2:9" ht="13.5" thickBot="1" x14ac:dyDescent="0.25">
      <c r="B262" s="92"/>
      <c r="C262" s="76"/>
      <c r="D262" s="75"/>
      <c r="E262" s="606" t="s">
        <v>213</v>
      </c>
      <c r="F262" s="606"/>
      <c r="G262" s="606"/>
      <c r="H262" s="121"/>
      <c r="I262" s="122">
        <f>ROUND(SUM(I237+I249+I254+I260),0)</f>
        <v>56651</v>
      </c>
    </row>
    <row r="263" spans="2:9" ht="15" thickBot="1" x14ac:dyDescent="0.25">
      <c r="B263" s="73" t="s">
        <v>214</v>
      </c>
      <c r="C263" s="76"/>
      <c r="D263" s="123"/>
      <c r="E263" s="124"/>
      <c r="F263" s="77"/>
      <c r="G263" s="76"/>
      <c r="H263" s="76"/>
      <c r="I263" s="78"/>
    </row>
    <row r="264" spans="2:9" x14ac:dyDescent="0.2">
      <c r="B264" s="607" t="s">
        <v>215</v>
      </c>
      <c r="C264" s="608"/>
      <c r="D264" s="613" t="s">
        <v>216</v>
      </c>
      <c r="E264" s="614"/>
      <c r="F264" s="125" t="s">
        <v>195</v>
      </c>
      <c r="G264" s="126" t="s">
        <v>217</v>
      </c>
      <c r="H264" s="127"/>
      <c r="I264" s="615"/>
    </row>
    <row r="265" spans="2:9" x14ac:dyDescent="0.2">
      <c r="B265" s="609"/>
      <c r="C265" s="610"/>
      <c r="D265" s="617" t="s">
        <v>218</v>
      </c>
      <c r="E265" s="618"/>
      <c r="F265" s="128">
        <v>25</v>
      </c>
      <c r="G265" s="116">
        <f>I262*20%</f>
        <v>11330.2</v>
      </c>
      <c r="H265" s="129"/>
      <c r="I265" s="616"/>
    </row>
    <row r="266" spans="2:9" x14ac:dyDescent="0.2">
      <c r="B266" s="609"/>
      <c r="C266" s="610"/>
      <c r="D266" s="617" t="s">
        <v>168</v>
      </c>
      <c r="E266" s="618"/>
      <c r="F266" s="128">
        <v>5</v>
      </c>
      <c r="G266" s="116">
        <f>I262*5%</f>
        <v>2832.55</v>
      </c>
      <c r="H266" s="129"/>
      <c r="I266" s="616"/>
    </row>
    <row r="267" spans="2:9" x14ac:dyDescent="0.2">
      <c r="B267" s="609"/>
      <c r="C267" s="610"/>
      <c r="D267" s="619" t="s">
        <v>219</v>
      </c>
      <c r="E267" s="617"/>
      <c r="F267" s="128">
        <f>SUM(F265:F266)</f>
        <v>30</v>
      </c>
      <c r="G267" s="116">
        <f>SUM(G265:G266)</f>
        <v>14162.75</v>
      </c>
      <c r="H267" s="129"/>
      <c r="I267" s="616"/>
    </row>
    <row r="268" spans="2:9" ht="15" thickBot="1" x14ac:dyDescent="0.25">
      <c r="B268" s="609"/>
      <c r="C268" s="610"/>
      <c r="D268" s="130"/>
      <c r="E268" s="620" t="s">
        <v>220</v>
      </c>
      <c r="F268" s="621"/>
      <c r="G268" s="622"/>
      <c r="H268" s="38"/>
      <c r="I268" s="131">
        <f>SUM(G267:G267)</f>
        <v>14162.75</v>
      </c>
    </row>
    <row r="269" spans="2:9" ht="16.5" thickBot="1" x14ac:dyDescent="0.3">
      <c r="B269" s="611"/>
      <c r="C269" s="612"/>
      <c r="D269" s="628" t="s">
        <v>221</v>
      </c>
      <c r="E269" s="629"/>
      <c r="F269" s="630"/>
      <c r="G269" s="602">
        <f>SUM(I262+I268)</f>
        <v>70813.75</v>
      </c>
      <c r="H269" s="603"/>
      <c r="I269" s="604"/>
    </row>
    <row r="271" spans="2:9" ht="18.75" thickBot="1" x14ac:dyDescent="0.3">
      <c r="B271" s="564" t="s">
        <v>180</v>
      </c>
      <c r="C271" s="564"/>
      <c r="D271" s="564"/>
      <c r="E271" s="564"/>
      <c r="F271" s="564"/>
      <c r="G271" s="564"/>
      <c r="H271" s="564"/>
      <c r="I271" s="564"/>
    </row>
    <row r="272" spans="2:9" ht="15.75" thickBot="1" x14ac:dyDescent="0.3">
      <c r="B272" s="59" t="s">
        <v>181</v>
      </c>
      <c r="C272" s="565" t="s">
        <v>393</v>
      </c>
      <c r="D272" s="566"/>
      <c r="E272" s="566"/>
      <c r="F272" s="567"/>
      <c r="G272" s="60" t="s">
        <v>5</v>
      </c>
      <c r="H272" s="61"/>
      <c r="I272" s="62">
        <v>45373</v>
      </c>
    </row>
    <row r="273" spans="2:9" ht="13.5" thickBot="1" x14ac:dyDescent="0.25">
      <c r="B273" s="568" t="s">
        <v>182</v>
      </c>
      <c r="C273" s="569"/>
      <c r="D273" s="570"/>
      <c r="E273" s="568" t="s">
        <v>183</v>
      </c>
      <c r="F273" s="569"/>
      <c r="G273" s="569"/>
      <c r="H273" s="569"/>
      <c r="I273" s="570"/>
    </row>
    <row r="274" spans="2:9" ht="13.5" thickBot="1" x14ac:dyDescent="0.25">
      <c r="B274" s="571"/>
      <c r="C274" s="572"/>
      <c r="D274" s="573"/>
      <c r="E274" s="574" t="s">
        <v>363</v>
      </c>
      <c r="F274" s="575"/>
      <c r="G274" s="575"/>
      <c r="H274" s="575"/>
      <c r="I274" s="576"/>
    </row>
    <row r="275" spans="2:9" ht="13.5" thickBot="1" x14ac:dyDescent="0.25">
      <c r="B275" s="63" t="s">
        <v>275</v>
      </c>
      <c r="C275" s="64" t="s">
        <v>185</v>
      </c>
      <c r="D275" s="65" t="s">
        <v>81</v>
      </c>
      <c r="E275" s="577"/>
      <c r="F275" s="578"/>
      <c r="G275" s="578"/>
      <c r="H275" s="578"/>
      <c r="I275" s="579"/>
    </row>
    <row r="276" spans="2:9" ht="13.5" thickBot="1" x14ac:dyDescent="0.25">
      <c r="B276" s="583" t="s">
        <v>186</v>
      </c>
      <c r="C276" s="584"/>
      <c r="D276" s="66"/>
      <c r="E276" s="580"/>
      <c r="F276" s="581"/>
      <c r="G276" s="581"/>
      <c r="H276" s="581"/>
      <c r="I276" s="582"/>
    </row>
    <row r="277" spans="2:9" x14ac:dyDescent="0.2">
      <c r="B277" s="67" t="s">
        <v>187</v>
      </c>
      <c r="C277" s="68"/>
      <c r="D277" s="592"/>
      <c r="E277" s="592"/>
      <c r="F277" s="592"/>
      <c r="G277" s="592"/>
      <c r="H277" s="592"/>
      <c r="I277" s="593"/>
    </row>
    <row r="278" spans="2:9" x14ac:dyDescent="0.2">
      <c r="B278" s="588" t="s">
        <v>188</v>
      </c>
      <c r="C278" s="589"/>
      <c r="D278" s="96" t="s">
        <v>189</v>
      </c>
      <c r="E278" s="134" t="s">
        <v>190</v>
      </c>
      <c r="F278" s="111" t="s">
        <v>191</v>
      </c>
      <c r="G278" s="110" t="s">
        <v>192</v>
      </c>
      <c r="H278" s="112"/>
      <c r="I278" s="100" t="s">
        <v>193</v>
      </c>
    </row>
    <row r="279" spans="2:9" x14ac:dyDescent="0.2">
      <c r="B279" s="594" t="s">
        <v>194</v>
      </c>
      <c r="C279" s="595"/>
      <c r="D279" s="91" t="s">
        <v>195</v>
      </c>
      <c r="E279" s="135">
        <v>5</v>
      </c>
      <c r="F279" s="135">
        <f>SUM(I305)</f>
        <v>62996.7</v>
      </c>
      <c r="G279" s="116">
        <f>SUM(F279*5%)</f>
        <v>3149.835</v>
      </c>
      <c r="H279" s="69"/>
      <c r="I279" s="596"/>
    </row>
    <row r="280" spans="2:9" x14ac:dyDescent="0.2">
      <c r="B280" s="598" t="s">
        <v>196</v>
      </c>
      <c r="C280" s="599"/>
      <c r="D280" s="91" t="s">
        <v>195</v>
      </c>
      <c r="E280" s="135">
        <v>1.5</v>
      </c>
      <c r="F280" s="135">
        <f>SUM(I305)</f>
        <v>62996.7</v>
      </c>
      <c r="G280" s="116">
        <f>SUM(F280*1.5%)</f>
        <v>944.95049999999992</v>
      </c>
      <c r="H280" s="70"/>
      <c r="I280" s="597"/>
    </row>
    <row r="281" spans="2:9" x14ac:dyDescent="0.2">
      <c r="B281" s="600"/>
      <c r="C281" s="601"/>
      <c r="D281" s="91"/>
      <c r="E281" s="104"/>
      <c r="F281" s="104"/>
      <c r="G281" s="88">
        <f>SUM(E281*F281)</f>
        <v>0</v>
      </c>
      <c r="H281" s="70"/>
      <c r="I281" s="597"/>
    </row>
    <row r="282" spans="2:9" x14ac:dyDescent="0.2">
      <c r="B282" s="587"/>
      <c r="C282" s="585"/>
      <c r="D282" s="585"/>
      <c r="E282" s="585"/>
      <c r="F282" s="71"/>
      <c r="G282" s="72" t="s">
        <v>197</v>
      </c>
      <c r="H282" s="72"/>
      <c r="I282" s="94">
        <f>SUM(G279:G281)</f>
        <v>4094.7855</v>
      </c>
    </row>
    <row r="283" spans="2:9" x14ac:dyDescent="0.2">
      <c r="B283" s="73" t="s">
        <v>198</v>
      </c>
      <c r="C283" s="74"/>
      <c r="D283" s="75"/>
      <c r="E283" s="76"/>
      <c r="F283" s="77"/>
      <c r="G283" s="76"/>
      <c r="H283" s="76"/>
      <c r="I283" s="78"/>
    </row>
    <row r="284" spans="2:9" x14ac:dyDescent="0.2">
      <c r="B284" s="588" t="s">
        <v>188</v>
      </c>
      <c r="C284" s="589"/>
      <c r="D284" s="96" t="s">
        <v>199</v>
      </c>
      <c r="E284" s="110" t="s">
        <v>137</v>
      </c>
      <c r="F284" s="111" t="s">
        <v>200</v>
      </c>
      <c r="G284" s="110" t="s">
        <v>201</v>
      </c>
      <c r="H284" s="112"/>
      <c r="I284" s="100" t="s">
        <v>193</v>
      </c>
    </row>
    <row r="285" spans="2:9" x14ac:dyDescent="0.2">
      <c r="B285" s="590" t="s">
        <v>372</v>
      </c>
      <c r="C285" s="591"/>
      <c r="D285" s="79" t="s">
        <v>237</v>
      </c>
      <c r="E285" s="80">
        <v>1</v>
      </c>
      <c r="F285" s="81"/>
      <c r="G285" s="82">
        <f>145900</f>
        <v>145900</v>
      </c>
      <c r="H285" s="83"/>
      <c r="I285" s="90">
        <f t="shared" ref="I285:I293" si="6">(E285*(1+F285/100)) * (G285*(1+H285/100))</f>
        <v>145900</v>
      </c>
    </row>
    <row r="286" spans="2:9" x14ac:dyDescent="0.2">
      <c r="B286" s="590" t="s">
        <v>262</v>
      </c>
      <c r="C286" s="591"/>
      <c r="D286" s="79" t="s">
        <v>227</v>
      </c>
      <c r="E286" s="80">
        <v>1</v>
      </c>
      <c r="F286" s="87">
        <v>3</v>
      </c>
      <c r="G286" s="82">
        <f>1621*1.3</f>
        <v>2107.3000000000002</v>
      </c>
      <c r="H286" s="84"/>
      <c r="I286" s="90">
        <f t="shared" si="6"/>
        <v>2170.5190000000002</v>
      </c>
    </row>
    <row r="287" spans="2:9" x14ac:dyDescent="0.2">
      <c r="B287" s="590" t="s">
        <v>276</v>
      </c>
      <c r="C287" s="591"/>
      <c r="D287" s="79" t="s">
        <v>237</v>
      </c>
      <c r="E287" s="80">
        <v>1</v>
      </c>
      <c r="F287" s="87"/>
      <c r="G287" s="82">
        <f>4975*1.3</f>
        <v>6467.5</v>
      </c>
      <c r="H287" s="85"/>
      <c r="I287" s="90">
        <f t="shared" si="6"/>
        <v>6467.5</v>
      </c>
    </row>
    <row r="288" spans="2:9" x14ac:dyDescent="0.2">
      <c r="B288" s="590" t="s">
        <v>277</v>
      </c>
      <c r="C288" s="591"/>
      <c r="D288" s="79" t="s">
        <v>237</v>
      </c>
      <c r="E288" s="80">
        <v>1</v>
      </c>
      <c r="F288" s="87"/>
      <c r="G288" s="82">
        <f>71900</f>
        <v>71900</v>
      </c>
      <c r="H288" s="85"/>
      <c r="I288" s="90">
        <f t="shared" si="6"/>
        <v>71900</v>
      </c>
    </row>
    <row r="289" spans="2:9" x14ac:dyDescent="0.2">
      <c r="B289" s="590" t="s">
        <v>278</v>
      </c>
      <c r="C289" s="591"/>
      <c r="D289" s="79" t="s">
        <v>237</v>
      </c>
      <c r="E289" s="80">
        <v>1</v>
      </c>
      <c r="F289" s="87"/>
      <c r="G289" s="82">
        <f>26900</f>
        <v>26900</v>
      </c>
      <c r="H289" s="85"/>
      <c r="I289" s="90">
        <f t="shared" si="6"/>
        <v>26900</v>
      </c>
    </row>
    <row r="290" spans="2:9" x14ac:dyDescent="0.2">
      <c r="B290" s="590"/>
      <c r="C290" s="591"/>
      <c r="D290" s="79"/>
      <c r="E290" s="80"/>
      <c r="F290" s="87"/>
      <c r="G290" s="82"/>
      <c r="H290" s="85"/>
      <c r="I290" s="90">
        <f t="shared" si="6"/>
        <v>0</v>
      </c>
    </row>
    <row r="291" spans="2:9" x14ac:dyDescent="0.2">
      <c r="B291" s="590"/>
      <c r="C291" s="591"/>
      <c r="D291" s="86"/>
      <c r="E291" s="80"/>
      <c r="F291" s="87"/>
      <c r="G291" s="82"/>
      <c r="H291" s="85"/>
      <c r="I291" s="90">
        <f t="shared" si="6"/>
        <v>0</v>
      </c>
    </row>
    <row r="292" spans="2:9" x14ac:dyDescent="0.2">
      <c r="B292" s="562"/>
      <c r="C292" s="563"/>
      <c r="D292" s="91"/>
      <c r="E292" s="80"/>
      <c r="F292" s="87"/>
      <c r="G292" s="88"/>
      <c r="H292" s="89"/>
      <c r="I292" s="90">
        <f t="shared" si="6"/>
        <v>0</v>
      </c>
    </row>
    <row r="293" spans="2:9" x14ac:dyDescent="0.2">
      <c r="B293" s="562"/>
      <c r="C293" s="563"/>
      <c r="D293" s="91"/>
      <c r="E293" s="80"/>
      <c r="F293" s="87"/>
      <c r="G293" s="88"/>
      <c r="H293" s="89"/>
      <c r="I293" s="90">
        <f t="shared" si="6"/>
        <v>0</v>
      </c>
    </row>
    <row r="294" spans="2:9" x14ac:dyDescent="0.2">
      <c r="B294" s="92"/>
      <c r="C294" s="76"/>
      <c r="D294" s="75"/>
      <c r="E294" s="76"/>
      <c r="F294" s="585" t="s">
        <v>202</v>
      </c>
      <c r="G294" s="586"/>
      <c r="H294" s="93"/>
      <c r="I294" s="94">
        <f>SUM(I285:I293)</f>
        <v>253338.019</v>
      </c>
    </row>
    <row r="295" spans="2:9" ht="14.25" x14ac:dyDescent="0.2">
      <c r="B295" s="73" t="s">
        <v>203</v>
      </c>
      <c r="C295" s="74"/>
      <c r="D295" s="75"/>
      <c r="E295" s="76"/>
      <c r="F295" s="77"/>
      <c r="G295" s="76"/>
      <c r="H295" s="76"/>
      <c r="I295" s="95"/>
    </row>
    <row r="296" spans="2:9" x14ac:dyDescent="0.2">
      <c r="B296" s="588" t="s">
        <v>188</v>
      </c>
      <c r="C296" s="589"/>
      <c r="D296" s="96" t="s">
        <v>204</v>
      </c>
      <c r="E296" s="97" t="s">
        <v>205</v>
      </c>
      <c r="F296" s="98" t="s">
        <v>206</v>
      </c>
      <c r="G296" s="97" t="s">
        <v>207</v>
      </c>
      <c r="H296" s="99"/>
      <c r="I296" s="100" t="s">
        <v>193</v>
      </c>
    </row>
    <row r="297" spans="2:9" x14ac:dyDescent="0.2">
      <c r="B297" s="623"/>
      <c r="C297" s="624"/>
      <c r="D297" s="137"/>
      <c r="E297" s="101"/>
      <c r="F297" s="102"/>
      <c r="G297" s="82">
        <f>+D297*F297</f>
        <v>0</v>
      </c>
      <c r="H297" s="83"/>
      <c r="I297" s="103"/>
    </row>
    <row r="298" spans="2:9" x14ac:dyDescent="0.2">
      <c r="B298" s="623"/>
      <c r="C298" s="624"/>
      <c r="D298" s="137"/>
      <c r="E298" s="101"/>
      <c r="F298" s="104"/>
      <c r="G298" s="82">
        <f>+D298*F298</f>
        <v>0</v>
      </c>
      <c r="H298" s="85"/>
      <c r="I298" s="103"/>
    </row>
    <row r="299" spans="2:9" x14ac:dyDescent="0.2">
      <c r="B299" s="105"/>
      <c r="C299" s="106"/>
      <c r="D299" s="75"/>
      <c r="E299" s="106"/>
      <c r="F299" s="107" t="s">
        <v>208</v>
      </c>
      <c r="G299" s="106"/>
      <c r="H299" s="108"/>
      <c r="I299" s="109">
        <f>SUM(G297:G298)</f>
        <v>0</v>
      </c>
    </row>
    <row r="300" spans="2:9" ht="14.25" x14ac:dyDescent="0.2">
      <c r="B300" s="73" t="s">
        <v>209</v>
      </c>
      <c r="C300" s="76"/>
      <c r="D300" s="75"/>
      <c r="E300" s="76"/>
      <c r="F300" s="77"/>
      <c r="G300" s="76"/>
      <c r="H300" s="76"/>
      <c r="I300" s="95"/>
    </row>
    <row r="301" spans="2:9" x14ac:dyDescent="0.2">
      <c r="B301" s="588" t="s">
        <v>188</v>
      </c>
      <c r="C301" s="589"/>
      <c r="D301" s="96" t="s">
        <v>136</v>
      </c>
      <c r="E301" s="110" t="s">
        <v>137</v>
      </c>
      <c r="F301" s="111" t="s">
        <v>201</v>
      </c>
      <c r="G301" s="112" t="s">
        <v>205</v>
      </c>
      <c r="H301" s="112"/>
      <c r="I301" s="100" t="s">
        <v>193</v>
      </c>
    </row>
    <row r="302" spans="2:9" ht="24" customHeight="1" x14ac:dyDescent="0.2">
      <c r="B302" s="590" t="s">
        <v>244</v>
      </c>
      <c r="C302" s="591"/>
      <c r="D302" s="91" t="s">
        <v>211</v>
      </c>
      <c r="E302" s="88">
        <v>1</v>
      </c>
      <c r="F302" s="104">
        <f>+(80000+50000*1)*1.671</f>
        <v>217230</v>
      </c>
      <c r="G302" s="113">
        <v>0.28999999999999998</v>
      </c>
      <c r="H302" s="114"/>
      <c r="I302" s="115">
        <f>SUM(F302*E302)*G302</f>
        <v>62996.7</v>
      </c>
    </row>
    <row r="303" spans="2:9" x14ac:dyDescent="0.2">
      <c r="B303" s="627"/>
      <c r="C303" s="617"/>
      <c r="D303" s="91"/>
      <c r="E303" s="116"/>
      <c r="F303" s="117"/>
      <c r="G303" s="114"/>
      <c r="H303" s="114"/>
      <c r="I303" s="94">
        <f>SUM(F303*E303)*G303</f>
        <v>0</v>
      </c>
    </row>
    <row r="304" spans="2:9" x14ac:dyDescent="0.2">
      <c r="B304" s="598"/>
      <c r="C304" s="599"/>
      <c r="D304" s="91"/>
      <c r="E304" s="118"/>
      <c r="F304" s="117"/>
      <c r="G304" s="114"/>
      <c r="H304" s="114"/>
      <c r="I304" s="94">
        <f>SUM(F304*E304)*G304</f>
        <v>0</v>
      </c>
    </row>
    <row r="305" spans="2:9" x14ac:dyDescent="0.2">
      <c r="B305" s="92"/>
      <c r="C305" s="76"/>
      <c r="D305" s="75"/>
      <c r="E305" s="76"/>
      <c r="F305" s="605" t="s">
        <v>212</v>
      </c>
      <c r="G305" s="605"/>
      <c r="H305" s="119"/>
      <c r="I305" s="94">
        <f>I302</f>
        <v>62996.7</v>
      </c>
    </row>
    <row r="306" spans="2:9" ht="13.5" thickBot="1" x14ac:dyDescent="0.25">
      <c r="B306" s="92"/>
      <c r="C306" s="76"/>
      <c r="D306" s="75"/>
      <c r="E306" s="76"/>
      <c r="F306" s="120"/>
      <c r="G306" s="119"/>
      <c r="H306" s="119"/>
      <c r="I306" s="78"/>
    </row>
    <row r="307" spans="2:9" ht="13.5" thickBot="1" x14ac:dyDescent="0.25">
      <c r="B307" s="92"/>
      <c r="C307" s="76"/>
      <c r="D307" s="75"/>
      <c r="E307" s="606" t="s">
        <v>213</v>
      </c>
      <c r="F307" s="606"/>
      <c r="G307" s="606"/>
      <c r="H307" s="121"/>
      <c r="I307" s="122">
        <f>ROUND(SUM(I282+I294+I299+I305),0)</f>
        <v>320430</v>
      </c>
    </row>
    <row r="308" spans="2:9" ht="15" thickBot="1" x14ac:dyDescent="0.25">
      <c r="B308" s="73" t="s">
        <v>214</v>
      </c>
      <c r="C308" s="76"/>
      <c r="D308" s="123"/>
      <c r="E308" s="124"/>
      <c r="F308" s="77"/>
      <c r="G308" s="76"/>
      <c r="H308" s="76"/>
      <c r="I308" s="78"/>
    </row>
    <row r="309" spans="2:9" x14ac:dyDescent="0.2">
      <c r="B309" s="607" t="s">
        <v>215</v>
      </c>
      <c r="C309" s="608"/>
      <c r="D309" s="613" t="s">
        <v>216</v>
      </c>
      <c r="E309" s="614"/>
      <c r="F309" s="125" t="s">
        <v>195</v>
      </c>
      <c r="G309" s="126" t="s">
        <v>217</v>
      </c>
      <c r="H309" s="127"/>
      <c r="I309" s="615"/>
    </row>
    <row r="310" spans="2:9" x14ac:dyDescent="0.2">
      <c r="B310" s="609"/>
      <c r="C310" s="610"/>
      <c r="D310" s="617" t="s">
        <v>218</v>
      </c>
      <c r="E310" s="618"/>
      <c r="F310" s="128">
        <v>25</v>
      </c>
      <c r="G310" s="116">
        <f>I307*20%</f>
        <v>64086</v>
      </c>
      <c r="H310" s="129"/>
      <c r="I310" s="616"/>
    </row>
    <row r="311" spans="2:9" x14ac:dyDescent="0.2">
      <c r="B311" s="609"/>
      <c r="C311" s="610"/>
      <c r="D311" s="617" t="s">
        <v>168</v>
      </c>
      <c r="E311" s="618"/>
      <c r="F311" s="128">
        <v>5</v>
      </c>
      <c r="G311" s="116">
        <f>I307*5%</f>
        <v>16021.5</v>
      </c>
      <c r="H311" s="129"/>
      <c r="I311" s="616"/>
    </row>
    <row r="312" spans="2:9" x14ac:dyDescent="0.2">
      <c r="B312" s="609"/>
      <c r="C312" s="610"/>
      <c r="D312" s="619" t="s">
        <v>219</v>
      </c>
      <c r="E312" s="617"/>
      <c r="F312" s="128">
        <f>SUM(F310:F311)</f>
        <v>30</v>
      </c>
      <c r="G312" s="116">
        <f>SUM(G310:G311)</f>
        <v>80107.5</v>
      </c>
      <c r="H312" s="129"/>
      <c r="I312" s="616"/>
    </row>
    <row r="313" spans="2:9" ht="15" thickBot="1" x14ac:dyDescent="0.25">
      <c r="B313" s="609"/>
      <c r="C313" s="610"/>
      <c r="D313" s="130"/>
      <c r="E313" s="620" t="s">
        <v>220</v>
      </c>
      <c r="F313" s="621"/>
      <c r="G313" s="622"/>
      <c r="H313" s="38"/>
      <c r="I313" s="131">
        <f>SUM(G312:G312)</f>
        <v>80107.5</v>
      </c>
    </row>
    <row r="314" spans="2:9" ht="16.5" thickBot="1" x14ac:dyDescent="0.3">
      <c r="B314" s="611"/>
      <c r="C314" s="612"/>
      <c r="D314" s="628" t="s">
        <v>221</v>
      </c>
      <c r="E314" s="629"/>
      <c r="F314" s="630"/>
      <c r="G314" s="602">
        <f>SUM(I307+I313)</f>
        <v>400537.5</v>
      </c>
      <c r="H314" s="603"/>
      <c r="I314" s="604"/>
    </row>
  </sheetData>
  <mergeCells count="301">
    <mergeCell ref="D314:F314"/>
    <mergeCell ref="G314:I314"/>
    <mergeCell ref="B304:C304"/>
    <mergeCell ref="F305:G305"/>
    <mergeCell ref="E307:G307"/>
    <mergeCell ref="B309:C314"/>
    <mergeCell ref="D309:E309"/>
    <mergeCell ref="I309:I312"/>
    <mergeCell ref="D310:E310"/>
    <mergeCell ref="D311:E311"/>
    <mergeCell ref="D312:E312"/>
    <mergeCell ref="E313:G313"/>
    <mergeCell ref="B296:C296"/>
    <mergeCell ref="B297:C297"/>
    <mergeCell ref="B298:C298"/>
    <mergeCell ref="B301:C301"/>
    <mergeCell ref="B302:C302"/>
    <mergeCell ref="B303:C303"/>
    <mergeCell ref="B289:C289"/>
    <mergeCell ref="B290:C290"/>
    <mergeCell ref="B291:C291"/>
    <mergeCell ref="B292:C292"/>
    <mergeCell ref="B293:C293"/>
    <mergeCell ref="F294:G294"/>
    <mergeCell ref="B282:E282"/>
    <mergeCell ref="B284:C284"/>
    <mergeCell ref="B285:C285"/>
    <mergeCell ref="B286:C286"/>
    <mergeCell ref="B287:C287"/>
    <mergeCell ref="B288:C288"/>
    <mergeCell ref="B274:D274"/>
    <mergeCell ref="E274:I276"/>
    <mergeCell ref="B276:C276"/>
    <mergeCell ref="D277:I277"/>
    <mergeCell ref="B278:C278"/>
    <mergeCell ref="B279:C279"/>
    <mergeCell ref="I279:I281"/>
    <mergeCell ref="B280:C280"/>
    <mergeCell ref="B281:C281"/>
    <mergeCell ref="D269:F269"/>
    <mergeCell ref="G269:I269"/>
    <mergeCell ref="B271:I271"/>
    <mergeCell ref="C272:F272"/>
    <mergeCell ref="B273:D273"/>
    <mergeCell ref="E273:I273"/>
    <mergeCell ref="B259:C259"/>
    <mergeCell ref="F260:G260"/>
    <mergeCell ref="E262:G262"/>
    <mergeCell ref="B264:C269"/>
    <mergeCell ref="D264:E264"/>
    <mergeCell ref="I264:I267"/>
    <mergeCell ref="D265:E265"/>
    <mergeCell ref="D266:E266"/>
    <mergeCell ref="D267:E267"/>
    <mergeCell ref="E268:G268"/>
    <mergeCell ref="B251:C251"/>
    <mergeCell ref="B252:C252"/>
    <mergeCell ref="B253:C253"/>
    <mergeCell ref="B256:C256"/>
    <mergeCell ref="B257:C257"/>
    <mergeCell ref="B258:C258"/>
    <mergeCell ref="B244:C244"/>
    <mergeCell ref="B245:C245"/>
    <mergeCell ref="B246:C246"/>
    <mergeCell ref="B247:C247"/>
    <mergeCell ref="B248:C248"/>
    <mergeCell ref="F249:G249"/>
    <mergeCell ref="B237:E237"/>
    <mergeCell ref="B239:C239"/>
    <mergeCell ref="B240:C240"/>
    <mergeCell ref="B241:C241"/>
    <mergeCell ref="B242:C242"/>
    <mergeCell ref="B243:C243"/>
    <mergeCell ref="B229:D229"/>
    <mergeCell ref="E229:I231"/>
    <mergeCell ref="B231:C231"/>
    <mergeCell ref="D232:I232"/>
    <mergeCell ref="B233:C233"/>
    <mergeCell ref="B234:C234"/>
    <mergeCell ref="I234:I236"/>
    <mergeCell ref="B235:C235"/>
    <mergeCell ref="B236:C236"/>
    <mergeCell ref="D224:F224"/>
    <mergeCell ref="G224:I224"/>
    <mergeCell ref="B226:I226"/>
    <mergeCell ref="C227:F227"/>
    <mergeCell ref="B228:D228"/>
    <mergeCell ref="E228:I228"/>
    <mergeCell ref="B214:C214"/>
    <mergeCell ref="F215:G215"/>
    <mergeCell ref="E217:G217"/>
    <mergeCell ref="B219:C224"/>
    <mergeCell ref="D219:E219"/>
    <mergeCell ref="I219:I222"/>
    <mergeCell ref="D220:E220"/>
    <mergeCell ref="D221:E221"/>
    <mergeCell ref="D222:E222"/>
    <mergeCell ref="E223:G223"/>
    <mergeCell ref="B206:C206"/>
    <mergeCell ref="B207:C207"/>
    <mergeCell ref="B208:C208"/>
    <mergeCell ref="B211:C211"/>
    <mergeCell ref="B212:C212"/>
    <mergeCell ref="B213:C213"/>
    <mergeCell ref="B199:C199"/>
    <mergeCell ref="B200:C200"/>
    <mergeCell ref="B201:C201"/>
    <mergeCell ref="B202:C202"/>
    <mergeCell ref="B203:C203"/>
    <mergeCell ref="B181:I181"/>
    <mergeCell ref="C182:F182"/>
    <mergeCell ref="B183:D183"/>
    <mergeCell ref="E183:I183"/>
    <mergeCell ref="F204:G204"/>
    <mergeCell ref="B192:E192"/>
    <mergeCell ref="B194:C194"/>
    <mergeCell ref="B195:C195"/>
    <mergeCell ref="B196:C196"/>
    <mergeCell ref="B197:C197"/>
    <mergeCell ref="B198:C198"/>
    <mergeCell ref="B184:D184"/>
    <mergeCell ref="E184:I186"/>
    <mergeCell ref="B186:C186"/>
    <mergeCell ref="D187:I187"/>
    <mergeCell ref="B188:C188"/>
    <mergeCell ref="B189:C189"/>
    <mergeCell ref="I189:I191"/>
    <mergeCell ref="B190:C190"/>
    <mergeCell ref="B191:C191"/>
    <mergeCell ref="D179:F179"/>
    <mergeCell ref="G179:I179"/>
    <mergeCell ref="B169:C169"/>
    <mergeCell ref="F170:G170"/>
    <mergeCell ref="E172:G172"/>
    <mergeCell ref="B174:C179"/>
    <mergeCell ref="D174:E174"/>
    <mergeCell ref="I174:I177"/>
    <mergeCell ref="D175:E175"/>
    <mergeCell ref="D176:E176"/>
    <mergeCell ref="D177:E177"/>
    <mergeCell ref="E178:G178"/>
    <mergeCell ref="B161:C161"/>
    <mergeCell ref="B162:C162"/>
    <mergeCell ref="B163:C163"/>
    <mergeCell ref="B166:C166"/>
    <mergeCell ref="B167:C167"/>
    <mergeCell ref="B168:C168"/>
    <mergeCell ref="B154:C154"/>
    <mergeCell ref="B155:C155"/>
    <mergeCell ref="B156:C156"/>
    <mergeCell ref="B157:C157"/>
    <mergeCell ref="B158:C158"/>
    <mergeCell ref="F159:G159"/>
    <mergeCell ref="B147:E147"/>
    <mergeCell ref="B149:C149"/>
    <mergeCell ref="B150:C150"/>
    <mergeCell ref="B151:C151"/>
    <mergeCell ref="B152:C152"/>
    <mergeCell ref="B153:C153"/>
    <mergeCell ref="D142:I142"/>
    <mergeCell ref="B143:C143"/>
    <mergeCell ref="B144:C144"/>
    <mergeCell ref="I144:I145"/>
    <mergeCell ref="B145:C145"/>
    <mergeCell ref="B146:C146"/>
    <mergeCell ref="B136:I136"/>
    <mergeCell ref="C137:F137"/>
    <mergeCell ref="B138:D138"/>
    <mergeCell ref="E138:I138"/>
    <mergeCell ref="B139:D139"/>
    <mergeCell ref="E139:I141"/>
    <mergeCell ref="B141:C141"/>
    <mergeCell ref="I129:I132"/>
    <mergeCell ref="D130:E130"/>
    <mergeCell ref="D131:E131"/>
    <mergeCell ref="D132:E132"/>
    <mergeCell ref="E133:G133"/>
    <mergeCell ref="D134:F134"/>
    <mergeCell ref="G134:I134"/>
    <mergeCell ref="B123:C123"/>
    <mergeCell ref="B124:C124"/>
    <mergeCell ref="F125:G125"/>
    <mergeCell ref="E127:G127"/>
    <mergeCell ref="B129:C134"/>
    <mergeCell ref="D129:E129"/>
    <mergeCell ref="F114:G114"/>
    <mergeCell ref="B116:C116"/>
    <mergeCell ref="B117:C117"/>
    <mergeCell ref="B118:C118"/>
    <mergeCell ref="B121:C121"/>
    <mergeCell ref="B122:C122"/>
    <mergeCell ref="B108:C108"/>
    <mergeCell ref="B109:C109"/>
    <mergeCell ref="B110:C110"/>
    <mergeCell ref="B111:C111"/>
    <mergeCell ref="B112:C112"/>
    <mergeCell ref="B113:C113"/>
    <mergeCell ref="B101:C101"/>
    <mergeCell ref="B102:E102"/>
    <mergeCell ref="B104:C104"/>
    <mergeCell ref="B105:C105"/>
    <mergeCell ref="B106:C106"/>
    <mergeCell ref="B107:C107"/>
    <mergeCell ref="B94:D94"/>
    <mergeCell ref="E94:I96"/>
    <mergeCell ref="B96:C96"/>
    <mergeCell ref="D97:I97"/>
    <mergeCell ref="B98:C98"/>
    <mergeCell ref="B99:C99"/>
    <mergeCell ref="I99:I100"/>
    <mergeCell ref="B100:C100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6" manualBreakCount="6">
    <brk id="45" min="1" max="8" man="1"/>
    <brk id="90" min="1" max="8" man="1"/>
    <brk id="135" min="1" max="8" man="1"/>
    <brk id="180" min="1" max="8" man="1"/>
    <brk id="225" min="1" max="8" man="1"/>
    <brk id="270" min="1" max="8" man="1"/>
  </row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3333FF"/>
    <pageSetUpPr fitToPage="1"/>
  </sheetPr>
  <dimension ref="B1:I179"/>
  <sheetViews>
    <sheetView view="pageBreakPreview" topLeftCell="A172" zoomScale="130" zoomScaleNormal="130" zoomScaleSheetLayoutView="130" workbookViewId="0">
      <selection activeCell="A181" sqref="A181:XFD225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2.6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85</v>
      </c>
      <c r="F4" s="575"/>
      <c r="G4" s="575"/>
      <c r="H4" s="575"/>
      <c r="I4" s="576"/>
    </row>
    <row r="5" spans="2:9" ht="13.5" thickBot="1" x14ac:dyDescent="0.25">
      <c r="B5" s="63" t="s">
        <v>225</v>
      </c>
      <c r="C5" s="64" t="s">
        <v>185</v>
      </c>
      <c r="D5" s="65" t="s">
        <v>84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152061</v>
      </c>
      <c r="G9" s="116">
        <f>SUM(F9*5%)</f>
        <v>7603.05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152061</v>
      </c>
      <c r="G10" s="116">
        <f>SUM(F10*1.5%)</f>
        <v>2280.915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9883.9650000000001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281</v>
      </c>
      <c r="C15" s="591"/>
      <c r="D15" s="79" t="s">
        <v>39</v>
      </c>
      <c r="E15" s="80">
        <v>1</v>
      </c>
      <c r="F15" s="81"/>
      <c r="G15" s="82">
        <v>600000</v>
      </c>
      <c r="H15" s="83"/>
      <c r="I15" s="90">
        <f t="shared" ref="I15:I23" si="0">(E15*(1+F15/100)) * (G15*(1+H15/100))</f>
        <v>600000</v>
      </c>
    </row>
    <row r="16" spans="2:9" x14ac:dyDescent="0.2">
      <c r="B16" s="590"/>
      <c r="C16" s="591"/>
      <c r="D16" s="79"/>
      <c r="E16" s="80"/>
      <c r="F16" s="136"/>
      <c r="G16" s="82"/>
      <c r="H16" s="84"/>
      <c r="I16" s="90">
        <f t="shared" si="0"/>
        <v>0</v>
      </c>
    </row>
    <row r="17" spans="2:9" x14ac:dyDescent="0.2">
      <c r="B17" s="590"/>
      <c r="C17" s="591"/>
      <c r="D17" s="79"/>
      <c r="E17" s="80"/>
      <c r="F17" s="87"/>
      <c r="G17" s="82"/>
      <c r="H17" s="85"/>
      <c r="I17" s="90">
        <f t="shared" si="0"/>
        <v>0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600000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34.5" customHeight="1" x14ac:dyDescent="0.2">
      <c r="B32" s="590" t="s">
        <v>282</v>
      </c>
      <c r="C32" s="591"/>
      <c r="D32" s="91" t="s">
        <v>211</v>
      </c>
      <c r="E32" s="88">
        <v>1</v>
      </c>
      <c r="F32" s="104">
        <f>+(80000+50000*1)*1.671</f>
        <v>217230</v>
      </c>
      <c r="G32" s="113">
        <v>0.7</v>
      </c>
      <c r="H32" s="114"/>
      <c r="I32" s="115">
        <f>SUM(F32*E32)*G32</f>
        <v>152061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152061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761945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152389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38097.25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190486.25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190486.25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952431.25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415</v>
      </c>
      <c r="F49" s="575"/>
      <c r="G49" s="575"/>
      <c r="H49" s="575"/>
      <c r="I49" s="576"/>
    </row>
    <row r="50" spans="2:9" ht="13.5" thickBot="1" x14ac:dyDescent="0.25">
      <c r="B50" s="63" t="s">
        <v>275</v>
      </c>
      <c r="C50" s="64" t="s">
        <v>185</v>
      </c>
      <c r="D50" s="65" t="s">
        <v>86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173784</v>
      </c>
      <c r="G54" s="116">
        <f>SUM(F54*5%)</f>
        <v>8689.2000000000007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173784</v>
      </c>
      <c r="G55" s="116">
        <f>SUM(F55*1.5%)</f>
        <v>2606.7599999999998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11295.960000000001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631" t="s">
        <v>416</v>
      </c>
      <c r="C60" s="632"/>
      <c r="D60" s="79" t="s">
        <v>424</v>
      </c>
      <c r="E60" s="80">
        <v>1.05</v>
      </c>
      <c r="F60" s="81"/>
      <c r="G60" s="82">
        <v>2690.04</v>
      </c>
      <c r="H60" s="83"/>
      <c r="I60" s="90">
        <f t="shared" ref="I60:I68" si="1">(E60*(1+F60/100)) * (G60*(1+H60/100))</f>
        <v>2824.5419999999999</v>
      </c>
    </row>
    <row r="61" spans="2:9" x14ac:dyDescent="0.2">
      <c r="B61" s="631" t="s">
        <v>417</v>
      </c>
      <c r="C61" s="632"/>
      <c r="D61" s="79" t="s">
        <v>425</v>
      </c>
      <c r="E61" s="80">
        <v>0.7</v>
      </c>
      <c r="F61" s="136"/>
      <c r="G61" s="82">
        <v>7324</v>
      </c>
      <c r="H61" s="84"/>
      <c r="I61" s="90">
        <f t="shared" si="1"/>
        <v>5126.7999999999993</v>
      </c>
    </row>
    <row r="62" spans="2:9" x14ac:dyDescent="0.2">
      <c r="B62" s="631" t="s">
        <v>418</v>
      </c>
      <c r="C62" s="632"/>
      <c r="D62" s="79" t="s">
        <v>426</v>
      </c>
      <c r="E62" s="80">
        <v>0.4</v>
      </c>
      <c r="F62" s="87"/>
      <c r="G62" s="82">
        <v>44943</v>
      </c>
      <c r="H62" s="85"/>
      <c r="I62" s="90">
        <f t="shared" si="1"/>
        <v>17977.2</v>
      </c>
    </row>
    <row r="63" spans="2:9" x14ac:dyDescent="0.2">
      <c r="B63" s="631" t="s">
        <v>419</v>
      </c>
      <c r="C63" s="632"/>
      <c r="D63" s="79" t="s">
        <v>199</v>
      </c>
      <c r="E63" s="80">
        <v>1</v>
      </c>
      <c r="F63" s="87"/>
      <c r="G63" s="82">
        <v>83657</v>
      </c>
      <c r="H63" s="85"/>
      <c r="I63" s="90">
        <f t="shared" si="1"/>
        <v>83657</v>
      </c>
    </row>
    <row r="64" spans="2:9" x14ac:dyDescent="0.2">
      <c r="B64" s="631" t="s">
        <v>420</v>
      </c>
      <c r="C64" s="632"/>
      <c r="D64" s="79" t="s">
        <v>199</v>
      </c>
      <c r="E64" s="80">
        <v>1.75</v>
      </c>
      <c r="F64" s="87"/>
      <c r="G64" s="82">
        <v>2881.4399999999996</v>
      </c>
      <c r="H64" s="85"/>
      <c r="I64" s="90">
        <f t="shared" si="1"/>
        <v>5042.5199999999995</v>
      </c>
    </row>
    <row r="65" spans="2:9" x14ac:dyDescent="0.2">
      <c r="B65" s="631" t="s">
        <v>421</v>
      </c>
      <c r="C65" s="632"/>
      <c r="D65" s="79" t="s">
        <v>427</v>
      </c>
      <c r="E65" s="80">
        <v>1</v>
      </c>
      <c r="F65" s="87"/>
      <c r="G65" s="82">
        <v>61711.999999999993</v>
      </c>
      <c r="H65" s="85"/>
      <c r="I65" s="90">
        <f t="shared" si="1"/>
        <v>61711.999999999993</v>
      </c>
    </row>
    <row r="66" spans="2:9" x14ac:dyDescent="0.2">
      <c r="B66" s="631" t="s">
        <v>422</v>
      </c>
      <c r="C66" s="632"/>
      <c r="D66" s="86" t="s">
        <v>426</v>
      </c>
      <c r="E66" s="80">
        <v>1</v>
      </c>
      <c r="F66" s="87"/>
      <c r="G66" s="82">
        <v>61225</v>
      </c>
      <c r="H66" s="85"/>
      <c r="I66" s="90">
        <f t="shared" si="1"/>
        <v>61225</v>
      </c>
    </row>
    <row r="67" spans="2:9" x14ac:dyDescent="0.2">
      <c r="B67" s="631" t="s">
        <v>423</v>
      </c>
      <c r="C67" s="632"/>
      <c r="D67" s="91" t="s">
        <v>426</v>
      </c>
      <c r="E67" s="80">
        <v>0.4</v>
      </c>
      <c r="F67" s="87"/>
      <c r="G67" s="88">
        <v>83427</v>
      </c>
      <c r="H67" s="89"/>
      <c r="I67" s="90">
        <f t="shared" si="1"/>
        <v>33370.800000000003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270935.86200000002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34.5" customHeight="1" x14ac:dyDescent="0.2">
      <c r="B77" s="590" t="s">
        <v>282</v>
      </c>
      <c r="C77" s="591"/>
      <c r="D77" s="91" t="s">
        <v>211</v>
      </c>
      <c r="E77" s="88">
        <v>1</v>
      </c>
      <c r="F77" s="104">
        <f>+(80000+50000*1)*1.671</f>
        <v>217230</v>
      </c>
      <c r="G77" s="113">
        <v>0.8</v>
      </c>
      <c r="H77" s="114"/>
      <c r="I77" s="115">
        <f>SUM(F77*E77)*G77</f>
        <v>173784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173784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456016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91203.200000000012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22800.800000000003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114004.00000000001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114004.00000000001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570020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441</v>
      </c>
      <c r="F94" s="575"/>
      <c r="G94" s="575"/>
      <c r="H94" s="575"/>
      <c r="I94" s="576"/>
    </row>
    <row r="95" spans="2:9" ht="13.5" thickBot="1" x14ac:dyDescent="0.25">
      <c r="B95" s="63" t="s">
        <v>184</v>
      </c>
      <c r="C95" s="64" t="s">
        <v>185</v>
      </c>
      <c r="D95" s="65" t="s">
        <v>87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83633.55</v>
      </c>
      <c r="G99" s="116">
        <f>SUM(F99*5%)</f>
        <v>4181.6775000000007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83633.55</v>
      </c>
      <c r="G100" s="116">
        <f>SUM(F100*1.5%)</f>
        <v>1254.50325</v>
      </c>
      <c r="H100" s="70"/>
      <c r="I100" s="597"/>
    </row>
    <row r="101" spans="2:9" x14ac:dyDescent="0.2">
      <c r="B101" s="600" t="s">
        <v>223</v>
      </c>
      <c r="C101" s="601"/>
      <c r="D101" s="91"/>
      <c r="E101" s="104">
        <v>8</v>
      </c>
      <c r="F101" s="104">
        <v>1010</v>
      </c>
      <c r="G101" s="88">
        <f>SUM(E101*F101)</f>
        <v>8080</v>
      </c>
      <c r="H101" s="89"/>
      <c r="I101" s="138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SUM(G99:H101)</f>
        <v>13516.18075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 t="s">
        <v>283</v>
      </c>
      <c r="C105" s="591"/>
      <c r="D105" s="79" t="s">
        <v>20</v>
      </c>
      <c r="E105" s="80">
        <v>1</v>
      </c>
      <c r="F105" s="81"/>
      <c r="G105" s="82">
        <f>234900*1.3</f>
        <v>305370</v>
      </c>
      <c r="H105" s="83"/>
      <c r="I105" s="90">
        <f t="shared" ref="I105:I113" si="2">(E105*(1+F105/100)) * (G105*(1+H105/100))</f>
        <v>305370</v>
      </c>
    </row>
    <row r="106" spans="2:9" x14ac:dyDescent="0.2">
      <c r="B106" s="590" t="s">
        <v>284</v>
      </c>
      <c r="C106" s="591"/>
      <c r="D106" s="79" t="s">
        <v>20</v>
      </c>
      <c r="E106" s="80">
        <v>1</v>
      </c>
      <c r="F106" s="87">
        <v>1</v>
      </c>
      <c r="G106" s="82">
        <f>130000*1.2</f>
        <v>156000</v>
      </c>
      <c r="H106" s="84"/>
      <c r="I106" s="90">
        <f t="shared" si="2"/>
        <v>157560</v>
      </c>
    </row>
    <row r="107" spans="2:9" x14ac:dyDescent="0.2">
      <c r="B107" s="590" t="s">
        <v>285</v>
      </c>
      <c r="C107" s="591"/>
      <c r="D107" s="79" t="s">
        <v>20</v>
      </c>
      <c r="E107" s="80">
        <v>1</v>
      </c>
      <c r="F107" s="87">
        <v>1</v>
      </c>
      <c r="G107" s="82">
        <v>50720</v>
      </c>
      <c r="H107" s="85"/>
      <c r="I107" s="90">
        <f t="shared" si="2"/>
        <v>51227.199999999997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514157.2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21.6" customHeight="1" x14ac:dyDescent="0.2">
      <c r="B122" s="590" t="s">
        <v>244</v>
      </c>
      <c r="C122" s="591"/>
      <c r="D122" s="91" t="s">
        <v>211</v>
      </c>
      <c r="E122" s="88">
        <v>0.7</v>
      </c>
      <c r="F122" s="104">
        <f>+(80000+50000*1)*1.671</f>
        <v>217230</v>
      </c>
      <c r="G122" s="113">
        <v>0.55000000000000004</v>
      </c>
      <c r="H122" s="114"/>
      <c r="I122" s="115">
        <f>SUM(F122*E122)*G122</f>
        <v>83633.55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83633.55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611307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122261.40000000001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30565.350000000002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152826.75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152826.75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764133.75</v>
      </c>
      <c r="H134" s="603"/>
      <c r="I134" s="604"/>
    </row>
    <row r="136" spans="2:9" ht="18.75" thickBot="1" x14ac:dyDescent="0.3">
      <c r="B136" s="564" t="s">
        <v>180</v>
      </c>
      <c r="C136" s="564"/>
      <c r="D136" s="564"/>
      <c r="E136" s="564"/>
      <c r="F136" s="564"/>
      <c r="G136" s="564"/>
      <c r="H136" s="564"/>
      <c r="I136" s="564"/>
    </row>
    <row r="137" spans="2:9" ht="15.75" thickBot="1" x14ac:dyDescent="0.3">
      <c r="B137" s="59" t="s">
        <v>181</v>
      </c>
      <c r="C137" s="565" t="s">
        <v>393</v>
      </c>
      <c r="D137" s="566"/>
      <c r="E137" s="566"/>
      <c r="F137" s="567"/>
      <c r="G137" s="60" t="s">
        <v>5</v>
      </c>
      <c r="H137" s="61"/>
      <c r="I137" s="62">
        <v>45373</v>
      </c>
    </row>
    <row r="138" spans="2:9" ht="13.5" thickBot="1" x14ac:dyDescent="0.25">
      <c r="B138" s="568" t="s">
        <v>182</v>
      </c>
      <c r="C138" s="569"/>
      <c r="D138" s="570"/>
      <c r="E138" s="568" t="s">
        <v>183</v>
      </c>
      <c r="F138" s="569"/>
      <c r="G138" s="569"/>
      <c r="H138" s="569"/>
      <c r="I138" s="570"/>
    </row>
    <row r="139" spans="2:9" ht="13.5" thickBot="1" x14ac:dyDescent="0.25">
      <c r="B139" s="571"/>
      <c r="C139" s="572"/>
      <c r="D139" s="573"/>
      <c r="E139" s="574" t="s">
        <v>90</v>
      </c>
      <c r="F139" s="575"/>
      <c r="G139" s="575"/>
      <c r="H139" s="575"/>
      <c r="I139" s="576"/>
    </row>
    <row r="140" spans="2:9" ht="13.5" thickBot="1" x14ac:dyDescent="0.25">
      <c r="B140" s="63" t="s">
        <v>184</v>
      </c>
      <c r="C140" s="64" t="s">
        <v>185</v>
      </c>
      <c r="D140" s="65" t="s">
        <v>89</v>
      </c>
      <c r="E140" s="577"/>
      <c r="F140" s="578"/>
      <c r="G140" s="578"/>
      <c r="H140" s="578"/>
      <c r="I140" s="579"/>
    </row>
    <row r="141" spans="2:9" ht="13.5" thickBot="1" x14ac:dyDescent="0.25">
      <c r="B141" s="583" t="s">
        <v>186</v>
      </c>
      <c r="C141" s="584"/>
      <c r="D141" s="66"/>
      <c r="E141" s="580"/>
      <c r="F141" s="581"/>
      <c r="G141" s="581"/>
      <c r="H141" s="581"/>
      <c r="I141" s="582"/>
    </row>
    <row r="142" spans="2:9" x14ac:dyDescent="0.2">
      <c r="B142" s="67" t="s">
        <v>187</v>
      </c>
      <c r="C142" s="68"/>
      <c r="D142" s="592"/>
      <c r="E142" s="592"/>
      <c r="F142" s="592"/>
      <c r="G142" s="592"/>
      <c r="H142" s="592"/>
      <c r="I142" s="593"/>
    </row>
    <row r="143" spans="2:9" x14ac:dyDescent="0.2">
      <c r="B143" s="588" t="s">
        <v>188</v>
      </c>
      <c r="C143" s="589"/>
      <c r="D143" s="96" t="s">
        <v>189</v>
      </c>
      <c r="E143" s="134" t="s">
        <v>190</v>
      </c>
      <c r="F143" s="111" t="s">
        <v>191</v>
      </c>
      <c r="G143" s="110" t="s">
        <v>192</v>
      </c>
      <c r="H143" s="112"/>
      <c r="I143" s="100" t="s">
        <v>193</v>
      </c>
    </row>
    <row r="144" spans="2:9" x14ac:dyDescent="0.2">
      <c r="B144" s="594" t="s">
        <v>194</v>
      </c>
      <c r="C144" s="595"/>
      <c r="D144" s="91" t="s">
        <v>195</v>
      </c>
      <c r="E144" s="135">
        <v>5</v>
      </c>
      <c r="F144" s="135">
        <f>SUM(I170)</f>
        <v>10861.5</v>
      </c>
      <c r="G144" s="116">
        <f>SUM(F144*5%)</f>
        <v>543.07500000000005</v>
      </c>
      <c r="H144" s="69"/>
      <c r="I144" s="596"/>
    </row>
    <row r="145" spans="2:9" x14ac:dyDescent="0.2">
      <c r="B145" s="598" t="s">
        <v>196</v>
      </c>
      <c r="C145" s="599"/>
      <c r="D145" s="91" t="s">
        <v>195</v>
      </c>
      <c r="E145" s="135">
        <v>1.5</v>
      </c>
      <c r="F145" s="135">
        <f>SUM(I170)</f>
        <v>10861.5</v>
      </c>
      <c r="G145" s="116">
        <f>SUM(F145*1.5%)</f>
        <v>162.92249999999999</v>
      </c>
      <c r="H145" s="70"/>
      <c r="I145" s="597"/>
    </row>
    <row r="146" spans="2:9" x14ac:dyDescent="0.2">
      <c r="B146" s="600"/>
      <c r="C146" s="601"/>
      <c r="D146" s="91"/>
      <c r="E146" s="104"/>
      <c r="F146" s="104"/>
      <c r="G146" s="88">
        <f>SUM(E146*F146)</f>
        <v>0</v>
      </c>
      <c r="H146" s="89"/>
      <c r="I146" s="138"/>
    </row>
    <row r="147" spans="2:9" x14ac:dyDescent="0.2">
      <c r="B147" s="587"/>
      <c r="C147" s="585"/>
      <c r="D147" s="585"/>
      <c r="E147" s="585"/>
      <c r="F147" s="71"/>
      <c r="G147" s="72" t="s">
        <v>197</v>
      </c>
      <c r="H147" s="72"/>
      <c r="I147" s="94">
        <f>SUM(G144:H146)</f>
        <v>705.99750000000006</v>
      </c>
    </row>
    <row r="148" spans="2:9" x14ac:dyDescent="0.2">
      <c r="B148" s="73" t="s">
        <v>198</v>
      </c>
      <c r="C148" s="74"/>
      <c r="D148" s="75"/>
      <c r="E148" s="76"/>
      <c r="F148" s="77"/>
      <c r="G148" s="76"/>
      <c r="H148" s="76"/>
      <c r="I148" s="78"/>
    </row>
    <row r="149" spans="2:9" x14ac:dyDescent="0.2">
      <c r="B149" s="588" t="s">
        <v>188</v>
      </c>
      <c r="C149" s="589"/>
      <c r="D149" s="96" t="s">
        <v>199</v>
      </c>
      <c r="E149" s="110" t="s">
        <v>137</v>
      </c>
      <c r="F149" s="111" t="s">
        <v>200</v>
      </c>
      <c r="G149" s="110" t="s">
        <v>201</v>
      </c>
      <c r="H149" s="112"/>
      <c r="I149" s="100" t="s">
        <v>193</v>
      </c>
    </row>
    <row r="150" spans="2:9" x14ac:dyDescent="0.2">
      <c r="B150" s="590" t="s">
        <v>90</v>
      </c>
      <c r="C150" s="591"/>
      <c r="D150" s="79" t="s">
        <v>20</v>
      </c>
      <c r="E150" s="80">
        <v>1</v>
      </c>
      <c r="F150" s="81"/>
      <c r="G150" s="82">
        <f>130000*1.2/0.27</f>
        <v>577777.77777777775</v>
      </c>
      <c r="H150" s="83"/>
      <c r="I150" s="90">
        <f t="shared" ref="I150:I158" si="3">(E150*(1+F150/100)) * (G150*(1+H150/100))</f>
        <v>577777.77777777775</v>
      </c>
    </row>
    <row r="151" spans="2:9" x14ac:dyDescent="0.2">
      <c r="B151" s="590"/>
      <c r="C151" s="591"/>
      <c r="D151" s="79"/>
      <c r="E151" s="80"/>
      <c r="F151" s="87"/>
      <c r="G151" s="82"/>
      <c r="H151" s="84"/>
      <c r="I151" s="90">
        <f t="shared" si="3"/>
        <v>0</v>
      </c>
    </row>
    <row r="152" spans="2:9" x14ac:dyDescent="0.2">
      <c r="B152" s="590"/>
      <c r="C152" s="591"/>
      <c r="D152" s="79"/>
      <c r="E152" s="80"/>
      <c r="F152" s="87"/>
      <c r="G152" s="82"/>
      <c r="H152" s="85"/>
      <c r="I152" s="90">
        <f t="shared" si="3"/>
        <v>0</v>
      </c>
    </row>
    <row r="153" spans="2:9" x14ac:dyDescent="0.2">
      <c r="B153" s="590"/>
      <c r="C153" s="591"/>
      <c r="D153" s="79"/>
      <c r="E153" s="80"/>
      <c r="F153" s="87"/>
      <c r="G153" s="82"/>
      <c r="H153" s="85"/>
      <c r="I153" s="90">
        <f t="shared" si="3"/>
        <v>0</v>
      </c>
    </row>
    <row r="154" spans="2:9" x14ac:dyDescent="0.2">
      <c r="B154" s="590"/>
      <c r="C154" s="591"/>
      <c r="D154" s="79"/>
      <c r="E154" s="80"/>
      <c r="F154" s="87"/>
      <c r="G154" s="82"/>
      <c r="H154" s="85"/>
      <c r="I154" s="90">
        <f t="shared" si="3"/>
        <v>0</v>
      </c>
    </row>
    <row r="155" spans="2:9" x14ac:dyDescent="0.2">
      <c r="B155" s="590"/>
      <c r="C155" s="591"/>
      <c r="D155" s="79"/>
      <c r="E155" s="80"/>
      <c r="F155" s="87"/>
      <c r="G155" s="82"/>
      <c r="H155" s="85"/>
      <c r="I155" s="90">
        <f t="shared" si="3"/>
        <v>0</v>
      </c>
    </row>
    <row r="156" spans="2:9" x14ac:dyDescent="0.2">
      <c r="B156" s="590"/>
      <c r="C156" s="591"/>
      <c r="D156" s="86"/>
      <c r="E156" s="80"/>
      <c r="F156" s="87"/>
      <c r="G156" s="82"/>
      <c r="H156" s="85"/>
      <c r="I156" s="90">
        <f t="shared" si="3"/>
        <v>0</v>
      </c>
    </row>
    <row r="157" spans="2:9" x14ac:dyDescent="0.2">
      <c r="B157" s="562"/>
      <c r="C157" s="563"/>
      <c r="D157" s="91"/>
      <c r="E157" s="80"/>
      <c r="F157" s="87"/>
      <c r="G157" s="88"/>
      <c r="H157" s="89"/>
      <c r="I157" s="90">
        <f t="shared" si="3"/>
        <v>0</v>
      </c>
    </row>
    <row r="158" spans="2:9" x14ac:dyDescent="0.2">
      <c r="B158" s="562"/>
      <c r="C158" s="563"/>
      <c r="D158" s="91"/>
      <c r="E158" s="80"/>
      <c r="F158" s="87"/>
      <c r="G158" s="88"/>
      <c r="H158" s="89"/>
      <c r="I158" s="90">
        <f t="shared" si="3"/>
        <v>0</v>
      </c>
    </row>
    <row r="159" spans="2:9" x14ac:dyDescent="0.2">
      <c r="B159" s="92"/>
      <c r="C159" s="76"/>
      <c r="D159" s="75"/>
      <c r="E159" s="76"/>
      <c r="F159" s="585" t="s">
        <v>202</v>
      </c>
      <c r="G159" s="586"/>
      <c r="H159" s="93"/>
      <c r="I159" s="94">
        <f>SUM(I150:I158)</f>
        <v>577777.77777777775</v>
      </c>
    </row>
    <row r="160" spans="2:9" ht="14.25" x14ac:dyDescent="0.2">
      <c r="B160" s="73" t="s">
        <v>203</v>
      </c>
      <c r="C160" s="74"/>
      <c r="D160" s="75"/>
      <c r="E160" s="76"/>
      <c r="F160" s="77"/>
      <c r="G160" s="76"/>
      <c r="H160" s="76"/>
      <c r="I160" s="95"/>
    </row>
    <row r="161" spans="2:9" x14ac:dyDescent="0.2">
      <c r="B161" s="588" t="s">
        <v>188</v>
      </c>
      <c r="C161" s="589"/>
      <c r="D161" s="96" t="s">
        <v>204</v>
      </c>
      <c r="E161" s="97" t="s">
        <v>205</v>
      </c>
      <c r="F161" s="98" t="s">
        <v>206</v>
      </c>
      <c r="G161" s="97" t="s">
        <v>207</v>
      </c>
      <c r="H161" s="99"/>
      <c r="I161" s="100" t="s">
        <v>193</v>
      </c>
    </row>
    <row r="162" spans="2:9" x14ac:dyDescent="0.2">
      <c r="B162" s="623" t="s">
        <v>233</v>
      </c>
      <c r="C162" s="624"/>
      <c r="D162" s="137">
        <f>+E152*15</f>
        <v>0</v>
      </c>
      <c r="E162" s="101"/>
      <c r="F162" s="102">
        <v>1800</v>
      </c>
      <c r="G162" s="82">
        <f>+D162*F162</f>
        <v>0</v>
      </c>
      <c r="H162" s="83"/>
      <c r="I162" s="103"/>
    </row>
    <row r="163" spans="2:9" x14ac:dyDescent="0.2">
      <c r="B163" s="623" t="s">
        <v>234</v>
      </c>
      <c r="C163" s="624"/>
      <c r="D163" s="137">
        <f>+E153*15</f>
        <v>0</v>
      </c>
      <c r="E163" s="101"/>
      <c r="F163" s="104">
        <v>1800</v>
      </c>
      <c r="G163" s="82">
        <f>+D163*F163</f>
        <v>0</v>
      </c>
      <c r="H163" s="85"/>
      <c r="I163" s="103"/>
    </row>
    <row r="164" spans="2:9" x14ac:dyDescent="0.2">
      <c r="B164" s="105"/>
      <c r="C164" s="106"/>
      <c r="D164" s="75"/>
      <c r="E164" s="106"/>
      <c r="F164" s="107" t="s">
        <v>208</v>
      </c>
      <c r="G164" s="106"/>
      <c r="H164" s="108"/>
      <c r="I164" s="109">
        <f>SUM(G162:G163)</f>
        <v>0</v>
      </c>
    </row>
    <row r="165" spans="2:9" ht="14.25" x14ac:dyDescent="0.2">
      <c r="B165" s="73" t="s">
        <v>209</v>
      </c>
      <c r="C165" s="76"/>
      <c r="D165" s="75"/>
      <c r="E165" s="76"/>
      <c r="F165" s="77"/>
      <c r="G165" s="76"/>
      <c r="H165" s="76"/>
      <c r="I165" s="95"/>
    </row>
    <row r="166" spans="2:9" x14ac:dyDescent="0.2">
      <c r="B166" s="588" t="s">
        <v>188</v>
      </c>
      <c r="C166" s="589"/>
      <c r="D166" s="96" t="s">
        <v>136</v>
      </c>
      <c r="E166" s="110" t="s">
        <v>137</v>
      </c>
      <c r="F166" s="111" t="s">
        <v>201</v>
      </c>
      <c r="G166" s="112" t="s">
        <v>205</v>
      </c>
      <c r="H166" s="112"/>
      <c r="I166" s="100" t="s">
        <v>193</v>
      </c>
    </row>
    <row r="167" spans="2:9" ht="21.6" customHeight="1" x14ac:dyDescent="0.2">
      <c r="B167" s="590" t="s">
        <v>244</v>
      </c>
      <c r="C167" s="591"/>
      <c r="D167" s="91" t="s">
        <v>211</v>
      </c>
      <c r="E167" s="88">
        <v>1</v>
      </c>
      <c r="F167" s="104">
        <f>+(80000+50000*1)*1.671</f>
        <v>217230</v>
      </c>
      <c r="G167" s="113">
        <v>0.05</v>
      </c>
      <c r="H167" s="114"/>
      <c r="I167" s="115">
        <f>SUM(F167*E167)*G167</f>
        <v>10861.5</v>
      </c>
    </row>
    <row r="168" spans="2:9" x14ac:dyDescent="0.2">
      <c r="B168" s="627"/>
      <c r="C168" s="617"/>
      <c r="D168" s="91"/>
      <c r="E168" s="116"/>
      <c r="F168" s="117"/>
      <c r="G168" s="114"/>
      <c r="H168" s="114"/>
      <c r="I168" s="94">
        <f>SUM(F168*E168)*G168</f>
        <v>0</v>
      </c>
    </row>
    <row r="169" spans="2:9" x14ac:dyDescent="0.2">
      <c r="B169" s="598"/>
      <c r="C169" s="599"/>
      <c r="D169" s="91"/>
      <c r="E169" s="118"/>
      <c r="F169" s="117"/>
      <c r="G169" s="114"/>
      <c r="H169" s="114"/>
      <c r="I169" s="94">
        <f>SUM(F169*E169)*G169</f>
        <v>0</v>
      </c>
    </row>
    <row r="170" spans="2:9" x14ac:dyDescent="0.2">
      <c r="B170" s="92"/>
      <c r="C170" s="76"/>
      <c r="D170" s="75"/>
      <c r="E170" s="76"/>
      <c r="F170" s="605" t="s">
        <v>212</v>
      </c>
      <c r="G170" s="605"/>
      <c r="H170" s="119"/>
      <c r="I170" s="94">
        <f>I167</f>
        <v>10861.5</v>
      </c>
    </row>
    <row r="171" spans="2:9" ht="13.5" thickBot="1" x14ac:dyDescent="0.25">
      <c r="B171" s="92"/>
      <c r="C171" s="76"/>
      <c r="D171" s="75"/>
      <c r="E171" s="76"/>
      <c r="F171" s="120"/>
      <c r="G171" s="119"/>
      <c r="H171" s="119"/>
      <c r="I171" s="78"/>
    </row>
    <row r="172" spans="2:9" ht="13.5" thickBot="1" x14ac:dyDescent="0.25">
      <c r="B172" s="92"/>
      <c r="C172" s="76"/>
      <c r="D172" s="75"/>
      <c r="E172" s="606" t="s">
        <v>213</v>
      </c>
      <c r="F172" s="606"/>
      <c r="G172" s="606"/>
      <c r="H172" s="121"/>
      <c r="I172" s="122">
        <f>ROUND(SUM(I147+I159+I164+I170),0)</f>
        <v>589345</v>
      </c>
    </row>
    <row r="173" spans="2:9" ht="15" thickBot="1" x14ac:dyDescent="0.25">
      <c r="B173" s="73" t="s">
        <v>214</v>
      </c>
      <c r="C173" s="76"/>
      <c r="D173" s="123"/>
      <c r="E173" s="124"/>
      <c r="F173" s="77"/>
      <c r="G173" s="76"/>
      <c r="H173" s="76"/>
      <c r="I173" s="78"/>
    </row>
    <row r="174" spans="2:9" x14ac:dyDescent="0.2">
      <c r="B174" s="607" t="s">
        <v>215</v>
      </c>
      <c r="C174" s="608"/>
      <c r="D174" s="613" t="s">
        <v>216</v>
      </c>
      <c r="E174" s="614"/>
      <c r="F174" s="125" t="s">
        <v>195</v>
      </c>
      <c r="G174" s="126" t="s">
        <v>217</v>
      </c>
      <c r="H174" s="127"/>
      <c r="I174" s="615"/>
    </row>
    <row r="175" spans="2:9" x14ac:dyDescent="0.2">
      <c r="B175" s="609"/>
      <c r="C175" s="610"/>
      <c r="D175" s="617" t="s">
        <v>218</v>
      </c>
      <c r="E175" s="618"/>
      <c r="F175" s="128">
        <v>25</v>
      </c>
      <c r="G175" s="116">
        <f>I172*20%</f>
        <v>117869</v>
      </c>
      <c r="H175" s="129"/>
      <c r="I175" s="616"/>
    </row>
    <row r="176" spans="2:9" x14ac:dyDescent="0.2">
      <c r="B176" s="609"/>
      <c r="C176" s="610"/>
      <c r="D176" s="617" t="s">
        <v>168</v>
      </c>
      <c r="E176" s="618"/>
      <c r="F176" s="128">
        <v>5</v>
      </c>
      <c r="G176" s="116">
        <f>I172*5%</f>
        <v>29467.25</v>
      </c>
      <c r="H176" s="129"/>
      <c r="I176" s="616"/>
    </row>
    <row r="177" spans="2:9" x14ac:dyDescent="0.2">
      <c r="B177" s="609"/>
      <c r="C177" s="610"/>
      <c r="D177" s="619" t="s">
        <v>219</v>
      </c>
      <c r="E177" s="617"/>
      <c r="F177" s="128">
        <f>SUM(F175:F176)</f>
        <v>30</v>
      </c>
      <c r="G177" s="116">
        <f>SUM(G175:G176)</f>
        <v>147336.25</v>
      </c>
      <c r="H177" s="129"/>
      <c r="I177" s="616"/>
    </row>
    <row r="178" spans="2:9" ht="15" thickBot="1" x14ac:dyDescent="0.25">
      <c r="B178" s="609"/>
      <c r="C178" s="610"/>
      <c r="D178" s="130"/>
      <c r="E178" s="620" t="s">
        <v>220</v>
      </c>
      <c r="F178" s="621"/>
      <c r="G178" s="622"/>
      <c r="H178" s="38"/>
      <c r="I178" s="131">
        <f>SUM(G177:G177)</f>
        <v>147336.25</v>
      </c>
    </row>
    <row r="179" spans="2:9" ht="16.5" thickBot="1" x14ac:dyDescent="0.3">
      <c r="B179" s="611"/>
      <c r="C179" s="612"/>
      <c r="D179" s="628" t="s">
        <v>221</v>
      </c>
      <c r="E179" s="629"/>
      <c r="F179" s="630"/>
      <c r="G179" s="602">
        <f>SUM(I172+I178)</f>
        <v>736681.25</v>
      </c>
      <c r="H179" s="603"/>
      <c r="I179" s="604"/>
    </row>
  </sheetData>
  <mergeCells count="172">
    <mergeCell ref="D179:F179"/>
    <mergeCell ref="G179:I179"/>
    <mergeCell ref="B169:C169"/>
    <mergeCell ref="F170:G170"/>
    <mergeCell ref="E172:G172"/>
    <mergeCell ref="B174:C179"/>
    <mergeCell ref="D174:E174"/>
    <mergeCell ref="I174:I177"/>
    <mergeCell ref="D175:E175"/>
    <mergeCell ref="D176:E176"/>
    <mergeCell ref="D177:E177"/>
    <mergeCell ref="E178:G178"/>
    <mergeCell ref="B161:C161"/>
    <mergeCell ref="B162:C162"/>
    <mergeCell ref="B163:C163"/>
    <mergeCell ref="B166:C166"/>
    <mergeCell ref="B167:C167"/>
    <mergeCell ref="B168:C168"/>
    <mergeCell ref="B154:C154"/>
    <mergeCell ref="B155:C155"/>
    <mergeCell ref="B156:C156"/>
    <mergeCell ref="B157:C157"/>
    <mergeCell ref="B158:C158"/>
    <mergeCell ref="F159:G159"/>
    <mergeCell ref="B147:E147"/>
    <mergeCell ref="B149:C149"/>
    <mergeCell ref="B150:C150"/>
    <mergeCell ref="B151:C151"/>
    <mergeCell ref="B152:C152"/>
    <mergeCell ref="B153:C153"/>
    <mergeCell ref="D142:I142"/>
    <mergeCell ref="B143:C143"/>
    <mergeCell ref="B144:C144"/>
    <mergeCell ref="I144:I145"/>
    <mergeCell ref="B145:C145"/>
    <mergeCell ref="B146:C146"/>
    <mergeCell ref="B136:I136"/>
    <mergeCell ref="C137:F137"/>
    <mergeCell ref="B138:D138"/>
    <mergeCell ref="E138:I138"/>
    <mergeCell ref="B139:D139"/>
    <mergeCell ref="E139:I141"/>
    <mergeCell ref="B141:C141"/>
    <mergeCell ref="I129:I132"/>
    <mergeCell ref="D130:E130"/>
    <mergeCell ref="D131:E131"/>
    <mergeCell ref="D132:E132"/>
    <mergeCell ref="E133:G133"/>
    <mergeCell ref="D134:F134"/>
    <mergeCell ref="G134:I134"/>
    <mergeCell ref="B123:C123"/>
    <mergeCell ref="B124:C124"/>
    <mergeCell ref="F125:G125"/>
    <mergeCell ref="E127:G127"/>
    <mergeCell ref="B129:C134"/>
    <mergeCell ref="D129:E129"/>
    <mergeCell ref="F114:G114"/>
    <mergeCell ref="B116:C116"/>
    <mergeCell ref="B117:C117"/>
    <mergeCell ref="B118:C118"/>
    <mergeCell ref="B121:C121"/>
    <mergeCell ref="B122:C122"/>
    <mergeCell ref="B108:C108"/>
    <mergeCell ref="B109:C109"/>
    <mergeCell ref="B110:C110"/>
    <mergeCell ref="B111:C111"/>
    <mergeCell ref="B112:C112"/>
    <mergeCell ref="B113:C113"/>
    <mergeCell ref="B101:C101"/>
    <mergeCell ref="B102:E102"/>
    <mergeCell ref="B104:C104"/>
    <mergeCell ref="B105:C105"/>
    <mergeCell ref="B106:C106"/>
    <mergeCell ref="B107:C107"/>
    <mergeCell ref="B94:D94"/>
    <mergeCell ref="E94:I96"/>
    <mergeCell ref="B96:C96"/>
    <mergeCell ref="D97:I97"/>
    <mergeCell ref="B98:C98"/>
    <mergeCell ref="B99:C99"/>
    <mergeCell ref="I99:I100"/>
    <mergeCell ref="B100:C100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3" manualBreakCount="3">
    <brk id="45" min="1" max="8" man="1"/>
    <brk id="90" min="1" max="8" man="1"/>
    <brk id="135" min="1" max="8" man="1"/>
  </row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rgb="FF3333FF"/>
    <pageSetUpPr fitToPage="1"/>
  </sheetPr>
  <dimension ref="B1:I270"/>
  <sheetViews>
    <sheetView view="pageBreakPreview" topLeftCell="A157" zoomScale="130" zoomScaleNormal="130" zoomScaleSheetLayoutView="130" workbookViewId="0">
      <selection activeCell="E169" sqref="E169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tr">
        <f>+'P. Adecuación'!C46</f>
        <v>SUMINISTRO E INSTALACION DE TOMAS ELECTRICOS DOBLES 110V</v>
      </c>
      <c r="F4" s="575"/>
      <c r="G4" s="575"/>
      <c r="H4" s="575"/>
      <c r="I4" s="576"/>
    </row>
    <row r="5" spans="2:9" ht="13.5" thickBot="1" x14ac:dyDescent="0.25">
      <c r="B5" s="63" t="s">
        <v>275</v>
      </c>
      <c r="C5" s="64" t="s">
        <v>185</v>
      </c>
      <c r="D5" s="65" t="s">
        <v>92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52636.5</v>
      </c>
      <c r="G9" s="116">
        <f>SUM(F9*5%)</f>
        <v>2631.8250000000003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52636.5</v>
      </c>
      <c r="G10" s="116">
        <f>SUM(F10*1.5%)</f>
        <v>789.54750000000001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3421.3725000000004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450</v>
      </c>
      <c r="C15" s="591"/>
      <c r="D15" s="79" t="s">
        <v>77</v>
      </c>
      <c r="E15" s="80">
        <v>1</v>
      </c>
      <c r="F15" s="81"/>
      <c r="G15" s="82">
        <v>13900</v>
      </c>
      <c r="H15" s="83"/>
      <c r="I15" s="90">
        <f t="shared" ref="I15:I23" si="0">(E15*(1+F15/100)) * (G15*(1+H15/100))</f>
        <v>13900</v>
      </c>
    </row>
    <row r="16" spans="2:9" x14ac:dyDescent="0.2">
      <c r="B16" s="590" t="s">
        <v>449</v>
      </c>
      <c r="C16" s="591"/>
      <c r="D16" s="79" t="s">
        <v>77</v>
      </c>
      <c r="E16" s="80">
        <v>0.01</v>
      </c>
      <c r="F16" s="136"/>
      <c r="G16" s="82">
        <v>6500</v>
      </c>
      <c r="H16" s="84"/>
      <c r="I16" s="90">
        <f t="shared" si="0"/>
        <v>65</v>
      </c>
    </row>
    <row r="17" spans="2:9" x14ac:dyDescent="0.2">
      <c r="B17" s="590"/>
      <c r="C17" s="591"/>
      <c r="D17" s="79"/>
      <c r="E17" s="80"/>
      <c r="F17" s="87"/>
      <c r="G17" s="82"/>
      <c r="H17" s="85"/>
      <c r="I17" s="90">
        <f t="shared" si="0"/>
        <v>0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13965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34.5" customHeight="1" x14ac:dyDescent="0.2">
      <c r="B32" s="590" t="s">
        <v>286</v>
      </c>
      <c r="C32" s="591"/>
      <c r="D32" s="91" t="s">
        <v>211</v>
      </c>
      <c r="E32" s="88">
        <v>0.7</v>
      </c>
      <c r="F32" s="104">
        <f>+(90000+60000*1)*1.671</f>
        <v>250650</v>
      </c>
      <c r="G32" s="113">
        <v>0.3</v>
      </c>
      <c r="H32" s="114"/>
      <c r="I32" s="115">
        <f>SUM(F32*E32)*G32</f>
        <v>52636.5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52636.5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70023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14004.6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3501.15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17505.75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17505.75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87528.75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tr">
        <f>+'P. Adecuación'!C47</f>
        <v>SUMINISTRO E INSTALACION DE INTERRUPTORES SENCILLOS 110V</v>
      </c>
      <c r="F49" s="575"/>
      <c r="G49" s="575"/>
      <c r="H49" s="575"/>
      <c r="I49" s="576"/>
    </row>
    <row r="50" spans="2:9" ht="13.5" thickBot="1" x14ac:dyDescent="0.25">
      <c r="B50" s="63" t="s">
        <v>275</v>
      </c>
      <c r="C50" s="64" t="s">
        <v>185</v>
      </c>
      <c r="D50" s="65" t="s">
        <v>94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52636.5</v>
      </c>
      <c r="G54" s="116">
        <f>SUM(F54*5%)</f>
        <v>2631.8250000000003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52636.5</v>
      </c>
      <c r="G55" s="116">
        <f>SUM(F55*1.5%)</f>
        <v>789.54750000000001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3421.3725000000004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ht="22.5" customHeight="1" x14ac:dyDescent="0.2">
      <c r="B60" s="590" t="s">
        <v>450</v>
      </c>
      <c r="C60" s="591"/>
      <c r="D60" s="79" t="s">
        <v>77</v>
      </c>
      <c r="E60" s="80">
        <v>1</v>
      </c>
      <c r="F60" s="81"/>
      <c r="G60" s="82">
        <v>13900</v>
      </c>
      <c r="H60" s="83"/>
      <c r="I60" s="90">
        <f t="shared" ref="I60:I68" si="1">(E60*(1+F60/100)) * (G60*(1+H60/100))</f>
        <v>13900</v>
      </c>
    </row>
    <row r="61" spans="2:9" ht="12.75" customHeight="1" x14ac:dyDescent="0.2">
      <c r="B61" s="590" t="s">
        <v>449</v>
      </c>
      <c r="C61" s="591"/>
      <c r="D61" s="79" t="s">
        <v>77</v>
      </c>
      <c r="E61" s="80">
        <v>0.01</v>
      </c>
      <c r="F61" s="136"/>
      <c r="G61" s="82">
        <v>6500</v>
      </c>
      <c r="H61" s="84"/>
      <c r="I61" s="90">
        <f t="shared" si="1"/>
        <v>65</v>
      </c>
    </row>
    <row r="62" spans="2:9" x14ac:dyDescent="0.2">
      <c r="B62" s="590"/>
      <c r="C62" s="591"/>
      <c r="D62" s="79"/>
      <c r="E62" s="80"/>
      <c r="F62" s="87"/>
      <c r="G62" s="82"/>
      <c r="H62" s="85"/>
      <c r="I62" s="90"/>
    </row>
    <row r="63" spans="2:9" x14ac:dyDescent="0.2">
      <c r="B63" s="590"/>
      <c r="C63" s="591"/>
      <c r="D63" s="79"/>
      <c r="E63" s="80"/>
      <c r="F63" s="87"/>
      <c r="G63" s="82"/>
      <c r="H63" s="85"/>
      <c r="I63" s="90"/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13965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34.5" customHeight="1" x14ac:dyDescent="0.2">
      <c r="B77" s="590" t="s">
        <v>286</v>
      </c>
      <c r="C77" s="591"/>
      <c r="D77" s="91" t="s">
        <v>211</v>
      </c>
      <c r="E77" s="88">
        <v>0.7</v>
      </c>
      <c r="F77" s="104">
        <f>+(90000+60000*1)*1.671</f>
        <v>250650</v>
      </c>
      <c r="G77" s="113">
        <v>0.3</v>
      </c>
      <c r="H77" s="114"/>
      <c r="I77" s="115">
        <f>SUM(F77*E77)*G77</f>
        <v>52636.5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52636.5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70023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14004.6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3501.15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17505.75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17505.75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87528.75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96</v>
      </c>
      <c r="F94" s="575"/>
      <c r="G94" s="575"/>
      <c r="H94" s="575"/>
      <c r="I94" s="576"/>
    </row>
    <row r="95" spans="2:9" ht="13.5" thickBot="1" x14ac:dyDescent="0.25">
      <c r="B95" s="63" t="s">
        <v>275</v>
      </c>
      <c r="C95" s="64" t="s">
        <v>185</v>
      </c>
      <c r="D95" s="65" t="s">
        <v>95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25065</v>
      </c>
      <c r="G99" s="116">
        <f>SUM(F99*5%)</f>
        <v>1253.25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25065</v>
      </c>
      <c r="G100" s="116">
        <f>SUM(F100*1.5%)</f>
        <v>375.97499999999997</v>
      </c>
      <c r="H100" s="70"/>
      <c r="I100" s="597"/>
    </row>
    <row r="101" spans="2:9" x14ac:dyDescent="0.2">
      <c r="B101" s="600"/>
      <c r="C101" s="601"/>
      <c r="D101" s="91"/>
      <c r="E101" s="104"/>
      <c r="F101" s="104"/>
      <c r="G101" s="88">
        <f>SUM(E101*F101)</f>
        <v>0</v>
      </c>
      <c r="H101" s="89"/>
      <c r="I101" s="138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SUM(G99:H101)</f>
        <v>1629.2249999999999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 t="s">
        <v>287</v>
      </c>
      <c r="C105" s="591"/>
      <c r="D105" s="79" t="s">
        <v>77</v>
      </c>
      <c r="E105" s="80">
        <v>0.01</v>
      </c>
      <c r="F105" s="81">
        <v>5</v>
      </c>
      <c r="G105" s="82">
        <f>114000*1.3</f>
        <v>148200</v>
      </c>
      <c r="H105" s="83"/>
      <c r="I105" s="90">
        <f t="shared" ref="I105:I113" si="2">(E105*(1+F105/100)) * (G105*(1+H105/100))</f>
        <v>1556.1000000000001</v>
      </c>
    </row>
    <row r="106" spans="2:9" x14ac:dyDescent="0.2">
      <c r="B106" s="590"/>
      <c r="C106" s="591"/>
      <c r="D106" s="79"/>
      <c r="E106" s="80"/>
      <c r="F106" s="87"/>
      <c r="G106" s="82"/>
      <c r="H106" s="84"/>
      <c r="I106" s="90"/>
    </row>
    <row r="107" spans="2:9" x14ac:dyDescent="0.2">
      <c r="B107" s="590" t="s">
        <v>288</v>
      </c>
      <c r="C107" s="591"/>
      <c r="D107" s="79" t="s">
        <v>39</v>
      </c>
      <c r="E107" s="80">
        <v>5</v>
      </c>
      <c r="F107" s="87">
        <v>5</v>
      </c>
      <c r="G107" s="82">
        <f>3550*1.3</f>
        <v>4615</v>
      </c>
      <c r="H107" s="85"/>
      <c r="I107" s="90">
        <f t="shared" si="2"/>
        <v>24228.75</v>
      </c>
    </row>
    <row r="108" spans="2:9" ht="22.5" customHeight="1" x14ac:dyDescent="0.2">
      <c r="B108" s="590" t="s">
        <v>289</v>
      </c>
      <c r="C108" s="591"/>
      <c r="D108" s="79" t="s">
        <v>77</v>
      </c>
      <c r="E108" s="80">
        <v>1</v>
      </c>
      <c r="F108" s="87"/>
      <c r="G108" s="82">
        <f>2500*1.3</f>
        <v>3250</v>
      </c>
      <c r="H108" s="85"/>
      <c r="I108" s="90">
        <f t="shared" si="2"/>
        <v>3250</v>
      </c>
    </row>
    <row r="109" spans="2:9" x14ac:dyDescent="0.2">
      <c r="B109" s="590" t="s">
        <v>290</v>
      </c>
      <c r="C109" s="591"/>
      <c r="D109" s="79" t="s">
        <v>77</v>
      </c>
      <c r="E109" s="80">
        <v>1</v>
      </c>
      <c r="F109" s="87"/>
      <c r="G109" s="82">
        <f>4500*1.3</f>
        <v>5850</v>
      </c>
      <c r="H109" s="85"/>
      <c r="I109" s="90">
        <f t="shared" si="2"/>
        <v>5850</v>
      </c>
    </row>
    <row r="110" spans="2:9" ht="23.25" customHeight="1" x14ac:dyDescent="0.2">
      <c r="B110" s="590" t="s">
        <v>291</v>
      </c>
      <c r="C110" s="591"/>
      <c r="D110" s="91" t="s">
        <v>39</v>
      </c>
      <c r="E110" s="80">
        <v>10</v>
      </c>
      <c r="F110" s="87">
        <v>5</v>
      </c>
      <c r="G110" s="82">
        <f>927*1.8</f>
        <v>1668.6000000000001</v>
      </c>
      <c r="H110" s="85"/>
      <c r="I110" s="90">
        <f t="shared" si="2"/>
        <v>17520.300000000003</v>
      </c>
    </row>
    <row r="111" spans="2:9" ht="20.25" customHeight="1" x14ac:dyDescent="0.2">
      <c r="B111" s="590" t="s">
        <v>292</v>
      </c>
      <c r="C111" s="591"/>
      <c r="D111" s="91" t="s">
        <v>39</v>
      </c>
      <c r="E111" s="80">
        <v>5</v>
      </c>
      <c r="F111" s="87">
        <v>5</v>
      </c>
      <c r="G111" s="82">
        <f>1433*1.8</f>
        <v>2579.4</v>
      </c>
      <c r="H111" s="85"/>
      <c r="I111" s="90">
        <f t="shared" si="2"/>
        <v>13541.85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65947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33.75" customHeight="1" x14ac:dyDescent="0.2">
      <c r="B122" s="590" t="s">
        <v>286</v>
      </c>
      <c r="C122" s="591"/>
      <c r="D122" s="91" t="s">
        <v>211</v>
      </c>
      <c r="E122" s="88">
        <v>1</v>
      </c>
      <c r="F122" s="104">
        <f>+(90000+60000*1)*1.671</f>
        <v>250650</v>
      </c>
      <c r="G122" s="113">
        <v>0.1</v>
      </c>
      <c r="H122" s="114"/>
      <c r="I122" s="115">
        <f>SUM(F122*E122)*G122</f>
        <v>25065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25065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92641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18528.2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4632.05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23160.25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23160.25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115801.25</v>
      </c>
      <c r="H134" s="603"/>
      <c r="I134" s="604"/>
    </row>
    <row r="137" spans="2:9" ht="18.75" thickBot="1" x14ac:dyDescent="0.3">
      <c r="B137" s="564" t="s">
        <v>180</v>
      </c>
      <c r="C137" s="564"/>
      <c r="D137" s="564"/>
      <c r="E137" s="564"/>
      <c r="F137" s="564"/>
      <c r="G137" s="564"/>
      <c r="H137" s="564"/>
      <c r="I137" s="564"/>
    </row>
    <row r="138" spans="2:9" ht="15.75" thickBot="1" x14ac:dyDescent="0.3">
      <c r="B138" s="59" t="s">
        <v>181</v>
      </c>
      <c r="C138" s="565" t="s">
        <v>393</v>
      </c>
      <c r="D138" s="566"/>
      <c r="E138" s="566"/>
      <c r="F138" s="567"/>
      <c r="G138" s="60" t="s">
        <v>5</v>
      </c>
      <c r="H138" s="61"/>
      <c r="I138" s="62">
        <v>45373</v>
      </c>
    </row>
    <row r="139" spans="2:9" ht="13.5" thickBot="1" x14ac:dyDescent="0.25">
      <c r="B139" s="568" t="s">
        <v>182</v>
      </c>
      <c r="C139" s="569"/>
      <c r="D139" s="570"/>
      <c r="E139" s="568" t="s">
        <v>183</v>
      </c>
      <c r="F139" s="569"/>
      <c r="G139" s="569"/>
      <c r="H139" s="569"/>
      <c r="I139" s="570"/>
    </row>
    <row r="140" spans="2:9" ht="13.5" thickBot="1" x14ac:dyDescent="0.25">
      <c r="B140" s="571"/>
      <c r="C140" s="572"/>
      <c r="D140" s="573"/>
      <c r="E140" s="574" t="s">
        <v>293</v>
      </c>
      <c r="F140" s="575"/>
      <c r="G140" s="575"/>
      <c r="H140" s="575"/>
      <c r="I140" s="576"/>
    </row>
    <row r="141" spans="2:9" ht="13.5" thickBot="1" x14ac:dyDescent="0.25">
      <c r="B141" s="63" t="s">
        <v>275</v>
      </c>
      <c r="C141" s="64" t="s">
        <v>185</v>
      </c>
      <c r="D141" s="65" t="s">
        <v>98</v>
      </c>
      <c r="E141" s="577"/>
      <c r="F141" s="578"/>
      <c r="G141" s="578"/>
      <c r="H141" s="578"/>
      <c r="I141" s="579"/>
    </row>
    <row r="142" spans="2:9" ht="13.5" thickBot="1" x14ac:dyDescent="0.25">
      <c r="B142" s="583" t="s">
        <v>186</v>
      </c>
      <c r="C142" s="584"/>
      <c r="D142" s="66"/>
      <c r="E142" s="580"/>
      <c r="F142" s="581"/>
      <c r="G142" s="581"/>
      <c r="H142" s="581"/>
      <c r="I142" s="582"/>
    </row>
    <row r="143" spans="2:9" x14ac:dyDescent="0.2">
      <c r="B143" s="67" t="s">
        <v>187</v>
      </c>
      <c r="C143" s="68"/>
      <c r="D143" s="592"/>
      <c r="E143" s="592"/>
      <c r="F143" s="592"/>
      <c r="G143" s="592"/>
      <c r="H143" s="592"/>
      <c r="I143" s="593"/>
    </row>
    <row r="144" spans="2:9" x14ac:dyDescent="0.2">
      <c r="B144" s="588" t="s">
        <v>188</v>
      </c>
      <c r="C144" s="589"/>
      <c r="D144" s="96" t="s">
        <v>189</v>
      </c>
      <c r="E144" s="134" t="s">
        <v>190</v>
      </c>
      <c r="F144" s="111" t="s">
        <v>191</v>
      </c>
      <c r="G144" s="110" t="s">
        <v>192</v>
      </c>
      <c r="H144" s="112"/>
      <c r="I144" s="100" t="s">
        <v>193</v>
      </c>
    </row>
    <row r="145" spans="2:9" x14ac:dyDescent="0.2">
      <c r="B145" s="594" t="s">
        <v>194</v>
      </c>
      <c r="C145" s="595"/>
      <c r="D145" s="91" t="s">
        <v>195</v>
      </c>
      <c r="E145" s="135">
        <v>5</v>
      </c>
      <c r="F145" s="135">
        <f>SUM(I171)</f>
        <v>12281.85</v>
      </c>
      <c r="G145" s="116">
        <f>SUM(F145*5%)</f>
        <v>614.09250000000009</v>
      </c>
      <c r="H145" s="69"/>
      <c r="I145" s="596"/>
    </row>
    <row r="146" spans="2:9" x14ac:dyDescent="0.2">
      <c r="B146" s="598" t="s">
        <v>196</v>
      </c>
      <c r="C146" s="599"/>
      <c r="D146" s="91" t="s">
        <v>195</v>
      </c>
      <c r="E146" s="135">
        <v>1</v>
      </c>
      <c r="F146" s="135">
        <f>SUM(I171)</f>
        <v>12281.85</v>
      </c>
      <c r="G146" s="116">
        <f>SUM(F146*1.5%)</f>
        <v>184.22774999999999</v>
      </c>
      <c r="H146" s="70"/>
      <c r="I146" s="597"/>
    </row>
    <row r="147" spans="2:9" x14ac:dyDescent="0.2">
      <c r="B147" s="600" t="s">
        <v>223</v>
      </c>
      <c r="C147" s="601"/>
      <c r="D147" s="91"/>
      <c r="E147" s="104">
        <v>1</v>
      </c>
      <c r="F147" s="104">
        <v>1010</v>
      </c>
      <c r="G147" s="88">
        <f>SUM(E147*F147)</f>
        <v>1010</v>
      </c>
      <c r="H147" s="89"/>
      <c r="I147" s="138"/>
    </row>
    <row r="148" spans="2:9" x14ac:dyDescent="0.2">
      <c r="B148" s="587"/>
      <c r="C148" s="585"/>
      <c r="D148" s="585"/>
      <c r="E148" s="585"/>
      <c r="F148" s="71"/>
      <c r="G148" s="72" t="s">
        <v>197</v>
      </c>
      <c r="H148" s="72"/>
      <c r="I148" s="94">
        <f>SUM(G145:H147)</f>
        <v>1808.3202500000002</v>
      </c>
    </row>
    <row r="149" spans="2:9" x14ac:dyDescent="0.2">
      <c r="B149" s="73" t="s">
        <v>198</v>
      </c>
      <c r="C149" s="74"/>
      <c r="D149" s="75"/>
      <c r="E149" s="76"/>
      <c r="F149" s="77"/>
      <c r="G149" s="76"/>
      <c r="H149" s="76"/>
      <c r="I149" s="78"/>
    </row>
    <row r="150" spans="2:9" x14ac:dyDescent="0.2">
      <c r="B150" s="588" t="s">
        <v>188</v>
      </c>
      <c r="C150" s="589"/>
      <c r="D150" s="96" t="s">
        <v>199</v>
      </c>
      <c r="E150" s="110" t="s">
        <v>137</v>
      </c>
      <c r="F150" s="111" t="s">
        <v>200</v>
      </c>
      <c r="G150" s="110" t="s">
        <v>201</v>
      </c>
      <c r="H150" s="112"/>
      <c r="I150" s="100" t="s">
        <v>193</v>
      </c>
    </row>
    <row r="151" spans="2:9" x14ac:dyDescent="0.2">
      <c r="B151" s="590" t="s">
        <v>294</v>
      </c>
      <c r="C151" s="591"/>
      <c r="D151" s="79" t="s">
        <v>77</v>
      </c>
      <c r="E151" s="80">
        <v>1</v>
      </c>
      <c r="F151" s="81"/>
      <c r="G151" s="82">
        <v>70100</v>
      </c>
      <c r="H151" s="83"/>
      <c r="I151" s="90">
        <f t="shared" ref="I151:I159" si="3">(E151*(1+F151/100)) * (G151*(1+H151/100))</f>
        <v>70100</v>
      </c>
    </row>
    <row r="152" spans="2:9" x14ac:dyDescent="0.2">
      <c r="B152" s="590"/>
      <c r="C152" s="591"/>
      <c r="D152" s="79"/>
      <c r="E152" s="80"/>
      <c r="F152" s="87"/>
      <c r="G152" s="82"/>
      <c r="H152" s="84"/>
      <c r="I152" s="90">
        <f t="shared" si="3"/>
        <v>0</v>
      </c>
    </row>
    <row r="153" spans="2:9" x14ac:dyDescent="0.2">
      <c r="B153" s="590"/>
      <c r="C153" s="591"/>
      <c r="D153" s="79"/>
      <c r="E153" s="80"/>
      <c r="F153" s="87"/>
      <c r="G153" s="82"/>
      <c r="H153" s="85"/>
      <c r="I153" s="90">
        <f t="shared" si="3"/>
        <v>0</v>
      </c>
    </row>
    <row r="154" spans="2:9" x14ac:dyDescent="0.2">
      <c r="B154" s="590"/>
      <c r="C154" s="591"/>
      <c r="D154" s="79"/>
      <c r="E154" s="80"/>
      <c r="F154" s="87"/>
      <c r="G154" s="82"/>
      <c r="H154" s="85"/>
      <c r="I154" s="90">
        <f t="shared" si="3"/>
        <v>0</v>
      </c>
    </row>
    <row r="155" spans="2:9" x14ac:dyDescent="0.2">
      <c r="B155" s="590"/>
      <c r="C155" s="591"/>
      <c r="D155" s="79"/>
      <c r="E155" s="80"/>
      <c r="F155" s="87"/>
      <c r="G155" s="82"/>
      <c r="H155" s="85"/>
      <c r="I155" s="90">
        <f t="shared" si="3"/>
        <v>0</v>
      </c>
    </row>
    <row r="156" spans="2:9" x14ac:dyDescent="0.2">
      <c r="B156" s="590"/>
      <c r="C156" s="591"/>
      <c r="D156" s="91"/>
      <c r="E156" s="80"/>
      <c r="F156" s="87"/>
      <c r="G156" s="82"/>
      <c r="H156" s="85"/>
      <c r="I156" s="90">
        <f t="shared" si="3"/>
        <v>0</v>
      </c>
    </row>
    <row r="157" spans="2:9" x14ac:dyDescent="0.2">
      <c r="B157" s="590"/>
      <c r="C157" s="591"/>
      <c r="D157" s="91"/>
      <c r="E157" s="80"/>
      <c r="F157" s="87"/>
      <c r="G157" s="82"/>
      <c r="H157" s="85"/>
      <c r="I157" s="90">
        <f t="shared" si="3"/>
        <v>0</v>
      </c>
    </row>
    <row r="158" spans="2:9" x14ac:dyDescent="0.2">
      <c r="B158" s="562"/>
      <c r="C158" s="563"/>
      <c r="D158" s="91"/>
      <c r="E158" s="80"/>
      <c r="F158" s="87"/>
      <c r="G158" s="88"/>
      <c r="H158" s="89"/>
      <c r="I158" s="90">
        <f t="shared" si="3"/>
        <v>0</v>
      </c>
    </row>
    <row r="159" spans="2:9" x14ac:dyDescent="0.2">
      <c r="B159" s="562"/>
      <c r="C159" s="563"/>
      <c r="D159" s="91"/>
      <c r="E159" s="80"/>
      <c r="F159" s="87"/>
      <c r="G159" s="88"/>
      <c r="H159" s="89"/>
      <c r="I159" s="90">
        <f t="shared" si="3"/>
        <v>0</v>
      </c>
    </row>
    <row r="160" spans="2:9" x14ac:dyDescent="0.2">
      <c r="B160" s="92"/>
      <c r="C160" s="76"/>
      <c r="D160" s="75"/>
      <c r="E160" s="76"/>
      <c r="F160" s="585" t="s">
        <v>202</v>
      </c>
      <c r="G160" s="586"/>
      <c r="H160" s="93"/>
      <c r="I160" s="94">
        <f>SUM(I151:I159)</f>
        <v>70100</v>
      </c>
    </row>
    <row r="161" spans="2:9" ht="14.25" x14ac:dyDescent="0.2">
      <c r="B161" s="73" t="s">
        <v>203</v>
      </c>
      <c r="C161" s="74"/>
      <c r="D161" s="75"/>
      <c r="E161" s="76"/>
      <c r="F161" s="77"/>
      <c r="G161" s="76"/>
      <c r="H161" s="76"/>
      <c r="I161" s="95"/>
    </row>
    <row r="162" spans="2:9" x14ac:dyDescent="0.2">
      <c r="B162" s="588" t="s">
        <v>188</v>
      </c>
      <c r="C162" s="589"/>
      <c r="D162" s="96" t="s">
        <v>204</v>
      </c>
      <c r="E162" s="97" t="s">
        <v>205</v>
      </c>
      <c r="F162" s="98" t="s">
        <v>206</v>
      </c>
      <c r="G162" s="97" t="s">
        <v>207</v>
      </c>
      <c r="H162" s="99"/>
      <c r="I162" s="100" t="s">
        <v>193</v>
      </c>
    </row>
    <row r="163" spans="2:9" x14ac:dyDescent="0.2">
      <c r="B163" s="623"/>
      <c r="C163" s="624"/>
      <c r="D163" s="137"/>
      <c r="E163" s="101"/>
      <c r="F163" s="102"/>
      <c r="G163" s="82">
        <f>+D163*F163</f>
        <v>0</v>
      </c>
      <c r="H163" s="83"/>
      <c r="I163" s="103"/>
    </row>
    <row r="164" spans="2:9" x14ac:dyDescent="0.2">
      <c r="B164" s="623"/>
      <c r="C164" s="624"/>
      <c r="D164" s="137"/>
      <c r="E164" s="101"/>
      <c r="F164" s="104"/>
      <c r="G164" s="82">
        <f>+D164*F164</f>
        <v>0</v>
      </c>
      <c r="H164" s="85"/>
      <c r="I164" s="103"/>
    </row>
    <row r="165" spans="2:9" x14ac:dyDescent="0.2">
      <c r="B165" s="105"/>
      <c r="C165" s="106"/>
      <c r="D165" s="75"/>
      <c r="E165" s="106"/>
      <c r="F165" s="107" t="s">
        <v>208</v>
      </c>
      <c r="G165" s="106"/>
      <c r="H165" s="108"/>
      <c r="I165" s="109">
        <f>SUM(G163:G164)</f>
        <v>0</v>
      </c>
    </row>
    <row r="166" spans="2:9" ht="14.25" x14ac:dyDescent="0.2">
      <c r="B166" s="73" t="s">
        <v>209</v>
      </c>
      <c r="C166" s="76"/>
      <c r="D166" s="75"/>
      <c r="E166" s="76"/>
      <c r="F166" s="77"/>
      <c r="G166" s="76"/>
      <c r="H166" s="76"/>
      <c r="I166" s="95"/>
    </row>
    <row r="167" spans="2:9" x14ac:dyDescent="0.2">
      <c r="B167" s="588" t="s">
        <v>188</v>
      </c>
      <c r="C167" s="589"/>
      <c r="D167" s="96" t="s">
        <v>136</v>
      </c>
      <c r="E167" s="110" t="s">
        <v>137</v>
      </c>
      <c r="F167" s="111" t="s">
        <v>201</v>
      </c>
      <c r="G167" s="112" t="s">
        <v>205</v>
      </c>
      <c r="H167" s="112"/>
      <c r="I167" s="100" t="s">
        <v>193</v>
      </c>
    </row>
    <row r="168" spans="2:9" ht="32.25" customHeight="1" x14ac:dyDescent="0.2">
      <c r="B168" s="590" t="s">
        <v>286</v>
      </c>
      <c r="C168" s="591"/>
      <c r="D168" s="91" t="s">
        <v>211</v>
      </c>
      <c r="E168" s="88">
        <v>0.7</v>
      </c>
      <c r="F168" s="104">
        <f>+(90000+60000*1)*1.671</f>
        <v>250650</v>
      </c>
      <c r="G168" s="113">
        <v>7.0000000000000007E-2</v>
      </c>
      <c r="H168" s="114"/>
      <c r="I168" s="115">
        <f>SUM(F168*E168)*G168</f>
        <v>12281.85</v>
      </c>
    </row>
    <row r="169" spans="2:9" x14ac:dyDescent="0.2">
      <c r="B169" s="627"/>
      <c r="C169" s="617"/>
      <c r="D169" s="91"/>
      <c r="E169" s="116"/>
      <c r="F169" s="117"/>
      <c r="G169" s="114"/>
      <c r="H169" s="114"/>
      <c r="I169" s="94">
        <f>SUM(F169*E169)*G169</f>
        <v>0</v>
      </c>
    </row>
    <row r="170" spans="2:9" x14ac:dyDescent="0.2">
      <c r="B170" s="598"/>
      <c r="C170" s="599"/>
      <c r="D170" s="91"/>
      <c r="E170" s="118"/>
      <c r="F170" s="117"/>
      <c r="G170" s="114"/>
      <c r="H170" s="114"/>
      <c r="I170" s="94">
        <f>SUM(F170*E170)*G170</f>
        <v>0</v>
      </c>
    </row>
    <row r="171" spans="2:9" x14ac:dyDescent="0.2">
      <c r="B171" s="92"/>
      <c r="C171" s="76"/>
      <c r="D171" s="75"/>
      <c r="E171" s="76"/>
      <c r="F171" s="605" t="s">
        <v>212</v>
      </c>
      <c r="G171" s="605"/>
      <c r="H171" s="119"/>
      <c r="I171" s="94">
        <f>I168</f>
        <v>12281.85</v>
      </c>
    </row>
    <row r="172" spans="2:9" ht="13.5" thickBot="1" x14ac:dyDescent="0.25">
      <c r="B172" s="92"/>
      <c r="C172" s="76"/>
      <c r="D172" s="75"/>
      <c r="E172" s="76"/>
      <c r="F172" s="120"/>
      <c r="G172" s="119"/>
      <c r="H172" s="119"/>
      <c r="I172" s="78"/>
    </row>
    <row r="173" spans="2:9" ht="13.5" thickBot="1" x14ac:dyDescent="0.25">
      <c r="B173" s="92"/>
      <c r="C173" s="76"/>
      <c r="D173" s="75"/>
      <c r="E173" s="606" t="s">
        <v>213</v>
      </c>
      <c r="F173" s="606"/>
      <c r="G173" s="606"/>
      <c r="H173" s="121"/>
      <c r="I173" s="122">
        <f>ROUND(SUM(I148+I160+I165+I171),0)</f>
        <v>84190</v>
      </c>
    </row>
    <row r="174" spans="2:9" ht="15" thickBot="1" x14ac:dyDescent="0.25">
      <c r="B174" s="73" t="s">
        <v>214</v>
      </c>
      <c r="C174" s="76"/>
      <c r="D174" s="123"/>
      <c r="E174" s="124"/>
      <c r="F174" s="77"/>
      <c r="G174" s="76"/>
      <c r="H174" s="76"/>
      <c r="I174" s="78"/>
    </row>
    <row r="175" spans="2:9" x14ac:dyDescent="0.2">
      <c r="B175" s="607" t="s">
        <v>215</v>
      </c>
      <c r="C175" s="608"/>
      <c r="D175" s="613" t="s">
        <v>216</v>
      </c>
      <c r="E175" s="614"/>
      <c r="F175" s="125" t="s">
        <v>195</v>
      </c>
      <c r="G175" s="126" t="s">
        <v>217</v>
      </c>
      <c r="H175" s="127"/>
      <c r="I175" s="615"/>
    </row>
    <row r="176" spans="2:9" x14ac:dyDescent="0.2">
      <c r="B176" s="609"/>
      <c r="C176" s="610"/>
      <c r="D176" s="617" t="s">
        <v>218</v>
      </c>
      <c r="E176" s="618"/>
      <c r="F176" s="128">
        <v>25</v>
      </c>
      <c r="G176" s="116">
        <f>I173*20%</f>
        <v>16838</v>
      </c>
      <c r="H176" s="129"/>
      <c r="I176" s="616"/>
    </row>
    <row r="177" spans="2:9" x14ac:dyDescent="0.2">
      <c r="B177" s="609"/>
      <c r="C177" s="610"/>
      <c r="D177" s="617" t="s">
        <v>168</v>
      </c>
      <c r="E177" s="618"/>
      <c r="F177" s="128">
        <v>5</v>
      </c>
      <c r="G177" s="116">
        <f>I173*5%</f>
        <v>4209.5</v>
      </c>
      <c r="H177" s="129"/>
      <c r="I177" s="616"/>
    </row>
    <row r="178" spans="2:9" x14ac:dyDescent="0.2">
      <c r="B178" s="609"/>
      <c r="C178" s="610"/>
      <c r="D178" s="619" t="s">
        <v>219</v>
      </c>
      <c r="E178" s="617"/>
      <c r="F178" s="128">
        <f>SUM(F176:F177)</f>
        <v>30</v>
      </c>
      <c r="G178" s="116">
        <f>SUM(G176:G177)</f>
        <v>21047.5</v>
      </c>
      <c r="H178" s="129"/>
      <c r="I178" s="616"/>
    </row>
    <row r="179" spans="2:9" ht="15" thickBot="1" x14ac:dyDescent="0.25">
      <c r="B179" s="609"/>
      <c r="C179" s="610"/>
      <c r="D179" s="130"/>
      <c r="E179" s="620" t="s">
        <v>220</v>
      </c>
      <c r="F179" s="621"/>
      <c r="G179" s="622"/>
      <c r="H179" s="38"/>
      <c r="I179" s="131">
        <f>SUM(G178:G178)</f>
        <v>21047.5</v>
      </c>
    </row>
    <row r="180" spans="2:9" ht="16.5" thickBot="1" x14ac:dyDescent="0.3">
      <c r="B180" s="611"/>
      <c r="C180" s="612"/>
      <c r="D180" s="628" t="s">
        <v>221</v>
      </c>
      <c r="E180" s="629"/>
      <c r="F180" s="630"/>
      <c r="G180" s="602">
        <f>SUM(I173+I179)</f>
        <v>105237.5</v>
      </c>
      <c r="H180" s="603"/>
      <c r="I180" s="604"/>
    </row>
    <row r="182" spans="2:9" ht="18.75" thickBot="1" x14ac:dyDescent="0.3">
      <c r="B182" s="564" t="s">
        <v>180</v>
      </c>
      <c r="C182" s="564"/>
      <c r="D182" s="564"/>
      <c r="E182" s="564"/>
      <c r="F182" s="564"/>
      <c r="G182" s="564"/>
      <c r="H182" s="564"/>
      <c r="I182" s="564"/>
    </row>
    <row r="183" spans="2:9" ht="15.75" thickBot="1" x14ac:dyDescent="0.3">
      <c r="B183" s="59" t="s">
        <v>181</v>
      </c>
      <c r="C183" s="565" t="s">
        <v>393</v>
      </c>
      <c r="D183" s="566"/>
      <c r="E183" s="566"/>
      <c r="F183" s="567"/>
      <c r="G183" s="60" t="s">
        <v>5</v>
      </c>
      <c r="H183" s="61"/>
      <c r="I183" s="62">
        <v>45373</v>
      </c>
    </row>
    <row r="184" spans="2:9" ht="13.5" thickBot="1" x14ac:dyDescent="0.25">
      <c r="B184" s="568" t="s">
        <v>182</v>
      </c>
      <c r="C184" s="569"/>
      <c r="D184" s="570"/>
      <c r="E184" s="568" t="s">
        <v>183</v>
      </c>
      <c r="F184" s="569"/>
      <c r="G184" s="569"/>
      <c r="H184" s="569"/>
      <c r="I184" s="570"/>
    </row>
    <row r="185" spans="2:9" ht="13.5" thickBot="1" x14ac:dyDescent="0.25">
      <c r="B185" s="571"/>
      <c r="C185" s="572"/>
      <c r="D185" s="573"/>
      <c r="E185" s="574" t="s">
        <v>100</v>
      </c>
      <c r="F185" s="575"/>
      <c r="G185" s="575"/>
      <c r="H185" s="575"/>
      <c r="I185" s="576"/>
    </row>
    <row r="186" spans="2:9" ht="13.5" thickBot="1" x14ac:dyDescent="0.25">
      <c r="B186" s="63" t="s">
        <v>225</v>
      </c>
      <c r="C186" s="64" t="s">
        <v>185</v>
      </c>
      <c r="D186" s="65" t="s">
        <v>99</v>
      </c>
      <c r="E186" s="577"/>
      <c r="F186" s="578"/>
      <c r="G186" s="578"/>
      <c r="H186" s="578"/>
      <c r="I186" s="579"/>
    </row>
    <row r="187" spans="2:9" ht="13.5" thickBot="1" x14ac:dyDescent="0.25">
      <c r="B187" s="583" t="s">
        <v>186</v>
      </c>
      <c r="C187" s="584"/>
      <c r="D187" s="66"/>
      <c r="E187" s="580"/>
      <c r="F187" s="581"/>
      <c r="G187" s="581"/>
      <c r="H187" s="581"/>
      <c r="I187" s="582"/>
    </row>
    <row r="188" spans="2:9" x14ac:dyDescent="0.2">
      <c r="B188" s="67" t="s">
        <v>187</v>
      </c>
      <c r="C188" s="68"/>
      <c r="D188" s="592"/>
      <c r="E188" s="592"/>
      <c r="F188" s="592"/>
      <c r="G188" s="592"/>
      <c r="H188" s="592"/>
      <c r="I188" s="593"/>
    </row>
    <row r="189" spans="2:9" x14ac:dyDescent="0.2">
      <c r="B189" s="588" t="s">
        <v>188</v>
      </c>
      <c r="C189" s="589"/>
      <c r="D189" s="96" t="s">
        <v>189</v>
      </c>
      <c r="E189" s="134" t="s">
        <v>190</v>
      </c>
      <c r="F189" s="111" t="s">
        <v>191</v>
      </c>
      <c r="G189" s="110" t="s">
        <v>192</v>
      </c>
      <c r="H189" s="112"/>
      <c r="I189" s="100" t="s">
        <v>193</v>
      </c>
    </row>
    <row r="190" spans="2:9" x14ac:dyDescent="0.2">
      <c r="B190" s="594" t="s">
        <v>194</v>
      </c>
      <c r="C190" s="595"/>
      <c r="D190" s="91" t="s">
        <v>195</v>
      </c>
      <c r="E190" s="135">
        <v>5</v>
      </c>
      <c r="F190" s="135">
        <f>SUM(I216)</f>
        <v>15039</v>
      </c>
      <c r="G190" s="116">
        <f>SUM(F190*5%)</f>
        <v>751.95</v>
      </c>
      <c r="H190" s="69"/>
      <c r="I190" s="596"/>
    </row>
    <row r="191" spans="2:9" x14ac:dyDescent="0.2">
      <c r="B191" s="598" t="s">
        <v>196</v>
      </c>
      <c r="C191" s="599"/>
      <c r="D191" s="91" t="s">
        <v>195</v>
      </c>
      <c r="E191" s="135">
        <v>1.5</v>
      </c>
      <c r="F191" s="135">
        <f>SUM(I216)</f>
        <v>15039</v>
      </c>
      <c r="G191" s="116">
        <f>SUM(F191*1.5%)</f>
        <v>225.58499999999998</v>
      </c>
      <c r="H191" s="70"/>
      <c r="I191" s="597"/>
    </row>
    <row r="192" spans="2:9" x14ac:dyDescent="0.2">
      <c r="B192" s="600" t="s">
        <v>223</v>
      </c>
      <c r="C192" s="601"/>
      <c r="D192" s="91"/>
      <c r="E192" s="104">
        <v>1</v>
      </c>
      <c r="F192" s="104">
        <v>1010</v>
      </c>
      <c r="G192" s="88">
        <f>SUM(E192*F192)</f>
        <v>1010</v>
      </c>
      <c r="H192" s="89"/>
      <c r="I192" s="138"/>
    </row>
    <row r="193" spans="2:9" x14ac:dyDescent="0.2">
      <c r="B193" s="587"/>
      <c r="C193" s="585"/>
      <c r="D193" s="585"/>
      <c r="E193" s="585"/>
      <c r="F193" s="71"/>
      <c r="G193" s="72" t="s">
        <v>197</v>
      </c>
      <c r="H193" s="72"/>
      <c r="I193" s="94">
        <f>SUM(G190:H192)</f>
        <v>1987.5350000000001</v>
      </c>
    </row>
    <row r="194" spans="2:9" x14ac:dyDescent="0.2">
      <c r="B194" s="73" t="s">
        <v>198</v>
      </c>
      <c r="C194" s="74"/>
      <c r="D194" s="75"/>
      <c r="E194" s="76"/>
      <c r="F194" s="77"/>
      <c r="G194" s="76"/>
      <c r="H194" s="76"/>
      <c r="I194" s="78"/>
    </row>
    <row r="195" spans="2:9" x14ac:dyDescent="0.2">
      <c r="B195" s="588" t="s">
        <v>188</v>
      </c>
      <c r="C195" s="589"/>
      <c r="D195" s="96" t="s">
        <v>199</v>
      </c>
      <c r="E195" s="110" t="s">
        <v>137</v>
      </c>
      <c r="F195" s="111" t="s">
        <v>200</v>
      </c>
      <c r="G195" s="110" t="s">
        <v>201</v>
      </c>
      <c r="H195" s="112"/>
      <c r="I195" s="100" t="s">
        <v>193</v>
      </c>
    </row>
    <row r="196" spans="2:9" x14ac:dyDescent="0.2">
      <c r="B196" s="590" t="s">
        <v>287</v>
      </c>
      <c r="C196" s="591"/>
      <c r="D196" s="79" t="s">
        <v>77</v>
      </c>
      <c r="E196" s="80">
        <v>0.01</v>
      </c>
      <c r="F196" s="81">
        <v>5</v>
      </c>
      <c r="G196" s="82">
        <f>114000*1.3</f>
        <v>148200</v>
      </c>
      <c r="H196" s="83"/>
      <c r="I196" s="90">
        <f t="shared" ref="I196:I204" si="4">(E196*(1+F196/100)) * (G196*(1+H196/100))</f>
        <v>1556.1000000000001</v>
      </c>
    </row>
    <row r="197" spans="2:9" x14ac:dyDescent="0.2">
      <c r="B197" s="590" t="s">
        <v>288</v>
      </c>
      <c r="C197" s="591"/>
      <c r="D197" s="79" t="s">
        <v>39</v>
      </c>
      <c r="E197" s="80">
        <v>1</v>
      </c>
      <c r="F197" s="87">
        <v>5</v>
      </c>
      <c r="G197" s="82">
        <f>3550*1.3</f>
        <v>4615</v>
      </c>
      <c r="H197" s="84"/>
      <c r="I197" s="90">
        <f t="shared" si="4"/>
        <v>4845.75</v>
      </c>
    </row>
    <row r="198" spans="2:9" ht="21" customHeight="1" x14ac:dyDescent="0.2">
      <c r="B198" s="590" t="s">
        <v>291</v>
      </c>
      <c r="C198" s="591"/>
      <c r="D198" s="91" t="s">
        <v>39</v>
      </c>
      <c r="E198" s="80">
        <v>2</v>
      </c>
      <c r="F198" s="87">
        <v>5</v>
      </c>
      <c r="G198" s="82">
        <f>927*1.8</f>
        <v>1668.6000000000001</v>
      </c>
      <c r="H198" s="85"/>
      <c r="I198" s="90">
        <f t="shared" si="4"/>
        <v>3504.0600000000004</v>
      </c>
    </row>
    <row r="199" spans="2:9" ht="19.5" customHeight="1" x14ac:dyDescent="0.2">
      <c r="B199" s="590" t="s">
        <v>292</v>
      </c>
      <c r="C199" s="591"/>
      <c r="D199" s="91" t="s">
        <v>39</v>
      </c>
      <c r="E199" s="80">
        <v>1</v>
      </c>
      <c r="F199" s="87">
        <v>5</v>
      </c>
      <c r="G199" s="82">
        <f>1433*1.8</f>
        <v>2579.4</v>
      </c>
      <c r="H199" s="85"/>
      <c r="I199" s="90">
        <f t="shared" si="4"/>
        <v>2708.3700000000003</v>
      </c>
    </row>
    <row r="200" spans="2:9" x14ac:dyDescent="0.2">
      <c r="B200" s="590"/>
      <c r="C200" s="591"/>
      <c r="D200" s="79"/>
      <c r="E200" s="80"/>
      <c r="F200" s="87"/>
      <c r="G200" s="82"/>
      <c r="H200" s="85"/>
      <c r="I200" s="90">
        <f t="shared" si="4"/>
        <v>0</v>
      </c>
    </row>
    <row r="201" spans="2:9" x14ac:dyDescent="0.2">
      <c r="B201" s="590"/>
      <c r="C201" s="591"/>
      <c r="D201" s="91"/>
      <c r="E201" s="80"/>
      <c r="F201" s="87"/>
      <c r="G201" s="82"/>
      <c r="H201" s="85"/>
      <c r="I201" s="90">
        <f t="shared" si="4"/>
        <v>0</v>
      </c>
    </row>
    <row r="202" spans="2:9" x14ac:dyDescent="0.2">
      <c r="B202" s="590"/>
      <c r="C202" s="591"/>
      <c r="D202" s="91"/>
      <c r="E202" s="80"/>
      <c r="F202" s="87"/>
      <c r="G202" s="82"/>
      <c r="H202" s="85"/>
      <c r="I202" s="90">
        <f t="shared" si="4"/>
        <v>0</v>
      </c>
    </row>
    <row r="203" spans="2:9" x14ac:dyDescent="0.2">
      <c r="B203" s="562"/>
      <c r="C203" s="563"/>
      <c r="D203" s="91"/>
      <c r="E203" s="80"/>
      <c r="F203" s="87"/>
      <c r="G203" s="88"/>
      <c r="H203" s="89"/>
      <c r="I203" s="90">
        <f t="shared" si="4"/>
        <v>0</v>
      </c>
    </row>
    <row r="204" spans="2:9" x14ac:dyDescent="0.2">
      <c r="B204" s="562"/>
      <c r="C204" s="563"/>
      <c r="D204" s="91"/>
      <c r="E204" s="80"/>
      <c r="F204" s="87"/>
      <c r="G204" s="88"/>
      <c r="H204" s="89"/>
      <c r="I204" s="90">
        <f t="shared" si="4"/>
        <v>0</v>
      </c>
    </row>
    <row r="205" spans="2:9" x14ac:dyDescent="0.2">
      <c r="B205" s="92"/>
      <c r="C205" s="76"/>
      <c r="D205" s="75"/>
      <c r="E205" s="76"/>
      <c r="F205" s="585" t="s">
        <v>202</v>
      </c>
      <c r="G205" s="586"/>
      <c r="H205" s="93"/>
      <c r="I205" s="94">
        <f>SUM(I196:I204)</f>
        <v>12614.28</v>
      </c>
    </row>
    <row r="206" spans="2:9" ht="14.25" x14ac:dyDescent="0.2">
      <c r="B206" s="73" t="s">
        <v>203</v>
      </c>
      <c r="C206" s="74"/>
      <c r="D206" s="75"/>
      <c r="E206" s="76"/>
      <c r="F206" s="77"/>
      <c r="G206" s="76"/>
      <c r="H206" s="76"/>
      <c r="I206" s="95"/>
    </row>
    <row r="207" spans="2:9" x14ac:dyDescent="0.2">
      <c r="B207" s="588" t="s">
        <v>188</v>
      </c>
      <c r="C207" s="589"/>
      <c r="D207" s="96" t="s">
        <v>204</v>
      </c>
      <c r="E207" s="97" t="s">
        <v>205</v>
      </c>
      <c r="F207" s="98" t="s">
        <v>206</v>
      </c>
      <c r="G207" s="97" t="s">
        <v>207</v>
      </c>
      <c r="H207" s="99"/>
      <c r="I207" s="100" t="s">
        <v>193</v>
      </c>
    </row>
    <row r="208" spans="2:9" x14ac:dyDescent="0.2">
      <c r="B208" s="623"/>
      <c r="C208" s="624"/>
      <c r="D208" s="137"/>
      <c r="E208" s="101"/>
      <c r="F208" s="102"/>
      <c r="G208" s="82">
        <f>+D208*F208</f>
        <v>0</v>
      </c>
      <c r="H208" s="83"/>
      <c r="I208" s="103"/>
    </row>
    <row r="209" spans="2:9" x14ac:dyDescent="0.2">
      <c r="B209" s="623"/>
      <c r="C209" s="624"/>
      <c r="D209" s="137"/>
      <c r="E209" s="101"/>
      <c r="F209" s="104"/>
      <c r="G209" s="82">
        <f>+D209*F209</f>
        <v>0</v>
      </c>
      <c r="H209" s="85"/>
      <c r="I209" s="103"/>
    </row>
    <row r="210" spans="2:9" x14ac:dyDescent="0.2">
      <c r="B210" s="105"/>
      <c r="C210" s="106"/>
      <c r="D210" s="75"/>
      <c r="E210" s="106"/>
      <c r="F210" s="107" t="s">
        <v>208</v>
      </c>
      <c r="G210" s="106"/>
      <c r="H210" s="108"/>
      <c r="I210" s="109">
        <f>SUM(G208:G209)</f>
        <v>0</v>
      </c>
    </row>
    <row r="211" spans="2:9" ht="14.25" x14ac:dyDescent="0.2">
      <c r="B211" s="73" t="s">
        <v>209</v>
      </c>
      <c r="C211" s="76"/>
      <c r="D211" s="75"/>
      <c r="E211" s="76"/>
      <c r="F211" s="77"/>
      <c r="G211" s="76"/>
      <c r="H211" s="76"/>
      <c r="I211" s="95"/>
    </row>
    <row r="212" spans="2:9" x14ac:dyDescent="0.2">
      <c r="B212" s="588" t="s">
        <v>188</v>
      </c>
      <c r="C212" s="589"/>
      <c r="D212" s="96" t="s">
        <v>136</v>
      </c>
      <c r="E212" s="110" t="s">
        <v>137</v>
      </c>
      <c r="F212" s="111" t="s">
        <v>201</v>
      </c>
      <c r="G212" s="112" t="s">
        <v>205</v>
      </c>
      <c r="H212" s="112"/>
      <c r="I212" s="100" t="s">
        <v>193</v>
      </c>
    </row>
    <row r="213" spans="2:9" ht="34.5" customHeight="1" x14ac:dyDescent="0.2">
      <c r="B213" s="590" t="s">
        <v>286</v>
      </c>
      <c r="C213" s="591"/>
      <c r="D213" s="91" t="s">
        <v>211</v>
      </c>
      <c r="E213" s="88">
        <v>1</v>
      </c>
      <c r="F213" s="104">
        <f>+(90000+60000*1)*1.671</f>
        <v>250650</v>
      </c>
      <c r="G213" s="113">
        <v>0.06</v>
      </c>
      <c r="H213" s="114"/>
      <c r="I213" s="115">
        <f>SUM(F213*E213)*G213</f>
        <v>15039</v>
      </c>
    </row>
    <row r="214" spans="2:9" x14ac:dyDescent="0.2">
      <c r="B214" s="627"/>
      <c r="C214" s="617"/>
      <c r="D214" s="91"/>
      <c r="E214" s="116"/>
      <c r="F214" s="117"/>
      <c r="G214" s="114"/>
      <c r="H214" s="114"/>
      <c r="I214" s="94">
        <f>SUM(F214*E214)*G214</f>
        <v>0</v>
      </c>
    </row>
    <row r="215" spans="2:9" x14ac:dyDescent="0.2">
      <c r="B215" s="598"/>
      <c r="C215" s="599"/>
      <c r="D215" s="91"/>
      <c r="E215" s="118"/>
      <c r="F215" s="117"/>
      <c r="G215" s="114"/>
      <c r="H215" s="114"/>
      <c r="I215" s="94">
        <f>SUM(F215*E215)*G215</f>
        <v>0</v>
      </c>
    </row>
    <row r="216" spans="2:9" x14ac:dyDescent="0.2">
      <c r="B216" s="92"/>
      <c r="C216" s="76"/>
      <c r="D216" s="75"/>
      <c r="E216" s="76"/>
      <c r="F216" s="605" t="s">
        <v>212</v>
      </c>
      <c r="G216" s="605"/>
      <c r="H216" s="119"/>
      <c r="I216" s="94">
        <f>I213</f>
        <v>15039</v>
      </c>
    </row>
    <row r="217" spans="2:9" ht="13.5" thickBot="1" x14ac:dyDescent="0.25">
      <c r="B217" s="92"/>
      <c r="C217" s="76"/>
      <c r="D217" s="75"/>
      <c r="E217" s="76"/>
      <c r="F217" s="120"/>
      <c r="G217" s="119"/>
      <c r="H217" s="119"/>
      <c r="I217" s="78"/>
    </row>
    <row r="218" spans="2:9" ht="13.5" thickBot="1" x14ac:dyDescent="0.25">
      <c r="B218" s="92"/>
      <c r="C218" s="76"/>
      <c r="D218" s="75"/>
      <c r="E218" s="606" t="s">
        <v>213</v>
      </c>
      <c r="F218" s="606"/>
      <c r="G218" s="606"/>
      <c r="H218" s="121"/>
      <c r="I218" s="122">
        <f>ROUND(SUM(I193+I205+I210+I216),0)</f>
        <v>29641</v>
      </c>
    </row>
    <row r="219" spans="2:9" ht="15" thickBot="1" x14ac:dyDescent="0.25">
      <c r="B219" s="73" t="s">
        <v>214</v>
      </c>
      <c r="C219" s="76"/>
      <c r="D219" s="123"/>
      <c r="E219" s="124"/>
      <c r="F219" s="77"/>
      <c r="G219" s="76"/>
      <c r="H219" s="76"/>
      <c r="I219" s="78"/>
    </row>
    <row r="220" spans="2:9" x14ac:dyDescent="0.2">
      <c r="B220" s="607" t="s">
        <v>215</v>
      </c>
      <c r="C220" s="608"/>
      <c r="D220" s="613" t="s">
        <v>216</v>
      </c>
      <c r="E220" s="614"/>
      <c r="F220" s="125" t="s">
        <v>195</v>
      </c>
      <c r="G220" s="126" t="s">
        <v>217</v>
      </c>
      <c r="H220" s="127"/>
      <c r="I220" s="615"/>
    </row>
    <row r="221" spans="2:9" x14ac:dyDescent="0.2">
      <c r="B221" s="609"/>
      <c r="C221" s="610"/>
      <c r="D221" s="617" t="s">
        <v>218</v>
      </c>
      <c r="E221" s="618"/>
      <c r="F221" s="128">
        <v>25</v>
      </c>
      <c r="G221" s="116">
        <f>I218*20%</f>
        <v>5928.2000000000007</v>
      </c>
      <c r="H221" s="129"/>
      <c r="I221" s="616"/>
    </row>
    <row r="222" spans="2:9" x14ac:dyDescent="0.2">
      <c r="B222" s="609"/>
      <c r="C222" s="610"/>
      <c r="D222" s="617" t="s">
        <v>168</v>
      </c>
      <c r="E222" s="618"/>
      <c r="F222" s="128">
        <v>5</v>
      </c>
      <c r="G222" s="116">
        <f>I218*5%</f>
        <v>1482.0500000000002</v>
      </c>
      <c r="H222" s="129"/>
      <c r="I222" s="616"/>
    </row>
    <row r="223" spans="2:9" x14ac:dyDescent="0.2">
      <c r="B223" s="609"/>
      <c r="C223" s="610"/>
      <c r="D223" s="619" t="s">
        <v>219</v>
      </c>
      <c r="E223" s="617"/>
      <c r="F223" s="128">
        <f>SUM(F221:F222)</f>
        <v>30</v>
      </c>
      <c r="G223" s="116">
        <f>SUM(G221:G222)</f>
        <v>7410.2500000000009</v>
      </c>
      <c r="H223" s="129"/>
      <c r="I223" s="616"/>
    </row>
    <row r="224" spans="2:9" ht="15" thickBot="1" x14ac:dyDescent="0.25">
      <c r="B224" s="609"/>
      <c r="C224" s="610"/>
      <c r="D224" s="130"/>
      <c r="E224" s="620" t="s">
        <v>220</v>
      </c>
      <c r="F224" s="621"/>
      <c r="G224" s="622"/>
      <c r="H224" s="38"/>
      <c r="I224" s="131">
        <f>SUM(G223:G223)</f>
        <v>7410.2500000000009</v>
      </c>
    </row>
    <row r="225" spans="2:9" ht="16.5" thickBot="1" x14ac:dyDescent="0.3">
      <c r="B225" s="611"/>
      <c r="C225" s="612"/>
      <c r="D225" s="628" t="s">
        <v>221</v>
      </c>
      <c r="E225" s="629"/>
      <c r="F225" s="630"/>
      <c r="G225" s="602">
        <f>SUM(I218+I224)</f>
        <v>37051.25</v>
      </c>
      <c r="H225" s="603"/>
      <c r="I225" s="604"/>
    </row>
    <row r="227" spans="2:9" ht="18.75" thickBot="1" x14ac:dyDescent="0.3">
      <c r="B227" s="564" t="s">
        <v>180</v>
      </c>
      <c r="C227" s="564"/>
      <c r="D227" s="564"/>
      <c r="E227" s="564"/>
      <c r="F227" s="564"/>
      <c r="G227" s="564"/>
      <c r="H227" s="564"/>
      <c r="I227" s="564"/>
    </row>
    <row r="228" spans="2:9" ht="15.75" thickBot="1" x14ac:dyDescent="0.3">
      <c r="B228" s="59" t="s">
        <v>181</v>
      </c>
      <c r="C228" s="565" t="s">
        <v>393</v>
      </c>
      <c r="D228" s="566"/>
      <c r="E228" s="566"/>
      <c r="F228" s="567"/>
      <c r="G228" s="60" t="s">
        <v>5</v>
      </c>
      <c r="H228" s="61"/>
      <c r="I228" s="62">
        <v>45373</v>
      </c>
    </row>
    <row r="229" spans="2:9" ht="13.5" thickBot="1" x14ac:dyDescent="0.25">
      <c r="B229" s="568" t="s">
        <v>182</v>
      </c>
      <c r="C229" s="569"/>
      <c r="D229" s="570"/>
      <c r="E229" s="568" t="s">
        <v>183</v>
      </c>
      <c r="F229" s="569"/>
      <c r="G229" s="569"/>
      <c r="H229" s="569"/>
      <c r="I229" s="570"/>
    </row>
    <row r="230" spans="2:9" ht="13.5" thickBot="1" x14ac:dyDescent="0.25">
      <c r="B230" s="571"/>
      <c r="C230" s="572"/>
      <c r="D230" s="573"/>
      <c r="E230" s="574" t="str">
        <f>+'P. Adecuación'!C51</f>
        <v>SUMINISTRO E INSTALACION DE INTERRUPTORES DOBLES 110V</v>
      </c>
      <c r="F230" s="575"/>
      <c r="G230" s="575"/>
      <c r="H230" s="575"/>
      <c r="I230" s="576"/>
    </row>
    <row r="231" spans="2:9" ht="13.5" thickBot="1" x14ac:dyDescent="0.25">
      <c r="B231" s="63" t="s">
        <v>225</v>
      </c>
      <c r="C231" s="64" t="s">
        <v>185</v>
      </c>
      <c r="D231" s="65" t="s">
        <v>447</v>
      </c>
      <c r="E231" s="577"/>
      <c r="F231" s="578"/>
      <c r="G231" s="578"/>
      <c r="H231" s="578"/>
      <c r="I231" s="579"/>
    </row>
    <row r="232" spans="2:9" ht="13.5" thickBot="1" x14ac:dyDescent="0.25">
      <c r="B232" s="583" t="s">
        <v>186</v>
      </c>
      <c r="C232" s="584"/>
      <c r="D232" s="66"/>
      <c r="E232" s="580"/>
      <c r="F232" s="581"/>
      <c r="G232" s="581"/>
      <c r="H232" s="581"/>
      <c r="I232" s="582"/>
    </row>
    <row r="233" spans="2:9" x14ac:dyDescent="0.2">
      <c r="B233" s="67" t="s">
        <v>187</v>
      </c>
      <c r="C233" s="68"/>
      <c r="D233" s="592"/>
      <c r="E233" s="592"/>
      <c r="F233" s="592"/>
      <c r="G233" s="592"/>
      <c r="H233" s="592"/>
      <c r="I233" s="593"/>
    </row>
    <row r="234" spans="2:9" x14ac:dyDescent="0.2">
      <c r="B234" s="588" t="s">
        <v>188</v>
      </c>
      <c r="C234" s="589"/>
      <c r="D234" s="96" t="s">
        <v>189</v>
      </c>
      <c r="E234" s="134" t="s">
        <v>190</v>
      </c>
      <c r="F234" s="111" t="s">
        <v>191</v>
      </c>
      <c r="G234" s="110" t="s">
        <v>192</v>
      </c>
      <c r="H234" s="112"/>
      <c r="I234" s="100" t="s">
        <v>193</v>
      </c>
    </row>
    <row r="235" spans="2:9" x14ac:dyDescent="0.2">
      <c r="B235" s="594" t="s">
        <v>194</v>
      </c>
      <c r="C235" s="595"/>
      <c r="D235" s="91" t="s">
        <v>195</v>
      </c>
      <c r="E235" s="135">
        <v>5</v>
      </c>
      <c r="F235" s="135">
        <f>SUM(I261)</f>
        <v>70182</v>
      </c>
      <c r="G235" s="116">
        <f>SUM(F235*5%)</f>
        <v>3509.1000000000004</v>
      </c>
      <c r="H235" s="69"/>
      <c r="I235" s="596"/>
    </row>
    <row r="236" spans="2:9" x14ac:dyDescent="0.2">
      <c r="B236" s="598" t="s">
        <v>196</v>
      </c>
      <c r="C236" s="599"/>
      <c r="D236" s="91" t="s">
        <v>195</v>
      </c>
      <c r="E236" s="135">
        <v>1.5</v>
      </c>
      <c r="F236" s="135">
        <f>SUM(I261)</f>
        <v>70182</v>
      </c>
      <c r="G236" s="116">
        <f>SUM(F236*1.5%)</f>
        <v>1052.73</v>
      </c>
      <c r="H236" s="70"/>
      <c r="I236" s="597"/>
    </row>
    <row r="237" spans="2:9" x14ac:dyDescent="0.2">
      <c r="B237" s="600" t="s">
        <v>223</v>
      </c>
      <c r="C237" s="601"/>
      <c r="D237" s="91"/>
      <c r="E237" s="104">
        <v>1</v>
      </c>
      <c r="F237" s="104">
        <v>1010</v>
      </c>
      <c r="G237" s="88">
        <f>SUM(E237*F237)</f>
        <v>1010</v>
      </c>
      <c r="H237" s="89"/>
      <c r="I237" s="335"/>
    </row>
    <row r="238" spans="2:9" x14ac:dyDescent="0.2">
      <c r="B238" s="587"/>
      <c r="C238" s="585"/>
      <c r="D238" s="585"/>
      <c r="E238" s="585"/>
      <c r="F238" s="71"/>
      <c r="G238" s="72" t="s">
        <v>197</v>
      </c>
      <c r="H238" s="72"/>
      <c r="I238" s="94">
        <f>SUM(G235:H237)</f>
        <v>5571.83</v>
      </c>
    </row>
    <row r="239" spans="2:9" x14ac:dyDescent="0.2">
      <c r="B239" s="73" t="s">
        <v>198</v>
      </c>
      <c r="C239" s="74"/>
      <c r="D239" s="75"/>
      <c r="E239" s="76"/>
      <c r="F239" s="77"/>
      <c r="G239" s="76"/>
      <c r="H239" s="76"/>
      <c r="I239" s="78"/>
    </row>
    <row r="240" spans="2:9" x14ac:dyDescent="0.2">
      <c r="B240" s="588" t="s">
        <v>188</v>
      </c>
      <c r="C240" s="589"/>
      <c r="D240" s="96" t="s">
        <v>199</v>
      </c>
      <c r="E240" s="110" t="s">
        <v>137</v>
      </c>
      <c r="F240" s="111" t="s">
        <v>200</v>
      </c>
      <c r="G240" s="110" t="s">
        <v>201</v>
      </c>
      <c r="H240" s="112"/>
      <c r="I240" s="100" t="s">
        <v>193</v>
      </c>
    </row>
    <row r="241" spans="2:9" ht="12.75" customHeight="1" x14ac:dyDescent="0.2">
      <c r="B241" s="590" t="s">
        <v>450</v>
      </c>
      <c r="C241" s="591"/>
      <c r="D241" s="79" t="s">
        <v>77</v>
      </c>
      <c r="E241" s="80">
        <v>1</v>
      </c>
      <c r="F241" s="81"/>
      <c r="G241" s="82">
        <v>13900</v>
      </c>
      <c r="H241" s="83"/>
      <c r="I241" s="90">
        <f t="shared" ref="I241:I249" si="5">(E241*(1+F241/100)) * (G241*(1+H241/100))</f>
        <v>13900</v>
      </c>
    </row>
    <row r="242" spans="2:9" ht="12.75" customHeight="1" x14ac:dyDescent="0.2">
      <c r="B242" s="590" t="s">
        <v>449</v>
      </c>
      <c r="C242" s="591"/>
      <c r="D242" s="79" t="s">
        <v>77</v>
      </c>
      <c r="E242" s="80">
        <v>0.01</v>
      </c>
      <c r="F242" s="136"/>
      <c r="G242" s="82">
        <v>6500</v>
      </c>
      <c r="H242" s="84"/>
      <c r="I242" s="90">
        <f t="shared" si="5"/>
        <v>65</v>
      </c>
    </row>
    <row r="243" spans="2:9" ht="21" customHeight="1" x14ac:dyDescent="0.2">
      <c r="B243" s="590"/>
      <c r="C243" s="591"/>
      <c r="D243" s="91"/>
      <c r="E243" s="80"/>
      <c r="F243" s="87"/>
      <c r="G243" s="82"/>
      <c r="H243" s="85"/>
      <c r="I243" s="90">
        <f t="shared" si="5"/>
        <v>0</v>
      </c>
    </row>
    <row r="244" spans="2:9" ht="19.5" customHeight="1" x14ac:dyDescent="0.2">
      <c r="B244" s="590"/>
      <c r="C244" s="591"/>
      <c r="D244" s="91"/>
      <c r="E244" s="80"/>
      <c r="F244" s="87"/>
      <c r="G244" s="82"/>
      <c r="H244" s="85"/>
      <c r="I244" s="90">
        <f t="shared" si="5"/>
        <v>0</v>
      </c>
    </row>
    <row r="245" spans="2:9" x14ac:dyDescent="0.2">
      <c r="B245" s="590"/>
      <c r="C245" s="591"/>
      <c r="D245" s="79"/>
      <c r="E245" s="80"/>
      <c r="F245" s="87"/>
      <c r="G245" s="82"/>
      <c r="H245" s="85"/>
      <c r="I245" s="90">
        <f t="shared" si="5"/>
        <v>0</v>
      </c>
    </row>
    <row r="246" spans="2:9" x14ac:dyDescent="0.2">
      <c r="B246" s="590"/>
      <c r="C246" s="591"/>
      <c r="D246" s="91"/>
      <c r="E246" s="80"/>
      <c r="F246" s="87"/>
      <c r="G246" s="82"/>
      <c r="H246" s="85"/>
      <c r="I246" s="90">
        <f t="shared" si="5"/>
        <v>0</v>
      </c>
    </row>
    <row r="247" spans="2:9" x14ac:dyDescent="0.2">
      <c r="B247" s="590"/>
      <c r="C247" s="591"/>
      <c r="D247" s="91"/>
      <c r="E247" s="80"/>
      <c r="F247" s="87"/>
      <c r="G247" s="82"/>
      <c r="H247" s="85"/>
      <c r="I247" s="90">
        <f t="shared" si="5"/>
        <v>0</v>
      </c>
    </row>
    <row r="248" spans="2:9" x14ac:dyDescent="0.2">
      <c r="B248" s="562"/>
      <c r="C248" s="563"/>
      <c r="D248" s="91"/>
      <c r="E248" s="80"/>
      <c r="F248" s="87"/>
      <c r="G248" s="88"/>
      <c r="H248" s="89"/>
      <c r="I248" s="90">
        <f t="shared" si="5"/>
        <v>0</v>
      </c>
    </row>
    <row r="249" spans="2:9" x14ac:dyDescent="0.2">
      <c r="B249" s="562"/>
      <c r="C249" s="563"/>
      <c r="D249" s="91"/>
      <c r="E249" s="80"/>
      <c r="F249" s="87"/>
      <c r="G249" s="88"/>
      <c r="H249" s="89"/>
      <c r="I249" s="90">
        <f t="shared" si="5"/>
        <v>0</v>
      </c>
    </row>
    <row r="250" spans="2:9" x14ac:dyDescent="0.2">
      <c r="B250" s="92"/>
      <c r="C250" s="76"/>
      <c r="D250" s="75"/>
      <c r="E250" s="76"/>
      <c r="F250" s="585" t="s">
        <v>202</v>
      </c>
      <c r="G250" s="586"/>
      <c r="H250" s="334"/>
      <c r="I250" s="94">
        <f>SUM(I241:I249)</f>
        <v>13965</v>
      </c>
    </row>
    <row r="251" spans="2:9" ht="14.25" x14ac:dyDescent="0.2">
      <c r="B251" s="73" t="s">
        <v>203</v>
      </c>
      <c r="C251" s="74"/>
      <c r="D251" s="75"/>
      <c r="E251" s="76"/>
      <c r="F251" s="77"/>
      <c r="G251" s="76"/>
      <c r="H251" s="76"/>
      <c r="I251" s="95"/>
    </row>
    <row r="252" spans="2:9" x14ac:dyDescent="0.2">
      <c r="B252" s="588" t="s">
        <v>188</v>
      </c>
      <c r="C252" s="589"/>
      <c r="D252" s="96" t="s">
        <v>204</v>
      </c>
      <c r="E252" s="97" t="s">
        <v>205</v>
      </c>
      <c r="F252" s="98" t="s">
        <v>206</v>
      </c>
      <c r="G252" s="97" t="s">
        <v>207</v>
      </c>
      <c r="H252" s="99"/>
      <c r="I252" s="100" t="s">
        <v>193</v>
      </c>
    </row>
    <row r="253" spans="2:9" x14ac:dyDescent="0.2">
      <c r="B253" s="623"/>
      <c r="C253" s="624"/>
      <c r="D253" s="137"/>
      <c r="E253" s="101"/>
      <c r="F253" s="102"/>
      <c r="G253" s="82">
        <f>+D253*F253</f>
        <v>0</v>
      </c>
      <c r="H253" s="83"/>
      <c r="I253" s="103"/>
    </row>
    <row r="254" spans="2:9" x14ac:dyDescent="0.2">
      <c r="B254" s="623"/>
      <c r="C254" s="624"/>
      <c r="D254" s="137"/>
      <c r="E254" s="101"/>
      <c r="F254" s="104"/>
      <c r="G254" s="82">
        <f>+D254*F254</f>
        <v>0</v>
      </c>
      <c r="H254" s="85"/>
      <c r="I254" s="103"/>
    </row>
    <row r="255" spans="2:9" x14ac:dyDescent="0.2">
      <c r="B255" s="105"/>
      <c r="C255" s="106"/>
      <c r="D255" s="75"/>
      <c r="E255" s="106"/>
      <c r="F255" s="107" t="s">
        <v>208</v>
      </c>
      <c r="G255" s="106"/>
      <c r="H255" s="108"/>
      <c r="I255" s="109">
        <f>SUM(G253:G254)</f>
        <v>0</v>
      </c>
    </row>
    <row r="256" spans="2:9" ht="14.25" x14ac:dyDescent="0.2">
      <c r="B256" s="73" t="s">
        <v>209</v>
      </c>
      <c r="C256" s="76"/>
      <c r="D256" s="75"/>
      <c r="E256" s="76"/>
      <c r="F256" s="77"/>
      <c r="G256" s="76"/>
      <c r="H256" s="76"/>
      <c r="I256" s="95"/>
    </row>
    <row r="257" spans="2:9" x14ac:dyDescent="0.2">
      <c r="B257" s="588" t="s">
        <v>188</v>
      </c>
      <c r="C257" s="589"/>
      <c r="D257" s="96" t="s">
        <v>136</v>
      </c>
      <c r="E257" s="110" t="s">
        <v>137</v>
      </c>
      <c r="F257" s="111" t="s">
        <v>201</v>
      </c>
      <c r="G257" s="112" t="s">
        <v>205</v>
      </c>
      <c r="H257" s="112"/>
      <c r="I257" s="100" t="s">
        <v>193</v>
      </c>
    </row>
    <row r="258" spans="2:9" ht="34.5" customHeight="1" x14ac:dyDescent="0.2">
      <c r="B258" s="590" t="s">
        <v>286</v>
      </c>
      <c r="C258" s="591"/>
      <c r="D258" s="91" t="s">
        <v>211</v>
      </c>
      <c r="E258" s="88">
        <v>0.7</v>
      </c>
      <c r="F258" s="104">
        <f>+(90000+60000*1)*1.671</f>
        <v>250650</v>
      </c>
      <c r="G258" s="113">
        <v>0.4</v>
      </c>
      <c r="H258" s="114"/>
      <c r="I258" s="115">
        <f>SUM(F258*E258)*G258</f>
        <v>70182</v>
      </c>
    </row>
    <row r="259" spans="2:9" x14ac:dyDescent="0.2">
      <c r="B259" s="627"/>
      <c r="C259" s="617"/>
      <c r="D259" s="91"/>
      <c r="E259" s="116"/>
      <c r="F259" s="117"/>
      <c r="G259" s="114"/>
      <c r="H259" s="114"/>
      <c r="I259" s="94">
        <f>SUM(F259*E259)*G259</f>
        <v>0</v>
      </c>
    </row>
    <row r="260" spans="2:9" x14ac:dyDescent="0.2">
      <c r="B260" s="598"/>
      <c r="C260" s="599"/>
      <c r="D260" s="91"/>
      <c r="E260" s="118"/>
      <c r="F260" s="117"/>
      <c r="G260" s="114"/>
      <c r="H260" s="114"/>
      <c r="I260" s="94">
        <f>SUM(F260*E260)*G260</f>
        <v>0</v>
      </c>
    </row>
    <row r="261" spans="2:9" x14ac:dyDescent="0.2">
      <c r="B261" s="92"/>
      <c r="C261" s="76"/>
      <c r="D261" s="75"/>
      <c r="E261" s="76"/>
      <c r="F261" s="605" t="s">
        <v>212</v>
      </c>
      <c r="G261" s="605"/>
      <c r="H261" s="336"/>
      <c r="I261" s="94">
        <f>I258</f>
        <v>70182</v>
      </c>
    </row>
    <row r="262" spans="2:9" ht="13.5" thickBot="1" x14ac:dyDescent="0.25">
      <c r="B262" s="92"/>
      <c r="C262" s="76"/>
      <c r="D262" s="75"/>
      <c r="E262" s="76"/>
      <c r="F262" s="120"/>
      <c r="G262" s="336"/>
      <c r="H262" s="336"/>
      <c r="I262" s="78"/>
    </row>
    <row r="263" spans="2:9" ht="13.5" thickBot="1" x14ac:dyDescent="0.25">
      <c r="B263" s="92"/>
      <c r="C263" s="76"/>
      <c r="D263" s="75"/>
      <c r="E263" s="606" t="s">
        <v>213</v>
      </c>
      <c r="F263" s="606"/>
      <c r="G263" s="606"/>
      <c r="H263" s="337"/>
      <c r="I263" s="122">
        <f>ROUND(SUM(I238+I250+I255+I261),0)</f>
        <v>89719</v>
      </c>
    </row>
    <row r="264" spans="2:9" ht="15" thickBot="1" x14ac:dyDescent="0.25">
      <c r="B264" s="73" t="s">
        <v>214</v>
      </c>
      <c r="C264" s="76"/>
      <c r="D264" s="123"/>
      <c r="E264" s="124"/>
      <c r="F264" s="77"/>
      <c r="G264" s="76"/>
      <c r="H264" s="76"/>
      <c r="I264" s="78"/>
    </row>
    <row r="265" spans="2:9" x14ac:dyDescent="0.2">
      <c r="B265" s="607" t="s">
        <v>215</v>
      </c>
      <c r="C265" s="608"/>
      <c r="D265" s="613" t="s">
        <v>216</v>
      </c>
      <c r="E265" s="614"/>
      <c r="F265" s="125" t="s">
        <v>195</v>
      </c>
      <c r="G265" s="126" t="s">
        <v>217</v>
      </c>
      <c r="H265" s="127"/>
      <c r="I265" s="615"/>
    </row>
    <row r="266" spans="2:9" x14ac:dyDescent="0.2">
      <c r="B266" s="609"/>
      <c r="C266" s="610"/>
      <c r="D266" s="617" t="s">
        <v>218</v>
      </c>
      <c r="E266" s="618"/>
      <c r="F266" s="128">
        <v>25</v>
      </c>
      <c r="G266" s="116">
        <f>I263*20%</f>
        <v>17943.8</v>
      </c>
      <c r="H266" s="129"/>
      <c r="I266" s="616"/>
    </row>
    <row r="267" spans="2:9" x14ac:dyDescent="0.2">
      <c r="B267" s="609"/>
      <c r="C267" s="610"/>
      <c r="D267" s="617" t="s">
        <v>168</v>
      </c>
      <c r="E267" s="618"/>
      <c r="F267" s="128">
        <v>5</v>
      </c>
      <c r="G267" s="116">
        <f>I263*5%</f>
        <v>4485.95</v>
      </c>
      <c r="H267" s="129"/>
      <c r="I267" s="616"/>
    </row>
    <row r="268" spans="2:9" x14ac:dyDescent="0.2">
      <c r="B268" s="609"/>
      <c r="C268" s="610"/>
      <c r="D268" s="619" t="s">
        <v>219</v>
      </c>
      <c r="E268" s="617"/>
      <c r="F268" s="128">
        <f>SUM(F266:F267)</f>
        <v>30</v>
      </c>
      <c r="G268" s="116">
        <f>SUM(G266:G267)</f>
        <v>22429.75</v>
      </c>
      <c r="H268" s="129"/>
      <c r="I268" s="616"/>
    </row>
    <row r="269" spans="2:9" ht="15" thickBot="1" x14ac:dyDescent="0.25">
      <c r="B269" s="609"/>
      <c r="C269" s="610"/>
      <c r="D269" s="130"/>
      <c r="E269" s="620" t="s">
        <v>220</v>
      </c>
      <c r="F269" s="621"/>
      <c r="G269" s="622"/>
      <c r="H269" s="281"/>
      <c r="I269" s="131">
        <f>SUM(G268:G268)</f>
        <v>22429.75</v>
      </c>
    </row>
    <row r="270" spans="2:9" ht="16.5" thickBot="1" x14ac:dyDescent="0.3">
      <c r="B270" s="611"/>
      <c r="C270" s="612"/>
      <c r="D270" s="628" t="s">
        <v>221</v>
      </c>
      <c r="E270" s="629"/>
      <c r="F270" s="630"/>
      <c r="G270" s="602">
        <f>SUM(I263+I269)</f>
        <v>112148.75</v>
      </c>
      <c r="H270" s="603"/>
      <c r="I270" s="604"/>
    </row>
  </sheetData>
  <mergeCells count="258">
    <mergeCell ref="D225:F225"/>
    <mergeCell ref="G225:I225"/>
    <mergeCell ref="B215:C215"/>
    <mergeCell ref="F216:G216"/>
    <mergeCell ref="E218:G218"/>
    <mergeCell ref="B220:C225"/>
    <mergeCell ref="D220:E220"/>
    <mergeCell ref="I220:I223"/>
    <mergeCell ref="D221:E221"/>
    <mergeCell ref="D222:E222"/>
    <mergeCell ref="D223:E223"/>
    <mergeCell ref="E224:G224"/>
    <mergeCell ref="B207:C207"/>
    <mergeCell ref="B208:C208"/>
    <mergeCell ref="B209:C209"/>
    <mergeCell ref="B212:C212"/>
    <mergeCell ref="B213:C213"/>
    <mergeCell ref="B214:C214"/>
    <mergeCell ref="B200:C200"/>
    <mergeCell ref="B201:C201"/>
    <mergeCell ref="B202:C202"/>
    <mergeCell ref="B203:C203"/>
    <mergeCell ref="B204:C204"/>
    <mergeCell ref="F205:G205"/>
    <mergeCell ref="B193:E193"/>
    <mergeCell ref="B195:C195"/>
    <mergeCell ref="B196:C196"/>
    <mergeCell ref="B197:C197"/>
    <mergeCell ref="B198:C198"/>
    <mergeCell ref="B199:C199"/>
    <mergeCell ref="D188:I188"/>
    <mergeCell ref="B189:C189"/>
    <mergeCell ref="B190:C190"/>
    <mergeCell ref="I190:I191"/>
    <mergeCell ref="B191:C191"/>
    <mergeCell ref="B192:C192"/>
    <mergeCell ref="B182:I182"/>
    <mergeCell ref="C183:F183"/>
    <mergeCell ref="B184:D184"/>
    <mergeCell ref="E184:I184"/>
    <mergeCell ref="B185:D185"/>
    <mergeCell ref="E185:I187"/>
    <mergeCell ref="B187:C187"/>
    <mergeCell ref="I175:I178"/>
    <mergeCell ref="D176:E176"/>
    <mergeCell ref="D177:E177"/>
    <mergeCell ref="D178:E178"/>
    <mergeCell ref="E179:G179"/>
    <mergeCell ref="D180:F180"/>
    <mergeCell ref="G180:I180"/>
    <mergeCell ref="B169:C169"/>
    <mergeCell ref="B170:C170"/>
    <mergeCell ref="F171:G171"/>
    <mergeCell ref="E173:G173"/>
    <mergeCell ref="B175:C180"/>
    <mergeCell ref="D175:E175"/>
    <mergeCell ref="F160:G160"/>
    <mergeCell ref="B162:C162"/>
    <mergeCell ref="B163:C163"/>
    <mergeCell ref="B164:C164"/>
    <mergeCell ref="B167:C167"/>
    <mergeCell ref="B168:C168"/>
    <mergeCell ref="B154:C154"/>
    <mergeCell ref="B155:C155"/>
    <mergeCell ref="B156:C156"/>
    <mergeCell ref="B157:C157"/>
    <mergeCell ref="B158:C158"/>
    <mergeCell ref="B159:C159"/>
    <mergeCell ref="B147:C147"/>
    <mergeCell ref="B148:E148"/>
    <mergeCell ref="B150:C150"/>
    <mergeCell ref="B151:C151"/>
    <mergeCell ref="B152:C152"/>
    <mergeCell ref="B153:C153"/>
    <mergeCell ref="B140:D140"/>
    <mergeCell ref="E140:I142"/>
    <mergeCell ref="B142:C142"/>
    <mergeCell ref="D143:I143"/>
    <mergeCell ref="B144:C144"/>
    <mergeCell ref="B145:C145"/>
    <mergeCell ref="I145:I146"/>
    <mergeCell ref="B146:C146"/>
    <mergeCell ref="B137:I137"/>
    <mergeCell ref="C138:F138"/>
    <mergeCell ref="B139:D139"/>
    <mergeCell ref="E139:I139"/>
    <mergeCell ref="I129:I132"/>
    <mergeCell ref="D130:E130"/>
    <mergeCell ref="D131:E131"/>
    <mergeCell ref="D132:E132"/>
    <mergeCell ref="E133:G133"/>
    <mergeCell ref="D134:F134"/>
    <mergeCell ref="G134:I134"/>
    <mergeCell ref="B123:C123"/>
    <mergeCell ref="B124:C124"/>
    <mergeCell ref="F125:G125"/>
    <mergeCell ref="E127:G127"/>
    <mergeCell ref="B129:C134"/>
    <mergeCell ref="D129:E129"/>
    <mergeCell ref="F114:G114"/>
    <mergeCell ref="B116:C116"/>
    <mergeCell ref="B117:C117"/>
    <mergeCell ref="B118:C118"/>
    <mergeCell ref="B121:C121"/>
    <mergeCell ref="B122:C122"/>
    <mergeCell ref="B108:C108"/>
    <mergeCell ref="B109:C109"/>
    <mergeCell ref="B110:C110"/>
    <mergeCell ref="B111:C111"/>
    <mergeCell ref="B112:C112"/>
    <mergeCell ref="B113:C113"/>
    <mergeCell ref="B101:C101"/>
    <mergeCell ref="B102:E102"/>
    <mergeCell ref="B104:C104"/>
    <mergeCell ref="B105:C105"/>
    <mergeCell ref="B106:C106"/>
    <mergeCell ref="B107:C107"/>
    <mergeCell ref="B94:D94"/>
    <mergeCell ref="E94:I96"/>
    <mergeCell ref="B96:C96"/>
    <mergeCell ref="D97:I97"/>
    <mergeCell ref="B98:C98"/>
    <mergeCell ref="B99:C99"/>
    <mergeCell ref="I99:I100"/>
    <mergeCell ref="B100:C100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  <mergeCell ref="B227:I227"/>
    <mergeCell ref="C228:F228"/>
    <mergeCell ref="B229:D229"/>
    <mergeCell ref="E229:I229"/>
    <mergeCell ref="B230:D230"/>
    <mergeCell ref="E230:I232"/>
    <mergeCell ref="B232:C232"/>
    <mergeCell ref="D233:I233"/>
    <mergeCell ref="B234:C234"/>
    <mergeCell ref="B235:C235"/>
    <mergeCell ref="I235:I236"/>
    <mergeCell ref="B236:C236"/>
    <mergeCell ref="B237:C237"/>
    <mergeCell ref="B238:E238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F250:G250"/>
    <mergeCell ref="B252:C252"/>
    <mergeCell ref="B253:C253"/>
    <mergeCell ref="I265:I268"/>
    <mergeCell ref="D266:E266"/>
    <mergeCell ref="D267:E267"/>
    <mergeCell ref="D268:E268"/>
    <mergeCell ref="E269:G269"/>
    <mergeCell ref="D270:F270"/>
    <mergeCell ref="G270:I270"/>
    <mergeCell ref="B254:C254"/>
    <mergeCell ref="B257:C257"/>
    <mergeCell ref="B258:C258"/>
    <mergeCell ref="B259:C259"/>
    <mergeCell ref="B260:C260"/>
    <mergeCell ref="F261:G261"/>
    <mergeCell ref="E263:G263"/>
    <mergeCell ref="B265:C270"/>
    <mergeCell ref="D265:E265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4" manualBreakCount="4">
    <brk id="45" min="1" max="8" man="1"/>
    <brk id="90" min="1" max="8" man="1"/>
    <brk id="136" min="1" max="8" man="1"/>
    <brk id="181" min="1" max="8" man="1"/>
  </row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3333FF"/>
    <pageSetUpPr fitToPage="1"/>
  </sheetPr>
  <dimension ref="B1:I406"/>
  <sheetViews>
    <sheetView view="pageBreakPreview" topLeftCell="A219" zoomScaleNormal="130" zoomScaleSheetLayoutView="100" workbookViewId="0">
      <selection activeCell="D231" sqref="D231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customHeight="1" thickBot="1" x14ac:dyDescent="0.25">
      <c r="B4" s="571"/>
      <c r="C4" s="572"/>
      <c r="D4" s="573"/>
      <c r="E4" s="574" t="s">
        <v>296</v>
      </c>
      <c r="F4" s="575"/>
      <c r="G4" s="575"/>
      <c r="H4" s="575"/>
      <c r="I4" s="576"/>
    </row>
    <row r="5" spans="2:9" ht="13.5" thickBot="1" x14ac:dyDescent="0.25">
      <c r="B5" s="63" t="s">
        <v>225</v>
      </c>
      <c r="C5" s="64" t="s">
        <v>185</v>
      </c>
      <c r="D5" s="65" t="s">
        <v>110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18046.8</v>
      </c>
      <c r="G9" s="116">
        <f>SUM(F9*5%)</f>
        <v>902.34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18046.8</v>
      </c>
      <c r="G10" s="116">
        <f>SUM(F10*1.5%)</f>
        <v>270.702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89"/>
      <c r="I11" s="138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SUM(G9:H11)</f>
        <v>1173.0419999999999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x14ac:dyDescent="0.2">
      <c r="B15" s="590" t="s">
        <v>297</v>
      </c>
      <c r="C15" s="591"/>
      <c r="D15" s="79" t="s">
        <v>39</v>
      </c>
      <c r="E15" s="80">
        <v>1</v>
      </c>
      <c r="F15" s="81">
        <v>5</v>
      </c>
      <c r="G15" s="82">
        <f>1616*1.3</f>
        <v>2100.8000000000002</v>
      </c>
      <c r="H15" s="83"/>
      <c r="I15" s="90">
        <f t="shared" ref="I15:I23" si="0">(E15*(1+F15/100)) * (G15*(1+H15/100))</f>
        <v>2205.84</v>
      </c>
    </row>
    <row r="16" spans="2:9" x14ac:dyDescent="0.2">
      <c r="B16" s="590" t="s">
        <v>298</v>
      </c>
      <c r="C16" s="591"/>
      <c r="D16" s="79" t="s">
        <v>77</v>
      </c>
      <c r="E16" s="80">
        <v>0.5</v>
      </c>
      <c r="F16" s="81">
        <v>5</v>
      </c>
      <c r="G16" s="82">
        <f>501*1.2</f>
        <v>601.19999999999993</v>
      </c>
      <c r="H16" s="84"/>
      <c r="I16" s="90">
        <f t="shared" si="0"/>
        <v>315.63</v>
      </c>
    </row>
    <row r="17" spans="2:9" ht="12.75" customHeight="1" x14ac:dyDescent="0.2">
      <c r="B17" s="590" t="s">
        <v>287</v>
      </c>
      <c r="C17" s="591"/>
      <c r="D17" s="79" t="s">
        <v>77</v>
      </c>
      <c r="E17" s="80">
        <v>5.0000000000000001E-3</v>
      </c>
      <c r="F17" s="81">
        <v>5</v>
      </c>
      <c r="G17" s="82">
        <f>114000*1.3</f>
        <v>148200</v>
      </c>
      <c r="H17" s="85"/>
      <c r="I17" s="90">
        <f t="shared" si="0"/>
        <v>778.05000000000007</v>
      </c>
    </row>
    <row r="18" spans="2:9" x14ac:dyDescent="0.2">
      <c r="B18" s="590" t="s">
        <v>295</v>
      </c>
      <c r="C18" s="591"/>
      <c r="D18" s="79" t="s">
        <v>77</v>
      </c>
      <c r="E18" s="80">
        <v>5.0000000000000001E-3</v>
      </c>
      <c r="F18" s="81">
        <v>5</v>
      </c>
      <c r="G18" s="82">
        <f>54768*1.2</f>
        <v>65721.599999999991</v>
      </c>
      <c r="H18" s="85"/>
      <c r="I18" s="90">
        <f t="shared" si="0"/>
        <v>345.03839999999997</v>
      </c>
    </row>
    <row r="19" spans="2:9" x14ac:dyDescent="0.2">
      <c r="B19" s="590" t="s">
        <v>299</v>
      </c>
      <c r="C19" s="591"/>
      <c r="D19" s="79" t="s">
        <v>77</v>
      </c>
      <c r="E19" s="80">
        <v>0.16699999999999998</v>
      </c>
      <c r="F19" s="81">
        <v>5</v>
      </c>
      <c r="G19" s="82">
        <f>550*1.3</f>
        <v>715</v>
      </c>
      <c r="H19" s="85"/>
      <c r="I19" s="90">
        <f t="shared" si="0"/>
        <v>125.37524999999998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3769.9336500000004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137"/>
      <c r="E27" s="101"/>
      <c r="F27" s="102"/>
      <c r="G27" s="82">
        <f>+D27*F27</f>
        <v>0</v>
      </c>
      <c r="H27" s="83"/>
      <c r="I27" s="103"/>
    </row>
    <row r="28" spans="2:9" x14ac:dyDescent="0.2">
      <c r="B28" s="623"/>
      <c r="C28" s="624"/>
      <c r="D28" s="137"/>
      <c r="E28" s="101"/>
      <c r="F28" s="104"/>
      <c r="G28" s="82">
        <f>+D28*F28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1.6" customHeight="1" x14ac:dyDescent="0.2">
      <c r="B32" s="590" t="s">
        <v>210</v>
      </c>
      <c r="C32" s="591"/>
      <c r="D32" s="91" t="s">
        <v>211</v>
      </c>
      <c r="E32" s="88">
        <v>1</v>
      </c>
      <c r="F32" s="104">
        <f>+(80000+50000*2)*1.671</f>
        <v>300780</v>
      </c>
      <c r="G32" s="113">
        <v>0.06</v>
      </c>
      <c r="H32" s="114"/>
      <c r="I32" s="115">
        <f>SUM(F32*E32)*G32</f>
        <v>18046.8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18046.8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22990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4598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1149.5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5747.5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5747.5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28737.5</v>
      </c>
      <c r="H44" s="603"/>
      <c r="I44" s="604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117</v>
      </c>
      <c r="F49" s="575"/>
      <c r="G49" s="575"/>
      <c r="H49" s="575"/>
      <c r="I49" s="576"/>
    </row>
    <row r="50" spans="2:9" ht="13.5" thickBot="1" x14ac:dyDescent="0.25">
      <c r="B50" s="63" t="s">
        <v>275</v>
      </c>
      <c r="C50" s="64" t="s">
        <v>185</v>
      </c>
      <c r="D50" s="65" t="s">
        <v>112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11947.65</v>
      </c>
      <c r="G54" s="116">
        <f>SUM(F54*5%)</f>
        <v>597.38250000000005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11947.65</v>
      </c>
      <c r="G55" s="116">
        <f>SUM(F55*1.5%)</f>
        <v>179.21474999999998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89"/>
      <c r="I56" s="138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SUM(G54:H56)</f>
        <v>776.59725000000003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ht="12.75" customHeight="1" x14ac:dyDescent="0.2">
      <c r="B60" s="590" t="s">
        <v>297</v>
      </c>
      <c r="C60" s="591"/>
      <c r="D60" s="79" t="s">
        <v>39</v>
      </c>
      <c r="E60" s="80">
        <v>0.3</v>
      </c>
      <c r="F60" s="81">
        <v>5</v>
      </c>
      <c r="G60" s="82">
        <f>1616*1.3</f>
        <v>2100.8000000000002</v>
      </c>
      <c r="H60" s="83"/>
      <c r="I60" s="90">
        <f t="shared" ref="I60:I68" si="1">(E60*(1+F60/100)) * (G60*(1+H60/100))</f>
        <v>661.75200000000007</v>
      </c>
    </row>
    <row r="61" spans="2:9" x14ac:dyDescent="0.2">
      <c r="B61" s="590" t="s">
        <v>298</v>
      </c>
      <c r="C61" s="591"/>
      <c r="D61" s="79" t="s">
        <v>77</v>
      </c>
      <c r="E61" s="80">
        <v>2</v>
      </c>
      <c r="F61" s="81">
        <v>5</v>
      </c>
      <c r="G61" s="82">
        <f>501*1.2</f>
        <v>601.19999999999993</v>
      </c>
      <c r="H61" s="84"/>
      <c r="I61" s="90">
        <f t="shared" si="1"/>
        <v>1262.52</v>
      </c>
    </row>
    <row r="62" spans="2:9" ht="12.75" customHeight="1" x14ac:dyDescent="0.2">
      <c r="B62" s="590" t="s">
        <v>287</v>
      </c>
      <c r="C62" s="591"/>
      <c r="D62" s="79" t="s">
        <v>77</v>
      </c>
      <c r="E62" s="80">
        <v>0.01</v>
      </c>
      <c r="F62" s="81">
        <v>5</v>
      </c>
      <c r="G62" s="82">
        <f>114000*1.3</f>
        <v>148200</v>
      </c>
      <c r="H62" s="85"/>
      <c r="I62" s="90">
        <f t="shared" si="1"/>
        <v>1556.1000000000001</v>
      </c>
    </row>
    <row r="63" spans="2:9" x14ac:dyDescent="0.2">
      <c r="B63" s="590" t="s">
        <v>295</v>
      </c>
      <c r="C63" s="591"/>
      <c r="D63" s="79" t="s">
        <v>77</v>
      </c>
      <c r="E63" s="80">
        <v>0.01</v>
      </c>
      <c r="F63" s="81">
        <v>5</v>
      </c>
      <c r="G63" s="82">
        <f>54768*1.2</f>
        <v>65721.599999999991</v>
      </c>
      <c r="H63" s="85"/>
      <c r="I63" s="90">
        <f t="shared" si="1"/>
        <v>690.07679999999993</v>
      </c>
    </row>
    <row r="64" spans="2:9" x14ac:dyDescent="0.2">
      <c r="B64" s="590" t="s">
        <v>299</v>
      </c>
      <c r="C64" s="591"/>
      <c r="D64" s="79" t="s">
        <v>77</v>
      </c>
      <c r="E64" s="80">
        <v>1</v>
      </c>
      <c r="F64" s="81">
        <v>5</v>
      </c>
      <c r="G64" s="82">
        <f>550*1.3</f>
        <v>715</v>
      </c>
      <c r="H64" s="85"/>
      <c r="I64" s="90">
        <f t="shared" si="1"/>
        <v>750.75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4921.1988000000001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/>
      <c r="C72" s="624"/>
      <c r="D72" s="137"/>
      <c r="E72" s="101"/>
      <c r="F72" s="102"/>
      <c r="G72" s="82">
        <f>+D72*F72</f>
        <v>0</v>
      </c>
      <c r="H72" s="83"/>
      <c r="I72" s="103"/>
    </row>
    <row r="73" spans="2:9" x14ac:dyDescent="0.2">
      <c r="B73" s="623"/>
      <c r="C73" s="624"/>
      <c r="D73" s="137"/>
      <c r="E73" s="101"/>
      <c r="F73" s="104"/>
      <c r="G73" s="82">
        <f>+D73*F73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ht="21.6" customHeight="1" x14ac:dyDescent="0.2">
      <c r="B77" s="590" t="s">
        <v>244</v>
      </c>
      <c r="C77" s="591"/>
      <c r="D77" s="91" t="s">
        <v>211</v>
      </c>
      <c r="E77" s="88">
        <v>1</v>
      </c>
      <c r="F77" s="104">
        <f>+(80000+50000*1)*1.671</f>
        <v>217230</v>
      </c>
      <c r="G77" s="113">
        <v>5.5E-2</v>
      </c>
      <c r="H77" s="114"/>
      <c r="I77" s="115">
        <f>SUM(F77*E77)*G77</f>
        <v>11947.65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11947.65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17645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3529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882.25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4411.25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4411.25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22056.25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119</v>
      </c>
      <c r="F94" s="575"/>
      <c r="G94" s="575"/>
      <c r="H94" s="575"/>
      <c r="I94" s="576"/>
    </row>
    <row r="95" spans="2:9" ht="13.5" thickBot="1" x14ac:dyDescent="0.25">
      <c r="B95" s="63" t="s">
        <v>275</v>
      </c>
      <c r="C95" s="64" t="s">
        <v>185</v>
      </c>
      <c r="D95" s="65" t="s">
        <v>113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11947.65</v>
      </c>
      <c r="G99" s="116">
        <f>SUM(F99*5%)</f>
        <v>597.38250000000005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11947.65</v>
      </c>
      <c r="G100" s="116">
        <f>SUM(F100*1.5%)</f>
        <v>179.21474999999998</v>
      </c>
      <c r="H100" s="70"/>
      <c r="I100" s="597"/>
    </row>
    <row r="101" spans="2:9" x14ac:dyDescent="0.2">
      <c r="B101" s="600"/>
      <c r="C101" s="601"/>
      <c r="D101" s="91"/>
      <c r="E101" s="104"/>
      <c r="F101" s="104"/>
      <c r="G101" s="88">
        <f>SUM(E101*F101)</f>
        <v>0</v>
      </c>
      <c r="H101" s="70"/>
      <c r="I101" s="597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SUM(G99:G101)</f>
        <v>776.59725000000003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 t="s">
        <v>297</v>
      </c>
      <c r="C105" s="591"/>
      <c r="D105" s="79" t="s">
        <v>39</v>
      </c>
      <c r="E105" s="80">
        <v>0.8</v>
      </c>
      <c r="F105" s="81">
        <v>5</v>
      </c>
      <c r="G105" s="82">
        <f>1616*1.3</f>
        <v>2100.8000000000002</v>
      </c>
      <c r="H105" s="83"/>
      <c r="I105" s="90">
        <f t="shared" ref="I105:I113" si="2">(E105*(1+F105/100)) * (G105*(1+H105/100))</f>
        <v>1764.6720000000003</v>
      </c>
    </row>
    <row r="106" spans="2:9" x14ac:dyDescent="0.2">
      <c r="B106" s="590" t="s">
        <v>298</v>
      </c>
      <c r="C106" s="591"/>
      <c r="D106" s="79" t="s">
        <v>77</v>
      </c>
      <c r="E106" s="80">
        <v>2</v>
      </c>
      <c r="F106" s="81">
        <v>5</v>
      </c>
      <c r="G106" s="82">
        <f>501*1.2</f>
        <v>601.19999999999993</v>
      </c>
      <c r="H106" s="84"/>
      <c r="I106" s="90">
        <f t="shared" si="2"/>
        <v>1262.52</v>
      </c>
    </row>
    <row r="107" spans="2:9" ht="13.15" customHeight="1" x14ac:dyDescent="0.2">
      <c r="B107" s="590" t="s">
        <v>287</v>
      </c>
      <c r="C107" s="591"/>
      <c r="D107" s="79" t="s">
        <v>77</v>
      </c>
      <c r="E107" s="80">
        <v>0.01</v>
      </c>
      <c r="F107" s="81">
        <v>5</v>
      </c>
      <c r="G107" s="82">
        <f>114000*1.3</f>
        <v>148200</v>
      </c>
      <c r="H107" s="85"/>
      <c r="I107" s="90">
        <f t="shared" si="2"/>
        <v>1556.1000000000001</v>
      </c>
    </row>
    <row r="108" spans="2:9" x14ac:dyDescent="0.2">
      <c r="B108" s="590" t="s">
        <v>295</v>
      </c>
      <c r="C108" s="591"/>
      <c r="D108" s="79" t="s">
        <v>77</v>
      </c>
      <c r="E108" s="80">
        <v>0.01</v>
      </c>
      <c r="F108" s="81">
        <v>5</v>
      </c>
      <c r="G108" s="82">
        <f>54768*1.2</f>
        <v>65721.599999999991</v>
      </c>
      <c r="H108" s="85"/>
      <c r="I108" s="90">
        <f t="shared" si="2"/>
        <v>690.07679999999993</v>
      </c>
    </row>
    <row r="109" spans="2:9" x14ac:dyDescent="0.2">
      <c r="B109" s="590" t="s">
        <v>299</v>
      </c>
      <c r="C109" s="591"/>
      <c r="D109" s="79" t="s">
        <v>77</v>
      </c>
      <c r="E109" s="80">
        <v>1</v>
      </c>
      <c r="F109" s="81">
        <v>5</v>
      </c>
      <c r="G109" s="82">
        <f>550*1.3</f>
        <v>715</v>
      </c>
      <c r="H109" s="85"/>
      <c r="I109" s="90">
        <f t="shared" si="2"/>
        <v>750.75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6024.1188000000002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/>
      <c r="C117" s="624"/>
      <c r="D117" s="137"/>
      <c r="E117" s="101"/>
      <c r="F117" s="102"/>
      <c r="G117" s="82">
        <f>+D117*F117</f>
        <v>0</v>
      </c>
      <c r="H117" s="83"/>
      <c r="I117" s="103"/>
    </row>
    <row r="118" spans="2:9" x14ac:dyDescent="0.2">
      <c r="B118" s="623"/>
      <c r="C118" s="624"/>
      <c r="D118" s="137"/>
      <c r="E118" s="101"/>
      <c r="F118" s="104"/>
      <c r="G118" s="82">
        <f>+D118*F118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ht="22.9" customHeight="1" x14ac:dyDescent="0.2">
      <c r="B122" s="590" t="s">
        <v>244</v>
      </c>
      <c r="C122" s="591"/>
      <c r="D122" s="91" t="s">
        <v>211</v>
      </c>
      <c r="E122" s="88">
        <v>1</v>
      </c>
      <c r="F122" s="104">
        <f>+(80000+50000*1)*1.671</f>
        <v>217230</v>
      </c>
      <c r="G122" s="113">
        <v>5.5E-2</v>
      </c>
      <c r="H122" s="114"/>
      <c r="I122" s="115">
        <f>SUM(F122*E122)*G122</f>
        <v>11947.65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11947.65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18748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3749.6000000000004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937.40000000000009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4687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4687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23435</v>
      </c>
      <c r="H134" s="603"/>
      <c r="I134" s="604"/>
    </row>
    <row r="136" spans="2:9" ht="18.75" thickBot="1" x14ac:dyDescent="0.3">
      <c r="B136" s="564" t="s">
        <v>180</v>
      </c>
      <c r="C136" s="564"/>
      <c r="D136" s="564"/>
      <c r="E136" s="564"/>
      <c r="F136" s="564"/>
      <c r="G136" s="564"/>
      <c r="H136" s="564"/>
      <c r="I136" s="564"/>
    </row>
    <row r="137" spans="2:9" ht="15.75" thickBot="1" x14ac:dyDescent="0.3">
      <c r="B137" s="59" t="s">
        <v>181</v>
      </c>
      <c r="C137" s="565" t="s">
        <v>393</v>
      </c>
      <c r="D137" s="566"/>
      <c r="E137" s="566"/>
      <c r="F137" s="567"/>
      <c r="G137" s="60" t="s">
        <v>5</v>
      </c>
      <c r="H137" s="61"/>
      <c r="I137" s="62">
        <v>45373</v>
      </c>
    </row>
    <row r="138" spans="2:9" ht="13.5" thickBot="1" x14ac:dyDescent="0.25">
      <c r="B138" s="568" t="s">
        <v>182</v>
      </c>
      <c r="C138" s="569"/>
      <c r="D138" s="570"/>
      <c r="E138" s="568" t="s">
        <v>183</v>
      </c>
      <c r="F138" s="569"/>
      <c r="G138" s="569"/>
      <c r="H138" s="569"/>
      <c r="I138" s="570"/>
    </row>
    <row r="139" spans="2:9" ht="13.5" thickBot="1" x14ac:dyDescent="0.25">
      <c r="B139" s="571"/>
      <c r="C139" s="572"/>
      <c r="D139" s="573"/>
      <c r="E139" s="574" t="s">
        <v>123</v>
      </c>
      <c r="F139" s="575"/>
      <c r="G139" s="575"/>
      <c r="H139" s="575"/>
      <c r="I139" s="576"/>
    </row>
    <row r="140" spans="2:9" ht="13.5" thickBot="1" x14ac:dyDescent="0.25">
      <c r="B140" s="63" t="s">
        <v>275</v>
      </c>
      <c r="C140" s="64" t="s">
        <v>185</v>
      </c>
      <c r="D140" s="65" t="s">
        <v>118</v>
      </c>
      <c r="E140" s="577"/>
      <c r="F140" s="578"/>
      <c r="G140" s="578"/>
      <c r="H140" s="578"/>
      <c r="I140" s="579"/>
    </row>
    <row r="141" spans="2:9" ht="13.5" thickBot="1" x14ac:dyDescent="0.25">
      <c r="B141" s="583" t="s">
        <v>186</v>
      </c>
      <c r="C141" s="584"/>
      <c r="D141" s="66"/>
      <c r="E141" s="580"/>
      <c r="F141" s="581"/>
      <c r="G141" s="581"/>
      <c r="H141" s="581"/>
      <c r="I141" s="582"/>
    </row>
    <row r="142" spans="2:9" x14ac:dyDescent="0.2">
      <c r="B142" s="67" t="s">
        <v>187</v>
      </c>
      <c r="C142" s="68"/>
      <c r="D142" s="592"/>
      <c r="E142" s="592"/>
      <c r="F142" s="592"/>
      <c r="G142" s="592"/>
      <c r="H142" s="592"/>
      <c r="I142" s="593"/>
    </row>
    <row r="143" spans="2:9" x14ac:dyDescent="0.2">
      <c r="B143" s="588" t="s">
        <v>188</v>
      </c>
      <c r="C143" s="589"/>
      <c r="D143" s="96" t="s">
        <v>189</v>
      </c>
      <c r="E143" s="134" t="s">
        <v>190</v>
      </c>
      <c r="F143" s="111" t="s">
        <v>191</v>
      </c>
      <c r="G143" s="110" t="s">
        <v>192</v>
      </c>
      <c r="H143" s="112"/>
      <c r="I143" s="100" t="s">
        <v>193</v>
      </c>
    </row>
    <row r="144" spans="2:9" x14ac:dyDescent="0.2">
      <c r="B144" s="594" t="s">
        <v>194</v>
      </c>
      <c r="C144" s="595"/>
      <c r="D144" s="91" t="s">
        <v>195</v>
      </c>
      <c r="E144" s="135">
        <v>5</v>
      </c>
      <c r="F144" s="135">
        <f>SUM(I170)</f>
        <v>21723</v>
      </c>
      <c r="G144" s="116">
        <f>SUM(F144*5%)</f>
        <v>1086.1500000000001</v>
      </c>
      <c r="H144" s="69"/>
      <c r="I144" s="596"/>
    </row>
    <row r="145" spans="2:9" x14ac:dyDescent="0.2">
      <c r="B145" s="598" t="s">
        <v>196</v>
      </c>
      <c r="C145" s="599"/>
      <c r="D145" s="91" t="s">
        <v>195</v>
      </c>
      <c r="E145" s="135">
        <v>1.5</v>
      </c>
      <c r="F145" s="135">
        <f>SUM(I170)</f>
        <v>21723</v>
      </c>
      <c r="G145" s="116">
        <f>SUM(F145*1.5%)</f>
        <v>325.84499999999997</v>
      </c>
      <c r="H145" s="70"/>
      <c r="I145" s="597"/>
    </row>
    <row r="146" spans="2:9" x14ac:dyDescent="0.2">
      <c r="B146" s="600"/>
      <c r="C146" s="601"/>
      <c r="D146" s="91"/>
      <c r="E146" s="104"/>
      <c r="F146" s="104"/>
      <c r="G146" s="88">
        <f>SUM(E146*F146)</f>
        <v>0</v>
      </c>
      <c r="H146" s="70"/>
      <c r="I146" s="597"/>
    </row>
    <row r="147" spans="2:9" x14ac:dyDescent="0.2">
      <c r="B147" s="587"/>
      <c r="C147" s="585"/>
      <c r="D147" s="585"/>
      <c r="E147" s="585"/>
      <c r="F147" s="71"/>
      <c r="G147" s="72" t="s">
        <v>197</v>
      </c>
      <c r="H147" s="72"/>
      <c r="I147" s="94">
        <f>SUM(G144:G146)</f>
        <v>1411.9950000000001</v>
      </c>
    </row>
    <row r="148" spans="2:9" x14ac:dyDescent="0.2">
      <c r="B148" s="73" t="s">
        <v>198</v>
      </c>
      <c r="C148" s="74"/>
      <c r="D148" s="75"/>
      <c r="E148" s="76"/>
      <c r="F148" s="77"/>
      <c r="G148" s="76"/>
      <c r="H148" s="76"/>
      <c r="I148" s="78"/>
    </row>
    <row r="149" spans="2:9" x14ac:dyDescent="0.2">
      <c r="B149" s="588" t="s">
        <v>188</v>
      </c>
      <c r="C149" s="589"/>
      <c r="D149" s="96" t="s">
        <v>199</v>
      </c>
      <c r="E149" s="110" t="s">
        <v>137</v>
      </c>
      <c r="F149" s="111" t="s">
        <v>200</v>
      </c>
      <c r="G149" s="110" t="s">
        <v>201</v>
      </c>
      <c r="H149" s="112"/>
      <c r="I149" s="100" t="s">
        <v>193</v>
      </c>
    </row>
    <row r="150" spans="2:9" x14ac:dyDescent="0.2">
      <c r="B150" s="590" t="s">
        <v>300</v>
      </c>
      <c r="C150" s="591"/>
      <c r="D150" s="79" t="s">
        <v>77</v>
      </c>
      <c r="E150" s="80">
        <v>0.5</v>
      </c>
      <c r="F150" s="81"/>
      <c r="G150" s="82">
        <f>25695*1.2</f>
        <v>30834</v>
      </c>
      <c r="H150" s="83"/>
      <c r="I150" s="90">
        <f t="shared" ref="I150:I158" si="3">(E150*(1+F150/100)) * (G150*(1+H150/100))</f>
        <v>15417</v>
      </c>
    </row>
    <row r="151" spans="2:9" x14ac:dyDescent="0.2">
      <c r="B151" s="590" t="s">
        <v>301</v>
      </c>
      <c r="C151" s="591"/>
      <c r="D151" s="79" t="s">
        <v>39</v>
      </c>
      <c r="E151" s="80">
        <v>1.6</v>
      </c>
      <c r="F151" s="136">
        <v>5</v>
      </c>
      <c r="G151" s="82">
        <f>13650*1.2</f>
        <v>16380</v>
      </c>
      <c r="H151" s="84"/>
      <c r="I151" s="90">
        <f t="shared" si="3"/>
        <v>27518.400000000001</v>
      </c>
    </row>
    <row r="152" spans="2:9" x14ac:dyDescent="0.2">
      <c r="B152" s="590" t="s">
        <v>302</v>
      </c>
      <c r="C152" s="591"/>
      <c r="D152" s="79" t="s">
        <v>77</v>
      </c>
      <c r="E152" s="80">
        <v>1</v>
      </c>
      <c r="F152" s="87"/>
      <c r="G152" s="82">
        <f>14706*1.2</f>
        <v>17647.2</v>
      </c>
      <c r="H152" s="85"/>
      <c r="I152" s="90">
        <f t="shared" si="3"/>
        <v>17647.2</v>
      </c>
    </row>
    <row r="153" spans="2:9" x14ac:dyDescent="0.2">
      <c r="B153" s="590" t="s">
        <v>287</v>
      </c>
      <c r="C153" s="591"/>
      <c r="D153" s="79" t="s">
        <v>77</v>
      </c>
      <c r="E153" s="80">
        <v>0.08</v>
      </c>
      <c r="F153" s="81">
        <v>5</v>
      </c>
      <c r="G153" s="82">
        <f>114000*1.3</f>
        <v>148200</v>
      </c>
      <c r="H153" s="85"/>
      <c r="I153" s="90">
        <f t="shared" si="3"/>
        <v>12448.800000000001</v>
      </c>
    </row>
    <row r="154" spans="2:9" x14ac:dyDescent="0.2">
      <c r="B154" s="590" t="s">
        <v>295</v>
      </c>
      <c r="C154" s="591"/>
      <c r="D154" s="79" t="s">
        <v>77</v>
      </c>
      <c r="E154" s="80">
        <v>0.08</v>
      </c>
      <c r="F154" s="81">
        <v>5</v>
      </c>
      <c r="G154" s="82">
        <f>54768*1.2</f>
        <v>65721.599999999991</v>
      </c>
      <c r="H154" s="85"/>
      <c r="I154" s="90">
        <f t="shared" si="3"/>
        <v>5520.6143999999995</v>
      </c>
    </row>
    <row r="155" spans="2:9" x14ac:dyDescent="0.2">
      <c r="B155" s="590"/>
      <c r="C155" s="591"/>
      <c r="D155" s="79"/>
      <c r="E155" s="80"/>
      <c r="F155" s="87"/>
      <c r="G155" s="82"/>
      <c r="H155" s="85"/>
      <c r="I155" s="90">
        <f t="shared" si="3"/>
        <v>0</v>
      </c>
    </row>
    <row r="156" spans="2:9" x14ac:dyDescent="0.2">
      <c r="B156" s="590"/>
      <c r="C156" s="591"/>
      <c r="D156" s="86"/>
      <c r="E156" s="80"/>
      <c r="F156" s="87"/>
      <c r="G156" s="82"/>
      <c r="H156" s="85"/>
      <c r="I156" s="90">
        <f t="shared" si="3"/>
        <v>0</v>
      </c>
    </row>
    <row r="157" spans="2:9" x14ac:dyDescent="0.2">
      <c r="B157" s="562"/>
      <c r="C157" s="563"/>
      <c r="D157" s="91"/>
      <c r="E157" s="80"/>
      <c r="F157" s="87"/>
      <c r="G157" s="88"/>
      <c r="H157" s="89"/>
      <c r="I157" s="90">
        <f t="shared" si="3"/>
        <v>0</v>
      </c>
    </row>
    <row r="158" spans="2:9" x14ac:dyDescent="0.2">
      <c r="B158" s="562"/>
      <c r="C158" s="563"/>
      <c r="D158" s="91"/>
      <c r="E158" s="80"/>
      <c r="F158" s="87"/>
      <c r="G158" s="88"/>
      <c r="H158" s="89"/>
      <c r="I158" s="90">
        <f t="shared" si="3"/>
        <v>0</v>
      </c>
    </row>
    <row r="159" spans="2:9" x14ac:dyDescent="0.2">
      <c r="B159" s="92"/>
      <c r="C159" s="76"/>
      <c r="D159" s="75"/>
      <c r="E159" s="76"/>
      <c r="F159" s="585" t="s">
        <v>202</v>
      </c>
      <c r="G159" s="586"/>
      <c r="H159" s="93"/>
      <c r="I159" s="94">
        <f>SUM(I150:I158)</f>
        <v>78552.014400000015</v>
      </c>
    </row>
    <row r="160" spans="2:9" ht="14.25" x14ac:dyDescent="0.2">
      <c r="B160" s="73" t="s">
        <v>203</v>
      </c>
      <c r="C160" s="74"/>
      <c r="D160" s="75"/>
      <c r="E160" s="76"/>
      <c r="F160" s="77"/>
      <c r="G160" s="76"/>
      <c r="H160" s="76"/>
      <c r="I160" s="95"/>
    </row>
    <row r="161" spans="2:9" x14ac:dyDescent="0.2">
      <c r="B161" s="588" t="s">
        <v>188</v>
      </c>
      <c r="C161" s="589"/>
      <c r="D161" s="96" t="s">
        <v>204</v>
      </c>
      <c r="E161" s="97" t="s">
        <v>205</v>
      </c>
      <c r="F161" s="98" t="s">
        <v>206</v>
      </c>
      <c r="G161" s="97" t="s">
        <v>207</v>
      </c>
      <c r="H161" s="99"/>
      <c r="I161" s="100" t="s">
        <v>193</v>
      </c>
    </row>
    <row r="162" spans="2:9" x14ac:dyDescent="0.2">
      <c r="B162" s="623"/>
      <c r="C162" s="624"/>
      <c r="D162" s="137"/>
      <c r="E162" s="101"/>
      <c r="F162" s="102"/>
      <c r="G162" s="82">
        <f>+D162*F162</f>
        <v>0</v>
      </c>
      <c r="H162" s="83"/>
      <c r="I162" s="103"/>
    </row>
    <row r="163" spans="2:9" x14ac:dyDescent="0.2">
      <c r="B163" s="623"/>
      <c r="C163" s="624"/>
      <c r="D163" s="137"/>
      <c r="E163" s="101"/>
      <c r="F163" s="104"/>
      <c r="G163" s="82">
        <f>+D163*F163</f>
        <v>0</v>
      </c>
      <c r="H163" s="85"/>
      <c r="I163" s="103"/>
    </row>
    <row r="164" spans="2:9" x14ac:dyDescent="0.2">
      <c r="B164" s="105"/>
      <c r="C164" s="106"/>
      <c r="D164" s="75"/>
      <c r="E164" s="106"/>
      <c r="F164" s="107" t="s">
        <v>208</v>
      </c>
      <c r="G164" s="106"/>
      <c r="H164" s="108"/>
      <c r="I164" s="109">
        <f>SUM(G162:G163)</f>
        <v>0</v>
      </c>
    </row>
    <row r="165" spans="2:9" ht="14.25" x14ac:dyDescent="0.2">
      <c r="B165" s="73" t="s">
        <v>209</v>
      </c>
      <c r="C165" s="76"/>
      <c r="D165" s="75"/>
      <c r="E165" s="76"/>
      <c r="F165" s="77"/>
      <c r="G165" s="76"/>
      <c r="H165" s="76"/>
      <c r="I165" s="95"/>
    </row>
    <row r="166" spans="2:9" x14ac:dyDescent="0.2">
      <c r="B166" s="588" t="s">
        <v>188</v>
      </c>
      <c r="C166" s="589"/>
      <c r="D166" s="96" t="s">
        <v>136</v>
      </c>
      <c r="E166" s="110" t="s">
        <v>137</v>
      </c>
      <c r="F166" s="111" t="s">
        <v>201</v>
      </c>
      <c r="G166" s="112" t="s">
        <v>205</v>
      </c>
      <c r="H166" s="112"/>
      <c r="I166" s="100" t="s">
        <v>193</v>
      </c>
    </row>
    <row r="167" spans="2:9" ht="24.75" customHeight="1" x14ac:dyDescent="0.2">
      <c r="B167" s="590" t="s">
        <v>244</v>
      </c>
      <c r="C167" s="591"/>
      <c r="D167" s="91" t="s">
        <v>211</v>
      </c>
      <c r="E167" s="88">
        <v>1</v>
      </c>
      <c r="F167" s="104">
        <f>+(80000+50000*1)*1.671</f>
        <v>217230</v>
      </c>
      <c r="G167" s="113">
        <v>0.1</v>
      </c>
      <c r="H167" s="114"/>
      <c r="I167" s="115">
        <f>SUM(F167*E167)*G167</f>
        <v>21723</v>
      </c>
    </row>
    <row r="168" spans="2:9" x14ac:dyDescent="0.2">
      <c r="B168" s="627"/>
      <c r="C168" s="617"/>
      <c r="D168" s="91"/>
      <c r="E168" s="116"/>
      <c r="F168" s="117"/>
      <c r="G168" s="114"/>
      <c r="H168" s="114"/>
      <c r="I168" s="94">
        <f>SUM(F168*E168)*G168</f>
        <v>0</v>
      </c>
    </row>
    <row r="169" spans="2:9" x14ac:dyDescent="0.2">
      <c r="B169" s="598"/>
      <c r="C169" s="599"/>
      <c r="D169" s="91"/>
      <c r="E169" s="118"/>
      <c r="F169" s="117"/>
      <c r="G169" s="114"/>
      <c r="H169" s="114"/>
      <c r="I169" s="94">
        <f>SUM(F169*E169)*G169</f>
        <v>0</v>
      </c>
    </row>
    <row r="170" spans="2:9" x14ac:dyDescent="0.2">
      <c r="B170" s="92"/>
      <c r="C170" s="76"/>
      <c r="D170" s="75"/>
      <c r="E170" s="76"/>
      <c r="F170" s="605" t="s">
        <v>212</v>
      </c>
      <c r="G170" s="605"/>
      <c r="H170" s="119"/>
      <c r="I170" s="94">
        <f>I167</f>
        <v>21723</v>
      </c>
    </row>
    <row r="171" spans="2:9" ht="13.5" thickBot="1" x14ac:dyDescent="0.25">
      <c r="B171" s="92"/>
      <c r="C171" s="76"/>
      <c r="D171" s="75"/>
      <c r="E171" s="76"/>
      <c r="F171" s="120"/>
      <c r="G171" s="119"/>
      <c r="H171" s="119"/>
      <c r="I171" s="78"/>
    </row>
    <row r="172" spans="2:9" ht="13.5" thickBot="1" x14ac:dyDescent="0.25">
      <c r="B172" s="92"/>
      <c r="C172" s="76"/>
      <c r="D172" s="75"/>
      <c r="E172" s="606" t="s">
        <v>213</v>
      </c>
      <c r="F172" s="606"/>
      <c r="G172" s="606"/>
      <c r="H172" s="121"/>
      <c r="I172" s="122">
        <f>ROUND(SUM(I147+I159+I164+I170),0)</f>
        <v>101687</v>
      </c>
    </row>
    <row r="173" spans="2:9" ht="15" thickBot="1" x14ac:dyDescent="0.25">
      <c r="B173" s="73" t="s">
        <v>214</v>
      </c>
      <c r="C173" s="76"/>
      <c r="D173" s="123"/>
      <c r="E173" s="124"/>
      <c r="F173" s="77"/>
      <c r="G173" s="76"/>
      <c r="H173" s="76"/>
      <c r="I173" s="78"/>
    </row>
    <row r="174" spans="2:9" x14ac:dyDescent="0.2">
      <c r="B174" s="607" t="s">
        <v>215</v>
      </c>
      <c r="C174" s="608"/>
      <c r="D174" s="613" t="s">
        <v>216</v>
      </c>
      <c r="E174" s="614"/>
      <c r="F174" s="125" t="s">
        <v>195</v>
      </c>
      <c r="G174" s="126" t="s">
        <v>217</v>
      </c>
      <c r="H174" s="127"/>
      <c r="I174" s="615"/>
    </row>
    <row r="175" spans="2:9" x14ac:dyDescent="0.2">
      <c r="B175" s="609"/>
      <c r="C175" s="610"/>
      <c r="D175" s="617" t="s">
        <v>218</v>
      </c>
      <c r="E175" s="618"/>
      <c r="F175" s="128">
        <v>25</v>
      </c>
      <c r="G175" s="116">
        <f>I172*20%</f>
        <v>20337.400000000001</v>
      </c>
      <c r="H175" s="129"/>
      <c r="I175" s="616"/>
    </row>
    <row r="176" spans="2:9" x14ac:dyDescent="0.2">
      <c r="B176" s="609"/>
      <c r="C176" s="610"/>
      <c r="D176" s="617" t="s">
        <v>168</v>
      </c>
      <c r="E176" s="618"/>
      <c r="F176" s="128">
        <v>5</v>
      </c>
      <c r="G176" s="116">
        <f>I172*5%</f>
        <v>5084.3500000000004</v>
      </c>
      <c r="H176" s="129"/>
      <c r="I176" s="616"/>
    </row>
    <row r="177" spans="2:9" x14ac:dyDescent="0.2">
      <c r="B177" s="609"/>
      <c r="C177" s="610"/>
      <c r="D177" s="619" t="s">
        <v>219</v>
      </c>
      <c r="E177" s="617"/>
      <c r="F177" s="128">
        <f>SUM(F175:F176)</f>
        <v>30</v>
      </c>
      <c r="G177" s="116">
        <f>SUM(G175:G176)</f>
        <v>25421.75</v>
      </c>
      <c r="H177" s="129"/>
      <c r="I177" s="616"/>
    </row>
    <row r="178" spans="2:9" ht="15" thickBot="1" x14ac:dyDescent="0.25">
      <c r="B178" s="609"/>
      <c r="C178" s="610"/>
      <c r="D178" s="130"/>
      <c r="E178" s="620" t="s">
        <v>220</v>
      </c>
      <c r="F178" s="621"/>
      <c r="G178" s="622"/>
      <c r="H178" s="38"/>
      <c r="I178" s="131">
        <f>SUM(G177:G177)</f>
        <v>25421.75</v>
      </c>
    </row>
    <row r="179" spans="2:9" ht="16.5" thickBot="1" x14ac:dyDescent="0.3">
      <c r="B179" s="611"/>
      <c r="C179" s="612"/>
      <c r="D179" s="628" t="s">
        <v>221</v>
      </c>
      <c r="E179" s="629"/>
      <c r="F179" s="630"/>
      <c r="G179" s="602">
        <f>SUM(I172+I178)</f>
        <v>127108.75</v>
      </c>
      <c r="H179" s="603"/>
      <c r="I179" s="604"/>
    </row>
    <row r="181" spans="2:9" ht="18.75" thickBot="1" x14ac:dyDescent="0.3">
      <c r="B181" s="564" t="s">
        <v>180</v>
      </c>
      <c r="C181" s="564"/>
      <c r="D181" s="564"/>
      <c r="E181" s="564"/>
      <c r="F181" s="564"/>
      <c r="G181" s="564"/>
      <c r="H181" s="564"/>
      <c r="I181" s="564"/>
    </row>
    <row r="182" spans="2:9" ht="15.75" thickBot="1" x14ac:dyDescent="0.3">
      <c r="B182" s="59" t="s">
        <v>181</v>
      </c>
      <c r="C182" s="565" t="s">
        <v>393</v>
      </c>
      <c r="D182" s="566"/>
      <c r="E182" s="566"/>
      <c r="F182" s="567"/>
      <c r="G182" s="60" t="s">
        <v>5</v>
      </c>
      <c r="H182" s="61"/>
      <c r="I182" s="62">
        <v>45373</v>
      </c>
    </row>
    <row r="183" spans="2:9" ht="13.5" thickBot="1" x14ac:dyDescent="0.25">
      <c r="B183" s="568" t="s">
        <v>182</v>
      </c>
      <c r="C183" s="569"/>
      <c r="D183" s="570"/>
      <c r="E183" s="568" t="s">
        <v>183</v>
      </c>
      <c r="F183" s="569"/>
      <c r="G183" s="569"/>
      <c r="H183" s="569"/>
      <c r="I183" s="570"/>
    </row>
    <row r="184" spans="2:9" ht="13.5" thickBot="1" x14ac:dyDescent="0.25">
      <c r="B184" s="571"/>
      <c r="C184" s="572"/>
      <c r="D184" s="573"/>
      <c r="E184" s="574" t="s">
        <v>125</v>
      </c>
      <c r="F184" s="575"/>
      <c r="G184" s="575"/>
      <c r="H184" s="575"/>
      <c r="I184" s="576"/>
    </row>
    <row r="185" spans="2:9" ht="13.5" thickBot="1" x14ac:dyDescent="0.25">
      <c r="B185" s="63" t="s">
        <v>275</v>
      </c>
      <c r="C185" s="64" t="s">
        <v>185</v>
      </c>
      <c r="D185" s="65" t="s">
        <v>120</v>
      </c>
      <c r="E185" s="577"/>
      <c r="F185" s="578"/>
      <c r="G185" s="578"/>
      <c r="H185" s="578"/>
      <c r="I185" s="579"/>
    </row>
    <row r="186" spans="2:9" ht="13.5" thickBot="1" x14ac:dyDescent="0.25">
      <c r="B186" s="583" t="s">
        <v>186</v>
      </c>
      <c r="C186" s="584"/>
      <c r="D186" s="66"/>
      <c r="E186" s="580"/>
      <c r="F186" s="581"/>
      <c r="G186" s="581"/>
      <c r="H186" s="581"/>
      <c r="I186" s="582"/>
    </row>
    <row r="187" spans="2:9" x14ac:dyDescent="0.2">
      <c r="B187" s="67" t="s">
        <v>187</v>
      </c>
      <c r="C187" s="68"/>
      <c r="D187" s="592"/>
      <c r="E187" s="592"/>
      <c r="F187" s="592"/>
      <c r="G187" s="592"/>
      <c r="H187" s="592"/>
      <c r="I187" s="593"/>
    </row>
    <row r="188" spans="2:9" x14ac:dyDescent="0.2">
      <c r="B188" s="588" t="s">
        <v>188</v>
      </c>
      <c r="C188" s="589"/>
      <c r="D188" s="96" t="s">
        <v>189</v>
      </c>
      <c r="E188" s="134" t="s">
        <v>190</v>
      </c>
      <c r="F188" s="111" t="s">
        <v>191</v>
      </c>
      <c r="G188" s="110" t="s">
        <v>192</v>
      </c>
      <c r="H188" s="112"/>
      <c r="I188" s="100" t="s">
        <v>193</v>
      </c>
    </row>
    <row r="189" spans="2:9" x14ac:dyDescent="0.2">
      <c r="B189" s="594" t="s">
        <v>194</v>
      </c>
      <c r="C189" s="595"/>
      <c r="D189" s="91" t="s">
        <v>195</v>
      </c>
      <c r="E189" s="135">
        <v>5</v>
      </c>
      <c r="F189" s="135">
        <f>SUM(I215)</f>
        <v>17378.400000000001</v>
      </c>
      <c r="G189" s="116">
        <f>SUM(F189*5%)</f>
        <v>868.92000000000007</v>
      </c>
      <c r="H189" s="69"/>
      <c r="I189" s="596"/>
    </row>
    <row r="190" spans="2:9" x14ac:dyDescent="0.2">
      <c r="B190" s="598" t="s">
        <v>196</v>
      </c>
      <c r="C190" s="599"/>
      <c r="D190" s="91" t="s">
        <v>195</v>
      </c>
      <c r="E190" s="135">
        <v>1.5</v>
      </c>
      <c r="F190" s="135">
        <f>SUM(I215)</f>
        <v>17378.400000000001</v>
      </c>
      <c r="G190" s="116">
        <f>SUM(F190*1.5%)</f>
        <v>260.67599999999999</v>
      </c>
      <c r="H190" s="70"/>
      <c r="I190" s="597"/>
    </row>
    <row r="191" spans="2:9" x14ac:dyDescent="0.2">
      <c r="B191" s="600"/>
      <c r="C191" s="601"/>
      <c r="D191" s="91"/>
      <c r="E191" s="104"/>
      <c r="F191" s="104"/>
      <c r="G191" s="88">
        <f>SUM(E191*F191)</f>
        <v>0</v>
      </c>
      <c r="H191" s="70"/>
      <c r="I191" s="597"/>
    </row>
    <row r="192" spans="2:9" x14ac:dyDescent="0.2">
      <c r="B192" s="587"/>
      <c r="C192" s="585"/>
      <c r="D192" s="585"/>
      <c r="E192" s="585"/>
      <c r="F192" s="71"/>
      <c r="G192" s="72" t="s">
        <v>197</v>
      </c>
      <c r="H192" s="72"/>
      <c r="I192" s="94">
        <f>SUM(G189:G191)</f>
        <v>1129.596</v>
      </c>
    </row>
    <row r="193" spans="2:9" x14ac:dyDescent="0.2">
      <c r="B193" s="73" t="s">
        <v>198</v>
      </c>
      <c r="C193" s="74"/>
      <c r="D193" s="75"/>
      <c r="E193" s="76"/>
      <c r="F193" s="77"/>
      <c r="G193" s="76"/>
      <c r="H193" s="76"/>
      <c r="I193" s="78"/>
    </row>
    <row r="194" spans="2:9" x14ac:dyDescent="0.2">
      <c r="B194" s="588" t="s">
        <v>188</v>
      </c>
      <c r="C194" s="589"/>
      <c r="D194" s="96" t="s">
        <v>199</v>
      </c>
      <c r="E194" s="110" t="s">
        <v>137</v>
      </c>
      <c r="F194" s="111" t="s">
        <v>200</v>
      </c>
      <c r="G194" s="110" t="s">
        <v>201</v>
      </c>
      <c r="H194" s="112"/>
      <c r="I194" s="100" t="s">
        <v>193</v>
      </c>
    </row>
    <row r="195" spans="2:9" ht="12.75" customHeight="1" x14ac:dyDescent="0.2">
      <c r="B195" s="590" t="s">
        <v>303</v>
      </c>
      <c r="C195" s="591"/>
      <c r="D195" s="79" t="s">
        <v>77</v>
      </c>
      <c r="E195" s="80">
        <v>0.5</v>
      </c>
      <c r="F195" s="81"/>
      <c r="G195" s="82">
        <f>8452*1.2</f>
        <v>10142.4</v>
      </c>
      <c r="H195" s="83"/>
      <c r="I195" s="90">
        <f t="shared" ref="I195:I203" si="4">(E195*(1+F195/100)) * (G195*(1+H195/100))</f>
        <v>5071.2</v>
      </c>
    </row>
    <row r="196" spans="2:9" x14ac:dyDescent="0.2">
      <c r="B196" s="590" t="s">
        <v>304</v>
      </c>
      <c r="C196" s="591"/>
      <c r="D196" s="79" t="s">
        <v>39</v>
      </c>
      <c r="E196" s="80">
        <v>1</v>
      </c>
      <c r="F196" s="136">
        <v>5</v>
      </c>
      <c r="G196" s="82">
        <f>6816*1.2</f>
        <v>8179.2</v>
      </c>
      <c r="H196" s="84"/>
      <c r="I196" s="90">
        <f t="shared" si="4"/>
        <v>8588.16</v>
      </c>
    </row>
    <row r="197" spans="2:9" ht="12.75" customHeight="1" x14ac:dyDescent="0.2">
      <c r="B197" s="590" t="s">
        <v>305</v>
      </c>
      <c r="C197" s="591"/>
      <c r="D197" s="79" t="s">
        <v>77</v>
      </c>
      <c r="E197" s="80">
        <v>1</v>
      </c>
      <c r="F197" s="87"/>
      <c r="G197" s="82">
        <f>7800*1.2</f>
        <v>9360</v>
      </c>
      <c r="H197" s="85"/>
      <c r="I197" s="90">
        <f t="shared" si="4"/>
        <v>9360</v>
      </c>
    </row>
    <row r="198" spans="2:9" x14ac:dyDescent="0.2">
      <c r="B198" s="590" t="s">
        <v>287</v>
      </c>
      <c r="C198" s="591"/>
      <c r="D198" s="79" t="s">
        <v>77</v>
      </c>
      <c r="E198" s="80">
        <v>0.04</v>
      </c>
      <c r="F198" s="81">
        <v>5</v>
      </c>
      <c r="G198" s="82">
        <f>114000*1.3</f>
        <v>148200</v>
      </c>
      <c r="H198" s="85"/>
      <c r="I198" s="90">
        <f t="shared" si="4"/>
        <v>6224.4000000000005</v>
      </c>
    </row>
    <row r="199" spans="2:9" x14ac:dyDescent="0.2">
      <c r="B199" s="590" t="s">
        <v>295</v>
      </c>
      <c r="C199" s="591"/>
      <c r="D199" s="79" t="s">
        <v>77</v>
      </c>
      <c r="E199" s="80">
        <v>0.04</v>
      </c>
      <c r="F199" s="81">
        <v>5</v>
      </c>
      <c r="G199" s="82">
        <f>54768*1.2</f>
        <v>65721.599999999991</v>
      </c>
      <c r="H199" s="85"/>
      <c r="I199" s="90">
        <f t="shared" si="4"/>
        <v>2760.3071999999997</v>
      </c>
    </row>
    <row r="200" spans="2:9" x14ac:dyDescent="0.2">
      <c r="B200" s="590"/>
      <c r="C200" s="591"/>
      <c r="D200" s="79"/>
      <c r="E200" s="80"/>
      <c r="F200" s="87"/>
      <c r="G200" s="82"/>
      <c r="H200" s="85"/>
      <c r="I200" s="90">
        <f t="shared" si="4"/>
        <v>0</v>
      </c>
    </row>
    <row r="201" spans="2:9" x14ac:dyDescent="0.2">
      <c r="B201" s="590"/>
      <c r="C201" s="591"/>
      <c r="D201" s="86"/>
      <c r="E201" s="80"/>
      <c r="F201" s="87"/>
      <c r="G201" s="82"/>
      <c r="H201" s="85"/>
      <c r="I201" s="90">
        <f t="shared" si="4"/>
        <v>0</v>
      </c>
    </row>
    <row r="202" spans="2:9" x14ac:dyDescent="0.2">
      <c r="B202" s="562"/>
      <c r="C202" s="563"/>
      <c r="D202" s="91"/>
      <c r="E202" s="80"/>
      <c r="F202" s="87"/>
      <c r="G202" s="88"/>
      <c r="H202" s="89"/>
      <c r="I202" s="90">
        <f t="shared" si="4"/>
        <v>0</v>
      </c>
    </row>
    <row r="203" spans="2:9" x14ac:dyDescent="0.2">
      <c r="B203" s="562"/>
      <c r="C203" s="563"/>
      <c r="D203" s="91"/>
      <c r="E203" s="80"/>
      <c r="F203" s="87"/>
      <c r="G203" s="88"/>
      <c r="H203" s="89"/>
      <c r="I203" s="90">
        <f t="shared" si="4"/>
        <v>0</v>
      </c>
    </row>
    <row r="204" spans="2:9" x14ac:dyDescent="0.2">
      <c r="B204" s="92"/>
      <c r="C204" s="76"/>
      <c r="D204" s="75"/>
      <c r="E204" s="76"/>
      <c r="F204" s="585" t="s">
        <v>202</v>
      </c>
      <c r="G204" s="586"/>
      <c r="H204" s="93"/>
      <c r="I204" s="94">
        <f>SUM(I195:I203)</f>
        <v>32004.067200000001</v>
      </c>
    </row>
    <row r="205" spans="2:9" ht="14.25" x14ac:dyDescent="0.2">
      <c r="B205" s="73" t="s">
        <v>203</v>
      </c>
      <c r="C205" s="74"/>
      <c r="D205" s="75"/>
      <c r="E205" s="76"/>
      <c r="F205" s="77"/>
      <c r="G205" s="76"/>
      <c r="H205" s="76"/>
      <c r="I205" s="95"/>
    </row>
    <row r="206" spans="2:9" x14ac:dyDescent="0.2">
      <c r="B206" s="588" t="s">
        <v>188</v>
      </c>
      <c r="C206" s="589"/>
      <c r="D206" s="96" t="s">
        <v>204</v>
      </c>
      <c r="E206" s="97" t="s">
        <v>205</v>
      </c>
      <c r="F206" s="98" t="s">
        <v>206</v>
      </c>
      <c r="G206" s="97" t="s">
        <v>207</v>
      </c>
      <c r="H206" s="99"/>
      <c r="I206" s="100" t="s">
        <v>193</v>
      </c>
    </row>
    <row r="207" spans="2:9" x14ac:dyDescent="0.2">
      <c r="B207" s="623"/>
      <c r="C207" s="624"/>
      <c r="D207" s="137"/>
      <c r="E207" s="101"/>
      <c r="F207" s="102"/>
      <c r="G207" s="82">
        <f>+D207*F207</f>
        <v>0</v>
      </c>
      <c r="H207" s="83"/>
      <c r="I207" s="103"/>
    </row>
    <row r="208" spans="2:9" x14ac:dyDescent="0.2">
      <c r="B208" s="623"/>
      <c r="C208" s="624"/>
      <c r="D208" s="137"/>
      <c r="E208" s="101"/>
      <c r="F208" s="104"/>
      <c r="G208" s="82">
        <f>+D208*F208</f>
        <v>0</v>
      </c>
      <c r="H208" s="85"/>
      <c r="I208" s="103"/>
    </row>
    <row r="209" spans="2:9" x14ac:dyDescent="0.2">
      <c r="B209" s="105"/>
      <c r="C209" s="106"/>
      <c r="D209" s="75"/>
      <c r="E209" s="106"/>
      <c r="F209" s="107" t="s">
        <v>208</v>
      </c>
      <c r="G209" s="106"/>
      <c r="H209" s="108"/>
      <c r="I209" s="109">
        <f>SUM(G207:G208)</f>
        <v>0</v>
      </c>
    </row>
    <row r="210" spans="2:9" ht="14.25" x14ac:dyDescent="0.2">
      <c r="B210" s="73" t="s">
        <v>209</v>
      </c>
      <c r="C210" s="76"/>
      <c r="D210" s="75"/>
      <c r="E210" s="76"/>
      <c r="F210" s="77"/>
      <c r="G210" s="76"/>
      <c r="H210" s="76"/>
      <c r="I210" s="95"/>
    </row>
    <row r="211" spans="2:9" x14ac:dyDescent="0.2">
      <c r="B211" s="588" t="s">
        <v>188</v>
      </c>
      <c r="C211" s="589"/>
      <c r="D211" s="96" t="s">
        <v>136</v>
      </c>
      <c r="E211" s="110" t="s">
        <v>137</v>
      </c>
      <c r="F211" s="111" t="s">
        <v>201</v>
      </c>
      <c r="G211" s="112" t="s">
        <v>205</v>
      </c>
      <c r="H211" s="112"/>
      <c r="I211" s="100" t="s">
        <v>193</v>
      </c>
    </row>
    <row r="212" spans="2:9" ht="24" customHeight="1" x14ac:dyDescent="0.2">
      <c r="B212" s="590" t="s">
        <v>244</v>
      </c>
      <c r="C212" s="591"/>
      <c r="D212" s="91" t="s">
        <v>211</v>
      </c>
      <c r="E212" s="88">
        <v>1</v>
      </c>
      <c r="F212" s="104">
        <f>+(80000+50000*1)*1.671</f>
        <v>217230</v>
      </c>
      <c r="G212" s="113">
        <v>0.08</v>
      </c>
      <c r="H212" s="114"/>
      <c r="I212" s="115">
        <f>SUM(F212*E212)*G212</f>
        <v>17378.400000000001</v>
      </c>
    </row>
    <row r="213" spans="2:9" x14ac:dyDescent="0.2">
      <c r="B213" s="627"/>
      <c r="C213" s="617"/>
      <c r="D213" s="91"/>
      <c r="E213" s="116"/>
      <c r="F213" s="117"/>
      <c r="G213" s="114"/>
      <c r="H213" s="114"/>
      <c r="I213" s="94">
        <f>SUM(F213*E213)*G213</f>
        <v>0</v>
      </c>
    </row>
    <row r="214" spans="2:9" x14ac:dyDescent="0.2">
      <c r="B214" s="598"/>
      <c r="C214" s="599"/>
      <c r="D214" s="91"/>
      <c r="E214" s="118"/>
      <c r="F214" s="117"/>
      <c r="G214" s="114"/>
      <c r="H214" s="114"/>
      <c r="I214" s="94">
        <f>SUM(F214*E214)*G214</f>
        <v>0</v>
      </c>
    </row>
    <row r="215" spans="2:9" x14ac:dyDescent="0.2">
      <c r="B215" s="92"/>
      <c r="C215" s="76"/>
      <c r="D215" s="75"/>
      <c r="E215" s="76"/>
      <c r="F215" s="605" t="s">
        <v>212</v>
      </c>
      <c r="G215" s="605"/>
      <c r="H215" s="119"/>
      <c r="I215" s="94">
        <f>I212</f>
        <v>17378.400000000001</v>
      </c>
    </row>
    <row r="216" spans="2:9" ht="13.5" thickBot="1" x14ac:dyDescent="0.25">
      <c r="B216" s="92"/>
      <c r="C216" s="76"/>
      <c r="D216" s="75"/>
      <c r="E216" s="76"/>
      <c r="F216" s="120"/>
      <c r="G216" s="119"/>
      <c r="H216" s="119"/>
      <c r="I216" s="78"/>
    </row>
    <row r="217" spans="2:9" ht="13.5" thickBot="1" x14ac:dyDescent="0.25">
      <c r="B217" s="92"/>
      <c r="C217" s="76"/>
      <c r="D217" s="75"/>
      <c r="E217" s="606" t="s">
        <v>213</v>
      </c>
      <c r="F217" s="606"/>
      <c r="G217" s="606"/>
      <c r="H217" s="121"/>
      <c r="I217" s="122">
        <f>ROUND(SUM(I192+I204+I209+I215),0)</f>
        <v>50512</v>
      </c>
    </row>
    <row r="218" spans="2:9" ht="15" thickBot="1" x14ac:dyDescent="0.25">
      <c r="B218" s="73" t="s">
        <v>214</v>
      </c>
      <c r="C218" s="76"/>
      <c r="D218" s="123"/>
      <c r="E218" s="124"/>
      <c r="F218" s="77"/>
      <c r="G218" s="76"/>
      <c r="H218" s="76"/>
      <c r="I218" s="78"/>
    </row>
    <row r="219" spans="2:9" x14ac:dyDescent="0.2">
      <c r="B219" s="607" t="s">
        <v>215</v>
      </c>
      <c r="C219" s="608"/>
      <c r="D219" s="613" t="s">
        <v>216</v>
      </c>
      <c r="E219" s="614"/>
      <c r="F219" s="125" t="s">
        <v>195</v>
      </c>
      <c r="G219" s="126" t="s">
        <v>217</v>
      </c>
      <c r="H219" s="127"/>
      <c r="I219" s="615"/>
    </row>
    <row r="220" spans="2:9" x14ac:dyDescent="0.2">
      <c r="B220" s="609"/>
      <c r="C220" s="610"/>
      <c r="D220" s="617" t="s">
        <v>218</v>
      </c>
      <c r="E220" s="618"/>
      <c r="F220" s="128">
        <v>25</v>
      </c>
      <c r="G220" s="116">
        <f>I217*20%</f>
        <v>10102.400000000001</v>
      </c>
      <c r="H220" s="129"/>
      <c r="I220" s="616"/>
    </row>
    <row r="221" spans="2:9" x14ac:dyDescent="0.2">
      <c r="B221" s="609"/>
      <c r="C221" s="610"/>
      <c r="D221" s="617" t="s">
        <v>168</v>
      </c>
      <c r="E221" s="618"/>
      <c r="F221" s="128">
        <v>5</v>
      </c>
      <c r="G221" s="116">
        <f>I217*5%</f>
        <v>2525.6000000000004</v>
      </c>
      <c r="H221" s="129"/>
      <c r="I221" s="616"/>
    </row>
    <row r="222" spans="2:9" x14ac:dyDescent="0.2">
      <c r="B222" s="609"/>
      <c r="C222" s="610"/>
      <c r="D222" s="619" t="s">
        <v>219</v>
      </c>
      <c r="E222" s="617"/>
      <c r="F222" s="128">
        <f>SUM(F220:F221)</f>
        <v>30</v>
      </c>
      <c r="G222" s="116">
        <f>SUM(G220:G221)</f>
        <v>12628.000000000002</v>
      </c>
      <c r="H222" s="129"/>
      <c r="I222" s="616"/>
    </row>
    <row r="223" spans="2:9" ht="15" thickBot="1" x14ac:dyDescent="0.25">
      <c r="B223" s="609"/>
      <c r="C223" s="610"/>
      <c r="D223" s="130"/>
      <c r="E223" s="620" t="s">
        <v>220</v>
      </c>
      <c r="F223" s="621"/>
      <c r="G223" s="622"/>
      <c r="H223" s="38"/>
      <c r="I223" s="131">
        <f>SUM(G222:G222)</f>
        <v>12628.000000000002</v>
      </c>
    </row>
    <row r="224" spans="2:9" ht="16.5" thickBot="1" x14ac:dyDescent="0.3">
      <c r="B224" s="611"/>
      <c r="C224" s="612"/>
      <c r="D224" s="628" t="s">
        <v>221</v>
      </c>
      <c r="E224" s="629"/>
      <c r="F224" s="630"/>
      <c r="G224" s="602">
        <f>SUM(I217+I223)</f>
        <v>63140</v>
      </c>
      <c r="H224" s="603"/>
      <c r="I224" s="604"/>
    </row>
    <row r="226" spans="2:9" ht="18.75" thickBot="1" x14ac:dyDescent="0.3">
      <c r="B226" s="564" t="s">
        <v>180</v>
      </c>
      <c r="C226" s="564"/>
      <c r="D226" s="564"/>
      <c r="E226" s="564"/>
      <c r="F226" s="564"/>
      <c r="G226" s="564"/>
      <c r="H226" s="564"/>
      <c r="I226" s="564"/>
    </row>
    <row r="227" spans="2:9" ht="15.75" thickBot="1" x14ac:dyDescent="0.3">
      <c r="B227" s="59" t="s">
        <v>181</v>
      </c>
      <c r="C227" s="565" t="s">
        <v>393</v>
      </c>
      <c r="D227" s="566"/>
      <c r="E227" s="566"/>
      <c r="F227" s="567"/>
      <c r="G227" s="60" t="s">
        <v>5</v>
      </c>
      <c r="H227" s="61"/>
      <c r="I227" s="62">
        <v>45373</v>
      </c>
    </row>
    <row r="228" spans="2:9" ht="13.5" thickBot="1" x14ac:dyDescent="0.25">
      <c r="B228" s="568" t="s">
        <v>182</v>
      </c>
      <c r="C228" s="569"/>
      <c r="D228" s="570"/>
      <c r="E228" s="568" t="s">
        <v>183</v>
      </c>
      <c r="F228" s="569"/>
      <c r="G228" s="569"/>
      <c r="H228" s="569"/>
      <c r="I228" s="570"/>
    </row>
    <row r="229" spans="2:9" ht="13.5" thickBot="1" x14ac:dyDescent="0.25">
      <c r="B229" s="571"/>
      <c r="C229" s="572"/>
      <c r="D229" s="573"/>
      <c r="E229" s="574" t="s">
        <v>127</v>
      </c>
      <c r="F229" s="575"/>
      <c r="G229" s="575"/>
      <c r="H229" s="575"/>
      <c r="I229" s="576"/>
    </row>
    <row r="230" spans="2:9" ht="13.5" thickBot="1" x14ac:dyDescent="0.25">
      <c r="B230" s="63" t="s">
        <v>275</v>
      </c>
      <c r="C230" s="64" t="s">
        <v>185</v>
      </c>
      <c r="D230" s="65" t="s">
        <v>161</v>
      </c>
      <c r="E230" s="577"/>
      <c r="F230" s="578"/>
      <c r="G230" s="578"/>
      <c r="H230" s="578"/>
      <c r="I230" s="579"/>
    </row>
    <row r="231" spans="2:9" ht="13.5" thickBot="1" x14ac:dyDescent="0.25">
      <c r="B231" s="583" t="s">
        <v>186</v>
      </c>
      <c r="C231" s="584"/>
      <c r="D231" s="66"/>
      <c r="E231" s="580"/>
      <c r="F231" s="581"/>
      <c r="G231" s="581"/>
      <c r="H231" s="581"/>
      <c r="I231" s="582"/>
    </row>
    <row r="232" spans="2:9" x14ac:dyDescent="0.2">
      <c r="B232" s="67" t="s">
        <v>187</v>
      </c>
      <c r="C232" s="68"/>
      <c r="D232" s="592"/>
      <c r="E232" s="592"/>
      <c r="F232" s="592"/>
      <c r="G232" s="592"/>
      <c r="H232" s="592"/>
      <c r="I232" s="593"/>
    </row>
    <row r="233" spans="2:9" x14ac:dyDescent="0.2">
      <c r="B233" s="588" t="s">
        <v>188</v>
      </c>
      <c r="C233" s="589"/>
      <c r="D233" s="96" t="s">
        <v>189</v>
      </c>
      <c r="E233" s="134" t="s">
        <v>190</v>
      </c>
      <c r="F233" s="111" t="s">
        <v>191</v>
      </c>
      <c r="G233" s="110" t="s">
        <v>192</v>
      </c>
      <c r="H233" s="112"/>
      <c r="I233" s="100" t="s">
        <v>193</v>
      </c>
    </row>
    <row r="234" spans="2:9" x14ac:dyDescent="0.2">
      <c r="B234" s="594" t="s">
        <v>194</v>
      </c>
      <c r="C234" s="595"/>
      <c r="D234" s="91" t="s">
        <v>195</v>
      </c>
      <c r="E234" s="135">
        <v>5</v>
      </c>
      <c r="F234" s="135">
        <f>SUM(I261)</f>
        <v>180468</v>
      </c>
      <c r="G234" s="116">
        <f>SUM(F234*5%)</f>
        <v>9023.4</v>
      </c>
      <c r="H234" s="69"/>
      <c r="I234" s="596"/>
    </row>
    <row r="235" spans="2:9" x14ac:dyDescent="0.2">
      <c r="B235" s="598" t="s">
        <v>196</v>
      </c>
      <c r="C235" s="599"/>
      <c r="D235" s="91" t="s">
        <v>195</v>
      </c>
      <c r="E235" s="135">
        <v>1.5</v>
      </c>
      <c r="F235" s="135">
        <f>SUM(I261)</f>
        <v>180468</v>
      </c>
      <c r="G235" s="116">
        <f>SUM(F235*1.5%)</f>
        <v>2707.02</v>
      </c>
      <c r="H235" s="70"/>
      <c r="I235" s="597"/>
    </row>
    <row r="236" spans="2:9" x14ac:dyDescent="0.2">
      <c r="B236" s="600" t="s">
        <v>250</v>
      </c>
      <c r="C236" s="601"/>
      <c r="D236" s="91" t="s">
        <v>237</v>
      </c>
      <c r="E236" s="104">
        <v>1</v>
      </c>
      <c r="F236" s="104">
        <v>20000</v>
      </c>
      <c r="G236" s="88">
        <f>SUM(E236*F236)</f>
        <v>20000</v>
      </c>
      <c r="H236" s="70"/>
      <c r="I236" s="597"/>
    </row>
    <row r="237" spans="2:9" x14ac:dyDescent="0.2">
      <c r="B237" s="600"/>
      <c r="C237" s="601"/>
      <c r="D237" s="91"/>
      <c r="E237" s="104"/>
      <c r="F237" s="104"/>
      <c r="G237" s="88">
        <f>SUM(E237*F237)</f>
        <v>0</v>
      </c>
      <c r="H237" s="89"/>
      <c r="I237" s="138"/>
    </row>
    <row r="238" spans="2:9" x14ac:dyDescent="0.2">
      <c r="B238" s="587"/>
      <c r="C238" s="585"/>
      <c r="D238" s="585"/>
      <c r="E238" s="585"/>
      <c r="F238" s="71"/>
      <c r="G238" s="72" t="s">
        <v>197</v>
      </c>
      <c r="H238" s="72"/>
      <c r="I238" s="94">
        <f>SUM(G234:H237)</f>
        <v>31730.42</v>
      </c>
    </row>
    <row r="239" spans="2:9" x14ac:dyDescent="0.2">
      <c r="B239" s="73" t="s">
        <v>198</v>
      </c>
      <c r="C239" s="74"/>
      <c r="D239" s="75"/>
      <c r="E239" s="76"/>
      <c r="F239" s="77"/>
      <c r="G239" s="76"/>
      <c r="H239" s="76"/>
      <c r="I239" s="78"/>
    </row>
    <row r="240" spans="2:9" x14ac:dyDescent="0.2">
      <c r="B240" s="588" t="s">
        <v>188</v>
      </c>
      <c r="C240" s="589"/>
      <c r="D240" s="96" t="s">
        <v>199</v>
      </c>
      <c r="E240" s="110" t="s">
        <v>137</v>
      </c>
      <c r="F240" s="111" t="s">
        <v>200</v>
      </c>
      <c r="G240" s="110" t="s">
        <v>201</v>
      </c>
      <c r="H240" s="112"/>
      <c r="I240" s="100" t="s">
        <v>193</v>
      </c>
    </row>
    <row r="241" spans="2:9" x14ac:dyDescent="0.2">
      <c r="B241" s="590" t="s">
        <v>226</v>
      </c>
      <c r="C241" s="591"/>
      <c r="D241" s="79" t="s">
        <v>227</v>
      </c>
      <c r="E241" s="80">
        <f>350*0.17</f>
        <v>59.500000000000007</v>
      </c>
      <c r="F241" s="81">
        <v>5</v>
      </c>
      <c r="G241" s="82">
        <f>34500/50</f>
        <v>690</v>
      </c>
      <c r="H241" s="83"/>
      <c r="I241" s="90">
        <f t="shared" ref="I241:I249" si="5">(E241*(1+F241/100)) * (G241*(1+H241/100))</f>
        <v>43107.750000000007</v>
      </c>
    </row>
    <row r="242" spans="2:9" x14ac:dyDescent="0.2">
      <c r="B242" s="590" t="s">
        <v>228</v>
      </c>
      <c r="C242" s="591"/>
      <c r="D242" s="79" t="s">
        <v>229</v>
      </c>
      <c r="E242" s="80">
        <f>180*0.17</f>
        <v>30.6</v>
      </c>
      <c r="F242" s="136">
        <v>5</v>
      </c>
      <c r="G242" s="82">
        <v>65</v>
      </c>
      <c r="H242" s="84"/>
      <c r="I242" s="90">
        <f t="shared" si="5"/>
        <v>2088.4500000000003</v>
      </c>
    </row>
    <row r="243" spans="2:9" x14ac:dyDescent="0.2">
      <c r="B243" s="590" t="s">
        <v>230</v>
      </c>
      <c r="C243" s="591"/>
      <c r="D243" s="79" t="s">
        <v>231</v>
      </c>
      <c r="E243" s="80">
        <f>0.56*0.17</f>
        <v>9.5200000000000021E-2</v>
      </c>
      <c r="F243" s="87">
        <v>5</v>
      </c>
      <c r="G243" s="82">
        <v>39270</v>
      </c>
      <c r="H243" s="85"/>
      <c r="I243" s="90">
        <f t="shared" si="5"/>
        <v>3925.4292000000009</v>
      </c>
    </row>
    <row r="244" spans="2:9" x14ac:dyDescent="0.2">
      <c r="B244" s="590" t="s">
        <v>232</v>
      </c>
      <c r="C244" s="591"/>
      <c r="D244" s="79" t="s">
        <v>231</v>
      </c>
      <c r="E244" s="80">
        <f>0.84*0.17</f>
        <v>0.14280000000000001</v>
      </c>
      <c r="F244" s="87">
        <v>5</v>
      </c>
      <c r="G244" s="82">
        <v>102000</v>
      </c>
      <c r="H244" s="85"/>
      <c r="I244" s="90">
        <f t="shared" si="5"/>
        <v>15293.880000000001</v>
      </c>
    </row>
    <row r="245" spans="2:9" ht="22.5" customHeight="1" x14ac:dyDescent="0.2">
      <c r="B245" s="590" t="s">
        <v>306</v>
      </c>
      <c r="C245" s="591"/>
      <c r="D245" s="79" t="s">
        <v>231</v>
      </c>
      <c r="E245" s="80">
        <v>0.02</v>
      </c>
      <c r="F245" s="81">
        <v>5</v>
      </c>
      <c r="G245" s="82">
        <f>388454*1.2</f>
        <v>466144.8</v>
      </c>
      <c r="H245" s="85"/>
      <c r="I245" s="90">
        <f t="shared" si="5"/>
        <v>9789.0408000000007</v>
      </c>
    </row>
    <row r="246" spans="2:9" x14ac:dyDescent="0.2">
      <c r="B246" s="590" t="s">
        <v>256</v>
      </c>
      <c r="C246" s="591"/>
      <c r="D246" s="79" t="s">
        <v>227</v>
      </c>
      <c r="E246" s="80">
        <v>6.72</v>
      </c>
      <c r="F246" s="87">
        <v>5</v>
      </c>
      <c r="G246" s="82">
        <f>4569*1.3</f>
        <v>5939.7</v>
      </c>
      <c r="H246" s="85"/>
      <c r="I246" s="90">
        <f t="shared" si="5"/>
        <v>41910.523199999996</v>
      </c>
    </row>
    <row r="247" spans="2:9" x14ac:dyDescent="0.2">
      <c r="B247" s="590" t="s">
        <v>307</v>
      </c>
      <c r="C247" s="591"/>
      <c r="D247" s="86" t="s">
        <v>227</v>
      </c>
      <c r="E247" s="80">
        <v>0.2</v>
      </c>
      <c r="F247" s="87">
        <v>5</v>
      </c>
      <c r="G247" s="82">
        <f>5456*1.2</f>
        <v>6547.2</v>
      </c>
      <c r="H247" s="85"/>
      <c r="I247" s="90">
        <f t="shared" si="5"/>
        <v>1374.912</v>
      </c>
    </row>
    <row r="248" spans="2:9" ht="57.75" customHeight="1" x14ac:dyDescent="0.2">
      <c r="B248" s="633" t="s">
        <v>308</v>
      </c>
      <c r="C248" s="634"/>
      <c r="D248" s="91" t="s">
        <v>77</v>
      </c>
      <c r="E248" s="80">
        <v>1</v>
      </c>
      <c r="F248" s="87"/>
      <c r="G248" s="82">
        <f>64519*1.3</f>
        <v>83874.7</v>
      </c>
      <c r="H248" s="89"/>
      <c r="I248" s="90">
        <f t="shared" si="5"/>
        <v>83874.7</v>
      </c>
    </row>
    <row r="249" spans="2:9" x14ac:dyDescent="0.2">
      <c r="B249" s="562"/>
      <c r="C249" s="563"/>
      <c r="D249" s="91"/>
      <c r="E249" s="80"/>
      <c r="F249" s="87"/>
      <c r="G249" s="88"/>
      <c r="H249" s="89"/>
      <c r="I249" s="90">
        <f t="shared" si="5"/>
        <v>0</v>
      </c>
    </row>
    <row r="250" spans="2:9" x14ac:dyDescent="0.2">
      <c r="B250" s="92"/>
      <c r="C250" s="76"/>
      <c r="D250" s="75"/>
      <c r="E250" s="76"/>
      <c r="F250" s="585" t="s">
        <v>202</v>
      </c>
      <c r="G250" s="586"/>
      <c r="H250" s="93"/>
      <c r="I250" s="94">
        <f>SUM(I241:I249)</f>
        <v>201364.68520000001</v>
      </c>
    </row>
    <row r="251" spans="2:9" ht="14.25" x14ac:dyDescent="0.2">
      <c r="B251" s="73" t="s">
        <v>203</v>
      </c>
      <c r="C251" s="74"/>
      <c r="D251" s="75"/>
      <c r="E251" s="76"/>
      <c r="F251" s="77"/>
      <c r="G251" s="76"/>
      <c r="H251" s="76"/>
      <c r="I251" s="95"/>
    </row>
    <row r="252" spans="2:9" x14ac:dyDescent="0.2">
      <c r="B252" s="588" t="s">
        <v>188</v>
      </c>
      <c r="C252" s="589"/>
      <c r="D252" s="96" t="s">
        <v>204</v>
      </c>
      <c r="E252" s="97" t="s">
        <v>205</v>
      </c>
      <c r="F252" s="98" t="s">
        <v>206</v>
      </c>
      <c r="G252" s="97" t="s">
        <v>207</v>
      </c>
      <c r="H252" s="99"/>
      <c r="I252" s="100" t="s">
        <v>193</v>
      </c>
    </row>
    <row r="253" spans="2:9" x14ac:dyDescent="0.2">
      <c r="B253" s="623" t="s">
        <v>233</v>
      </c>
      <c r="C253" s="624"/>
      <c r="D253" s="137">
        <f>+E243*15</f>
        <v>1.4280000000000004</v>
      </c>
      <c r="E253" s="101"/>
      <c r="F253" s="102">
        <v>1800</v>
      </c>
      <c r="G253" s="82">
        <f>+D253*F253</f>
        <v>2570.4000000000005</v>
      </c>
      <c r="H253" s="83"/>
      <c r="I253" s="103"/>
    </row>
    <row r="254" spans="2:9" x14ac:dyDescent="0.2">
      <c r="B254" s="623" t="s">
        <v>234</v>
      </c>
      <c r="C254" s="624"/>
      <c r="D254" s="137">
        <f>+E244*15</f>
        <v>2.1420000000000003</v>
      </c>
      <c r="E254" s="101"/>
      <c r="F254" s="104">
        <v>1800</v>
      </c>
      <c r="G254" s="82">
        <f>+D254*F254</f>
        <v>3855.6000000000008</v>
      </c>
      <c r="H254" s="85"/>
      <c r="I254" s="103"/>
    </row>
    <row r="255" spans="2:9" x14ac:dyDescent="0.2">
      <c r="B255" s="105"/>
      <c r="C255" s="106"/>
      <c r="D255" s="75"/>
      <c r="E255" s="106"/>
      <c r="F255" s="107" t="s">
        <v>208</v>
      </c>
      <c r="G255" s="106"/>
      <c r="H255" s="108"/>
      <c r="I255" s="109">
        <f>SUM(G253:G254)</f>
        <v>6426.0000000000018</v>
      </c>
    </row>
    <row r="256" spans="2:9" ht="14.25" x14ac:dyDescent="0.2">
      <c r="B256" s="73" t="s">
        <v>209</v>
      </c>
      <c r="C256" s="76"/>
      <c r="D256" s="75"/>
      <c r="E256" s="76"/>
      <c r="F256" s="77"/>
      <c r="G256" s="76"/>
      <c r="H256" s="76"/>
      <c r="I256" s="95"/>
    </row>
    <row r="257" spans="2:9" x14ac:dyDescent="0.2">
      <c r="B257" s="588" t="s">
        <v>188</v>
      </c>
      <c r="C257" s="589"/>
      <c r="D257" s="96" t="s">
        <v>136</v>
      </c>
      <c r="E257" s="110" t="s">
        <v>137</v>
      </c>
      <c r="F257" s="111" t="s">
        <v>201</v>
      </c>
      <c r="G257" s="112" t="s">
        <v>205</v>
      </c>
      <c r="H257" s="112"/>
      <c r="I257" s="100" t="s">
        <v>193</v>
      </c>
    </row>
    <row r="258" spans="2:9" ht="22.5" customHeight="1" x14ac:dyDescent="0.2">
      <c r="B258" s="590" t="s">
        <v>210</v>
      </c>
      <c r="C258" s="591"/>
      <c r="D258" s="91" t="s">
        <v>211</v>
      </c>
      <c r="E258" s="88">
        <v>1</v>
      </c>
      <c r="F258" s="104">
        <f>+(80000+50000*2)*1.671</f>
        <v>300780</v>
      </c>
      <c r="G258" s="113">
        <v>0.6</v>
      </c>
      <c r="H258" s="114"/>
      <c r="I258" s="115">
        <f>SUM(F258*E258)*G258</f>
        <v>180468</v>
      </c>
    </row>
    <row r="259" spans="2:9" x14ac:dyDescent="0.2">
      <c r="B259" s="627"/>
      <c r="C259" s="617"/>
      <c r="D259" s="91"/>
      <c r="E259" s="116"/>
      <c r="F259" s="117"/>
      <c r="G259" s="114"/>
      <c r="H259" s="114"/>
      <c r="I259" s="94">
        <f>SUM(F259*E259)*G259</f>
        <v>0</v>
      </c>
    </row>
    <row r="260" spans="2:9" x14ac:dyDescent="0.2">
      <c r="B260" s="598"/>
      <c r="C260" s="599"/>
      <c r="D260" s="91"/>
      <c r="E260" s="118"/>
      <c r="F260" s="117"/>
      <c r="G260" s="114"/>
      <c r="H260" s="114"/>
      <c r="I260" s="94">
        <f>SUM(F260*E260)*G260</f>
        <v>0</v>
      </c>
    </row>
    <row r="261" spans="2:9" x14ac:dyDescent="0.2">
      <c r="B261" s="92"/>
      <c r="C261" s="76"/>
      <c r="D261" s="75"/>
      <c r="E261" s="76"/>
      <c r="F261" s="605" t="s">
        <v>212</v>
      </c>
      <c r="G261" s="605"/>
      <c r="H261" s="119"/>
      <c r="I261" s="94">
        <f>I258</f>
        <v>180468</v>
      </c>
    </row>
    <row r="262" spans="2:9" ht="13.5" thickBot="1" x14ac:dyDescent="0.25">
      <c r="B262" s="92"/>
      <c r="C262" s="76"/>
      <c r="D262" s="75"/>
      <c r="E262" s="76"/>
      <c r="F262" s="120"/>
      <c r="G262" s="119"/>
      <c r="H262" s="119"/>
      <c r="I262" s="78"/>
    </row>
    <row r="263" spans="2:9" ht="13.5" thickBot="1" x14ac:dyDescent="0.25">
      <c r="B263" s="92"/>
      <c r="C263" s="76"/>
      <c r="D263" s="75"/>
      <c r="E263" s="606" t="s">
        <v>213</v>
      </c>
      <c r="F263" s="606"/>
      <c r="G263" s="606"/>
      <c r="H263" s="121"/>
      <c r="I263" s="122">
        <f>ROUND(SUM(I238+I250+I255+I261),0)</f>
        <v>419989</v>
      </c>
    </row>
    <row r="264" spans="2:9" ht="15" thickBot="1" x14ac:dyDescent="0.25">
      <c r="B264" s="73" t="s">
        <v>214</v>
      </c>
      <c r="C264" s="76"/>
      <c r="D264" s="123"/>
      <c r="E264" s="124"/>
      <c r="F264" s="77"/>
      <c r="G264" s="76"/>
      <c r="H264" s="76"/>
      <c r="I264" s="78"/>
    </row>
    <row r="265" spans="2:9" x14ac:dyDescent="0.2">
      <c r="B265" s="607" t="s">
        <v>215</v>
      </c>
      <c r="C265" s="608"/>
      <c r="D265" s="613" t="s">
        <v>216</v>
      </c>
      <c r="E265" s="614"/>
      <c r="F265" s="125" t="s">
        <v>195</v>
      </c>
      <c r="G265" s="126" t="s">
        <v>217</v>
      </c>
      <c r="H265" s="127"/>
      <c r="I265" s="615"/>
    </row>
    <row r="266" spans="2:9" x14ac:dyDescent="0.2">
      <c r="B266" s="609"/>
      <c r="C266" s="610"/>
      <c r="D266" s="617" t="s">
        <v>218</v>
      </c>
      <c r="E266" s="618"/>
      <c r="F266" s="128">
        <v>25</v>
      </c>
      <c r="G266" s="116">
        <f>I263*20%</f>
        <v>83997.8</v>
      </c>
      <c r="H266" s="129"/>
      <c r="I266" s="616"/>
    </row>
    <row r="267" spans="2:9" x14ac:dyDescent="0.2">
      <c r="B267" s="609"/>
      <c r="C267" s="610"/>
      <c r="D267" s="617" t="s">
        <v>168</v>
      </c>
      <c r="E267" s="618"/>
      <c r="F267" s="128">
        <v>5</v>
      </c>
      <c r="G267" s="116">
        <f>I263*5%</f>
        <v>20999.45</v>
      </c>
      <c r="H267" s="129"/>
      <c r="I267" s="616"/>
    </row>
    <row r="268" spans="2:9" x14ac:dyDescent="0.2">
      <c r="B268" s="609"/>
      <c r="C268" s="610"/>
      <c r="D268" s="619" t="s">
        <v>219</v>
      </c>
      <c r="E268" s="617"/>
      <c r="F268" s="128">
        <f>SUM(F266:F267)</f>
        <v>30</v>
      </c>
      <c r="G268" s="116">
        <f>SUM(G266:G267)</f>
        <v>104997.25</v>
      </c>
      <c r="H268" s="129"/>
      <c r="I268" s="616"/>
    </row>
    <row r="269" spans="2:9" ht="15" thickBot="1" x14ac:dyDescent="0.25">
      <c r="B269" s="609"/>
      <c r="C269" s="610"/>
      <c r="D269" s="130"/>
      <c r="E269" s="620" t="s">
        <v>220</v>
      </c>
      <c r="F269" s="621"/>
      <c r="G269" s="622"/>
      <c r="H269" s="38"/>
      <c r="I269" s="131">
        <f>SUM(G268:G268)</f>
        <v>104997.25</v>
      </c>
    </row>
    <row r="270" spans="2:9" ht="16.5" thickBot="1" x14ac:dyDescent="0.3">
      <c r="B270" s="611"/>
      <c r="C270" s="612"/>
      <c r="D270" s="628" t="s">
        <v>221</v>
      </c>
      <c r="E270" s="629"/>
      <c r="F270" s="630"/>
      <c r="G270" s="602">
        <f>SUM(I263+I269)</f>
        <v>524986.25</v>
      </c>
      <c r="H270" s="603"/>
      <c r="I270" s="604"/>
    </row>
    <row r="273" spans="2:9" ht="18.75" thickBot="1" x14ac:dyDescent="0.3">
      <c r="B273" s="564" t="s">
        <v>180</v>
      </c>
      <c r="C273" s="564"/>
      <c r="D273" s="564"/>
      <c r="E273" s="564"/>
      <c r="F273" s="564"/>
      <c r="G273" s="564"/>
      <c r="H273" s="564"/>
      <c r="I273" s="564"/>
    </row>
    <row r="274" spans="2:9" ht="15.75" thickBot="1" x14ac:dyDescent="0.3">
      <c r="B274" s="59" t="s">
        <v>181</v>
      </c>
      <c r="C274" s="565" t="s">
        <v>393</v>
      </c>
      <c r="D274" s="566"/>
      <c r="E274" s="566"/>
      <c r="F274" s="567"/>
      <c r="G274" s="60" t="s">
        <v>5</v>
      </c>
      <c r="H274" s="61"/>
      <c r="I274" s="62">
        <v>45373</v>
      </c>
    </row>
    <row r="275" spans="2:9" ht="13.5" thickBot="1" x14ac:dyDescent="0.25">
      <c r="B275" s="568" t="s">
        <v>182</v>
      </c>
      <c r="C275" s="569"/>
      <c r="D275" s="570"/>
      <c r="E275" s="568" t="s">
        <v>183</v>
      </c>
      <c r="F275" s="569"/>
      <c r="G275" s="569"/>
      <c r="H275" s="569"/>
      <c r="I275" s="570"/>
    </row>
    <row r="276" spans="2:9" ht="13.5" thickBot="1" x14ac:dyDescent="0.25">
      <c r="B276" s="571"/>
      <c r="C276" s="572"/>
      <c r="D276" s="573"/>
      <c r="E276" s="574" t="s">
        <v>129</v>
      </c>
      <c r="F276" s="575"/>
      <c r="G276" s="575"/>
      <c r="H276" s="575"/>
      <c r="I276" s="576"/>
    </row>
    <row r="277" spans="2:9" ht="13.5" thickBot="1" x14ac:dyDescent="0.25">
      <c r="B277" s="63" t="s">
        <v>275</v>
      </c>
      <c r="C277" s="64" t="s">
        <v>185</v>
      </c>
      <c r="D277" s="65" t="s">
        <v>124</v>
      </c>
      <c r="E277" s="577"/>
      <c r="F277" s="578"/>
      <c r="G277" s="578"/>
      <c r="H277" s="578"/>
      <c r="I277" s="579"/>
    </row>
    <row r="278" spans="2:9" ht="13.5" thickBot="1" x14ac:dyDescent="0.25">
      <c r="B278" s="583" t="s">
        <v>186</v>
      </c>
      <c r="C278" s="584"/>
      <c r="D278" s="66"/>
      <c r="E278" s="580"/>
      <c r="F278" s="581"/>
      <c r="G278" s="581"/>
      <c r="H278" s="581"/>
      <c r="I278" s="582"/>
    </row>
    <row r="279" spans="2:9" x14ac:dyDescent="0.2">
      <c r="B279" s="67" t="s">
        <v>187</v>
      </c>
      <c r="C279" s="68"/>
      <c r="D279" s="592"/>
      <c r="E279" s="592"/>
      <c r="F279" s="592"/>
      <c r="G279" s="592"/>
      <c r="H279" s="592"/>
      <c r="I279" s="593"/>
    </row>
    <row r="280" spans="2:9" x14ac:dyDescent="0.2">
      <c r="B280" s="588" t="s">
        <v>188</v>
      </c>
      <c r="C280" s="589"/>
      <c r="D280" s="96" t="s">
        <v>189</v>
      </c>
      <c r="E280" s="134" t="s">
        <v>190</v>
      </c>
      <c r="F280" s="111" t="s">
        <v>191</v>
      </c>
      <c r="G280" s="110" t="s">
        <v>192</v>
      </c>
      <c r="H280" s="112"/>
      <c r="I280" s="100" t="s">
        <v>193</v>
      </c>
    </row>
    <row r="281" spans="2:9" x14ac:dyDescent="0.2">
      <c r="B281" s="594" t="s">
        <v>194</v>
      </c>
      <c r="C281" s="595"/>
      <c r="D281" s="91" t="s">
        <v>195</v>
      </c>
      <c r="E281" s="135">
        <v>5</v>
      </c>
      <c r="F281" s="135">
        <f>SUM(I307)</f>
        <v>173784</v>
      </c>
      <c r="G281" s="116">
        <f>SUM(F281*5%)</f>
        <v>8689.2000000000007</v>
      </c>
      <c r="H281" s="69"/>
      <c r="I281" s="596"/>
    </row>
    <row r="282" spans="2:9" x14ac:dyDescent="0.2">
      <c r="B282" s="598" t="s">
        <v>196</v>
      </c>
      <c r="C282" s="599"/>
      <c r="D282" s="91" t="s">
        <v>195</v>
      </c>
      <c r="E282" s="135">
        <v>1.5</v>
      </c>
      <c r="F282" s="135">
        <f>SUM(I307)</f>
        <v>173784</v>
      </c>
      <c r="G282" s="116">
        <f>SUM(F282*1.5%)</f>
        <v>2606.7599999999998</v>
      </c>
      <c r="H282" s="70"/>
      <c r="I282" s="597"/>
    </row>
    <row r="283" spans="2:9" x14ac:dyDescent="0.2">
      <c r="B283" s="600"/>
      <c r="C283" s="601"/>
      <c r="D283" s="91"/>
      <c r="E283" s="104"/>
      <c r="F283" s="104"/>
      <c r="G283" s="88">
        <f>SUM(E283*F283)</f>
        <v>0</v>
      </c>
      <c r="H283" s="70"/>
      <c r="I283" s="597"/>
    </row>
    <row r="284" spans="2:9" x14ac:dyDescent="0.2">
      <c r="B284" s="587"/>
      <c r="C284" s="585"/>
      <c r="D284" s="585"/>
      <c r="E284" s="585"/>
      <c r="F284" s="71"/>
      <c r="G284" s="72" t="s">
        <v>197</v>
      </c>
      <c r="H284" s="72"/>
      <c r="I284" s="94">
        <f>SUM(G281:G283)</f>
        <v>11295.960000000001</v>
      </c>
    </row>
    <row r="285" spans="2:9" x14ac:dyDescent="0.2">
      <c r="B285" s="73" t="s">
        <v>198</v>
      </c>
      <c r="C285" s="74"/>
      <c r="D285" s="75"/>
      <c r="E285" s="76"/>
      <c r="F285" s="77"/>
      <c r="G285" s="76"/>
      <c r="H285" s="76"/>
      <c r="I285" s="78"/>
    </row>
    <row r="286" spans="2:9" x14ac:dyDescent="0.2">
      <c r="B286" s="588" t="s">
        <v>188</v>
      </c>
      <c r="C286" s="589"/>
      <c r="D286" s="96" t="s">
        <v>199</v>
      </c>
      <c r="E286" s="110" t="s">
        <v>137</v>
      </c>
      <c r="F286" s="111" t="s">
        <v>200</v>
      </c>
      <c r="G286" s="110" t="s">
        <v>201</v>
      </c>
      <c r="H286" s="112"/>
      <c r="I286" s="100" t="s">
        <v>193</v>
      </c>
    </row>
    <row r="287" spans="2:9" ht="20.25" customHeight="1" x14ac:dyDescent="0.2">
      <c r="B287" s="590" t="s">
        <v>310</v>
      </c>
      <c r="C287" s="591"/>
      <c r="D287" s="79" t="s">
        <v>77</v>
      </c>
      <c r="E287" s="80">
        <v>1</v>
      </c>
      <c r="F287" s="81"/>
      <c r="G287" s="82">
        <f>1014900*1.2</f>
        <v>1217880</v>
      </c>
      <c r="H287" s="83"/>
      <c r="I287" s="90">
        <f t="shared" ref="I287:I295" si="6">(E287*(1+F287/100)) * (G287*(1+H287/100))</f>
        <v>1217880</v>
      </c>
    </row>
    <row r="288" spans="2:9" x14ac:dyDescent="0.2">
      <c r="B288" s="590" t="s">
        <v>311</v>
      </c>
      <c r="C288" s="591"/>
      <c r="D288" s="79" t="s">
        <v>77</v>
      </c>
      <c r="E288" s="80">
        <v>1</v>
      </c>
      <c r="F288" s="136"/>
      <c r="G288" s="82">
        <f>54891*1.3</f>
        <v>71358.3</v>
      </c>
      <c r="H288" s="84"/>
      <c r="I288" s="90">
        <f t="shared" si="6"/>
        <v>71358.3</v>
      </c>
    </row>
    <row r="289" spans="2:9" ht="21.75" customHeight="1" x14ac:dyDescent="0.2">
      <c r="B289" s="590" t="s">
        <v>312</v>
      </c>
      <c r="C289" s="591"/>
      <c r="D289" s="79" t="s">
        <v>77</v>
      </c>
      <c r="E289" s="80">
        <v>1</v>
      </c>
      <c r="F289" s="87"/>
      <c r="G289" s="82">
        <f>64863*1.3</f>
        <v>84321.900000000009</v>
      </c>
      <c r="H289" s="85"/>
      <c r="I289" s="90">
        <f t="shared" si="6"/>
        <v>84321.900000000009</v>
      </c>
    </row>
    <row r="290" spans="2:9" ht="21.75" customHeight="1" x14ac:dyDescent="0.2">
      <c r="B290" s="590" t="s">
        <v>313</v>
      </c>
      <c r="C290" s="591"/>
      <c r="D290" s="79" t="s">
        <v>77</v>
      </c>
      <c r="E290" s="80">
        <v>2</v>
      </c>
      <c r="F290" s="81"/>
      <c r="G290" s="82">
        <f>32892*1.3</f>
        <v>42759.6</v>
      </c>
      <c r="H290" s="85"/>
      <c r="I290" s="90">
        <f t="shared" si="6"/>
        <v>85519.2</v>
      </c>
    </row>
    <row r="291" spans="2:9" x14ac:dyDescent="0.2">
      <c r="B291" s="590" t="s">
        <v>309</v>
      </c>
      <c r="C291" s="591"/>
      <c r="D291" s="79" t="s">
        <v>77</v>
      </c>
      <c r="E291" s="80">
        <v>7</v>
      </c>
      <c r="F291" s="81"/>
      <c r="G291" s="82">
        <f>626*1.5</f>
        <v>939</v>
      </c>
      <c r="H291" s="85"/>
      <c r="I291" s="90">
        <f t="shared" si="6"/>
        <v>6573</v>
      </c>
    </row>
    <row r="292" spans="2:9" x14ac:dyDescent="0.2">
      <c r="B292" s="590" t="s">
        <v>314</v>
      </c>
      <c r="C292" s="591"/>
      <c r="D292" s="79" t="s">
        <v>39</v>
      </c>
      <c r="E292" s="80">
        <v>1.05</v>
      </c>
      <c r="F292" s="87">
        <v>5</v>
      </c>
      <c r="G292" s="82">
        <f>3483*1.3</f>
        <v>4527.9000000000005</v>
      </c>
      <c r="H292" s="85"/>
      <c r="I292" s="90">
        <f t="shared" si="6"/>
        <v>4992.0097500000011</v>
      </c>
    </row>
    <row r="293" spans="2:9" x14ac:dyDescent="0.2">
      <c r="B293" s="590"/>
      <c r="C293" s="591"/>
      <c r="D293" s="86"/>
      <c r="E293" s="80"/>
      <c r="F293" s="87"/>
      <c r="G293" s="82"/>
      <c r="H293" s="85"/>
      <c r="I293" s="90">
        <f t="shared" si="6"/>
        <v>0</v>
      </c>
    </row>
    <row r="294" spans="2:9" x14ac:dyDescent="0.2">
      <c r="B294" s="562"/>
      <c r="C294" s="563"/>
      <c r="D294" s="91"/>
      <c r="E294" s="80"/>
      <c r="F294" s="87"/>
      <c r="G294" s="88"/>
      <c r="H294" s="89"/>
      <c r="I294" s="90">
        <f t="shared" si="6"/>
        <v>0</v>
      </c>
    </row>
    <row r="295" spans="2:9" x14ac:dyDescent="0.2">
      <c r="B295" s="562"/>
      <c r="C295" s="563"/>
      <c r="D295" s="91"/>
      <c r="E295" s="80"/>
      <c r="F295" s="87"/>
      <c r="G295" s="88"/>
      <c r="H295" s="89"/>
      <c r="I295" s="90">
        <f t="shared" si="6"/>
        <v>0</v>
      </c>
    </row>
    <row r="296" spans="2:9" x14ac:dyDescent="0.2">
      <c r="B296" s="92"/>
      <c r="C296" s="76"/>
      <c r="D296" s="75"/>
      <c r="E296" s="76"/>
      <c r="F296" s="585" t="s">
        <v>202</v>
      </c>
      <c r="G296" s="586"/>
      <c r="H296" s="93"/>
      <c r="I296" s="94">
        <f>SUM(I287:I295)</f>
        <v>1470644.4097499999</v>
      </c>
    </row>
    <row r="297" spans="2:9" ht="14.25" x14ac:dyDescent="0.2">
      <c r="B297" s="73" t="s">
        <v>203</v>
      </c>
      <c r="C297" s="74"/>
      <c r="D297" s="75"/>
      <c r="E297" s="76"/>
      <c r="F297" s="77"/>
      <c r="G297" s="76"/>
      <c r="H297" s="76"/>
      <c r="I297" s="95"/>
    </row>
    <row r="298" spans="2:9" x14ac:dyDescent="0.2">
      <c r="B298" s="588" t="s">
        <v>188</v>
      </c>
      <c r="C298" s="589"/>
      <c r="D298" s="96" t="s">
        <v>204</v>
      </c>
      <c r="E298" s="97" t="s">
        <v>205</v>
      </c>
      <c r="F298" s="98" t="s">
        <v>206</v>
      </c>
      <c r="G298" s="97" t="s">
        <v>207</v>
      </c>
      <c r="H298" s="99"/>
      <c r="I298" s="100" t="s">
        <v>193</v>
      </c>
    </row>
    <row r="299" spans="2:9" x14ac:dyDescent="0.2">
      <c r="B299" s="623"/>
      <c r="C299" s="624"/>
      <c r="D299" s="137"/>
      <c r="E299" s="101"/>
      <c r="F299" s="102"/>
      <c r="G299" s="82">
        <f>+D299*F299</f>
        <v>0</v>
      </c>
      <c r="H299" s="83"/>
      <c r="I299" s="103"/>
    </row>
    <row r="300" spans="2:9" x14ac:dyDescent="0.2">
      <c r="B300" s="623"/>
      <c r="C300" s="624"/>
      <c r="D300" s="137"/>
      <c r="E300" s="101"/>
      <c r="F300" s="104"/>
      <c r="G300" s="82">
        <f>+D300*F300</f>
        <v>0</v>
      </c>
      <c r="H300" s="85"/>
      <c r="I300" s="103"/>
    </row>
    <row r="301" spans="2:9" x14ac:dyDescent="0.2">
      <c r="B301" s="105"/>
      <c r="C301" s="106"/>
      <c r="D301" s="75"/>
      <c r="E301" s="106"/>
      <c r="F301" s="107" t="s">
        <v>208</v>
      </c>
      <c r="G301" s="106"/>
      <c r="H301" s="108"/>
      <c r="I301" s="109">
        <f>SUM(G299:G300)</f>
        <v>0</v>
      </c>
    </row>
    <row r="302" spans="2:9" ht="14.25" x14ac:dyDescent="0.2">
      <c r="B302" s="73" t="s">
        <v>209</v>
      </c>
      <c r="C302" s="76"/>
      <c r="D302" s="75"/>
      <c r="E302" s="76"/>
      <c r="F302" s="77"/>
      <c r="G302" s="76"/>
      <c r="H302" s="76"/>
      <c r="I302" s="95"/>
    </row>
    <row r="303" spans="2:9" x14ac:dyDescent="0.2">
      <c r="B303" s="588" t="s">
        <v>188</v>
      </c>
      <c r="C303" s="589"/>
      <c r="D303" s="96" t="s">
        <v>136</v>
      </c>
      <c r="E303" s="110" t="s">
        <v>137</v>
      </c>
      <c r="F303" s="111" t="s">
        <v>201</v>
      </c>
      <c r="G303" s="112" t="s">
        <v>205</v>
      </c>
      <c r="H303" s="112"/>
      <c r="I303" s="100" t="s">
        <v>193</v>
      </c>
    </row>
    <row r="304" spans="2:9" ht="21.75" customHeight="1" x14ac:dyDescent="0.2">
      <c r="B304" s="590" t="s">
        <v>244</v>
      </c>
      <c r="C304" s="591"/>
      <c r="D304" s="91" t="s">
        <v>211</v>
      </c>
      <c r="E304" s="88">
        <v>1</v>
      </c>
      <c r="F304" s="104">
        <f>+(80000+50000*1)*1.671</f>
        <v>217230</v>
      </c>
      <c r="G304" s="113">
        <v>0.8</v>
      </c>
      <c r="H304" s="114"/>
      <c r="I304" s="115">
        <f>SUM(F304*E304)*G304</f>
        <v>173784</v>
      </c>
    </row>
    <row r="305" spans="2:9" x14ac:dyDescent="0.2">
      <c r="B305" s="627"/>
      <c r="C305" s="617"/>
      <c r="D305" s="91"/>
      <c r="E305" s="116"/>
      <c r="F305" s="117"/>
      <c r="G305" s="114"/>
      <c r="H305" s="114"/>
      <c r="I305" s="94">
        <f>SUM(F305*E305)*G305</f>
        <v>0</v>
      </c>
    </row>
    <row r="306" spans="2:9" x14ac:dyDescent="0.2">
      <c r="B306" s="598"/>
      <c r="C306" s="599"/>
      <c r="D306" s="91"/>
      <c r="E306" s="118"/>
      <c r="F306" s="117"/>
      <c r="G306" s="114"/>
      <c r="H306" s="114"/>
      <c r="I306" s="94">
        <f>SUM(F306*E306)*G306</f>
        <v>0</v>
      </c>
    </row>
    <row r="307" spans="2:9" x14ac:dyDescent="0.2">
      <c r="B307" s="92"/>
      <c r="C307" s="76"/>
      <c r="D307" s="75"/>
      <c r="E307" s="76"/>
      <c r="F307" s="605" t="s">
        <v>212</v>
      </c>
      <c r="G307" s="605"/>
      <c r="H307" s="119"/>
      <c r="I307" s="94">
        <f>I304</f>
        <v>173784</v>
      </c>
    </row>
    <row r="308" spans="2:9" ht="13.5" thickBot="1" x14ac:dyDescent="0.25">
      <c r="B308" s="92"/>
      <c r="C308" s="76"/>
      <c r="D308" s="75"/>
      <c r="E308" s="76"/>
      <c r="F308" s="120"/>
      <c r="G308" s="119"/>
      <c r="H308" s="119"/>
      <c r="I308" s="78"/>
    </row>
    <row r="309" spans="2:9" ht="13.5" thickBot="1" x14ac:dyDescent="0.25">
      <c r="B309" s="92"/>
      <c r="C309" s="76"/>
      <c r="D309" s="75"/>
      <c r="E309" s="606" t="s">
        <v>213</v>
      </c>
      <c r="F309" s="606"/>
      <c r="G309" s="606"/>
      <c r="H309" s="121"/>
      <c r="I309" s="122">
        <f>ROUND(SUM(I284+I296+I301+I307),0)</f>
        <v>1655724</v>
      </c>
    </row>
    <row r="310" spans="2:9" ht="15" thickBot="1" x14ac:dyDescent="0.25">
      <c r="B310" s="73" t="s">
        <v>214</v>
      </c>
      <c r="C310" s="76"/>
      <c r="D310" s="123"/>
      <c r="E310" s="124"/>
      <c r="F310" s="77"/>
      <c r="G310" s="76"/>
      <c r="H310" s="76"/>
      <c r="I310" s="78"/>
    </row>
    <row r="311" spans="2:9" x14ac:dyDescent="0.2">
      <c r="B311" s="607" t="s">
        <v>215</v>
      </c>
      <c r="C311" s="608"/>
      <c r="D311" s="613" t="s">
        <v>216</v>
      </c>
      <c r="E311" s="614"/>
      <c r="F311" s="125" t="s">
        <v>195</v>
      </c>
      <c r="G311" s="126" t="s">
        <v>217</v>
      </c>
      <c r="H311" s="127"/>
      <c r="I311" s="615"/>
    </row>
    <row r="312" spans="2:9" x14ac:dyDescent="0.2">
      <c r="B312" s="609"/>
      <c r="C312" s="610"/>
      <c r="D312" s="617" t="s">
        <v>218</v>
      </c>
      <c r="E312" s="618"/>
      <c r="F312" s="128">
        <v>25</v>
      </c>
      <c r="G312" s="116">
        <f>I309*20%</f>
        <v>331144.80000000005</v>
      </c>
      <c r="H312" s="129"/>
      <c r="I312" s="616"/>
    </row>
    <row r="313" spans="2:9" x14ac:dyDescent="0.2">
      <c r="B313" s="609"/>
      <c r="C313" s="610"/>
      <c r="D313" s="617" t="s">
        <v>168</v>
      </c>
      <c r="E313" s="618"/>
      <c r="F313" s="128">
        <v>5</v>
      </c>
      <c r="G313" s="116">
        <f>I309*5%</f>
        <v>82786.200000000012</v>
      </c>
      <c r="H313" s="129"/>
      <c r="I313" s="616"/>
    </row>
    <row r="314" spans="2:9" x14ac:dyDescent="0.2">
      <c r="B314" s="609"/>
      <c r="C314" s="610"/>
      <c r="D314" s="619" t="s">
        <v>219</v>
      </c>
      <c r="E314" s="617"/>
      <c r="F314" s="128">
        <f>SUM(F312:F313)</f>
        <v>30</v>
      </c>
      <c r="G314" s="116">
        <f>SUM(G312:G313)</f>
        <v>413931.00000000006</v>
      </c>
      <c r="H314" s="129"/>
      <c r="I314" s="616"/>
    </row>
    <row r="315" spans="2:9" ht="15" thickBot="1" x14ac:dyDescent="0.25">
      <c r="B315" s="609"/>
      <c r="C315" s="610"/>
      <c r="D315" s="130"/>
      <c r="E315" s="620" t="s">
        <v>220</v>
      </c>
      <c r="F315" s="621"/>
      <c r="G315" s="622"/>
      <c r="H315" s="38"/>
      <c r="I315" s="131">
        <f>SUM(G314:G314)</f>
        <v>413931.00000000006</v>
      </c>
    </row>
    <row r="316" spans="2:9" ht="16.5" thickBot="1" x14ac:dyDescent="0.3">
      <c r="B316" s="611"/>
      <c r="C316" s="612"/>
      <c r="D316" s="628" t="s">
        <v>221</v>
      </c>
      <c r="E316" s="629"/>
      <c r="F316" s="630"/>
      <c r="G316" s="602">
        <f>SUM(I309+I315)</f>
        <v>2069655</v>
      </c>
      <c r="H316" s="603"/>
      <c r="I316" s="604"/>
    </row>
    <row r="318" spans="2:9" ht="18.75" thickBot="1" x14ac:dyDescent="0.3">
      <c r="B318" s="564" t="s">
        <v>180</v>
      </c>
      <c r="C318" s="564"/>
      <c r="D318" s="564"/>
      <c r="E318" s="564"/>
      <c r="F318" s="564"/>
      <c r="G318" s="564"/>
      <c r="H318" s="564"/>
      <c r="I318" s="564"/>
    </row>
    <row r="319" spans="2:9" ht="15.75" thickBot="1" x14ac:dyDescent="0.3">
      <c r="B319" s="59" t="s">
        <v>181</v>
      </c>
      <c r="C319" s="565" t="s">
        <v>393</v>
      </c>
      <c r="D319" s="566"/>
      <c r="E319" s="566"/>
      <c r="F319" s="567"/>
      <c r="G319" s="60" t="s">
        <v>5</v>
      </c>
      <c r="H319" s="61"/>
      <c r="I319" s="62">
        <v>45373</v>
      </c>
    </row>
    <row r="320" spans="2:9" ht="13.5" thickBot="1" x14ac:dyDescent="0.25">
      <c r="B320" s="568" t="s">
        <v>182</v>
      </c>
      <c r="C320" s="569"/>
      <c r="D320" s="570"/>
      <c r="E320" s="568" t="s">
        <v>183</v>
      </c>
      <c r="F320" s="569"/>
      <c r="G320" s="569"/>
      <c r="H320" s="569"/>
      <c r="I320" s="570"/>
    </row>
    <row r="321" spans="2:9" ht="13.5" thickBot="1" x14ac:dyDescent="0.25">
      <c r="B321" s="571"/>
      <c r="C321" s="572"/>
      <c r="D321" s="573"/>
      <c r="E321" s="574" t="s">
        <v>121</v>
      </c>
      <c r="F321" s="575"/>
      <c r="G321" s="575"/>
      <c r="H321" s="575"/>
      <c r="I321" s="576"/>
    </row>
    <row r="322" spans="2:9" ht="13.5" thickBot="1" x14ac:dyDescent="0.25">
      <c r="B322" s="63" t="s">
        <v>275</v>
      </c>
      <c r="C322" s="64" t="s">
        <v>185</v>
      </c>
      <c r="D322" s="65" t="s">
        <v>116</v>
      </c>
      <c r="E322" s="577"/>
      <c r="F322" s="578"/>
      <c r="G322" s="578"/>
      <c r="H322" s="578"/>
      <c r="I322" s="579"/>
    </row>
    <row r="323" spans="2:9" ht="13.5" thickBot="1" x14ac:dyDescent="0.25">
      <c r="B323" s="583" t="s">
        <v>186</v>
      </c>
      <c r="C323" s="584"/>
      <c r="D323" s="66"/>
      <c r="E323" s="580"/>
      <c r="F323" s="581"/>
      <c r="G323" s="581"/>
      <c r="H323" s="581"/>
      <c r="I323" s="582"/>
    </row>
    <row r="324" spans="2:9" x14ac:dyDescent="0.2">
      <c r="B324" s="67" t="s">
        <v>187</v>
      </c>
      <c r="C324" s="68"/>
      <c r="D324" s="592"/>
      <c r="E324" s="592"/>
      <c r="F324" s="592"/>
      <c r="G324" s="592"/>
      <c r="H324" s="592"/>
      <c r="I324" s="593"/>
    </row>
    <row r="325" spans="2:9" x14ac:dyDescent="0.2">
      <c r="B325" s="588" t="s">
        <v>188</v>
      </c>
      <c r="C325" s="589"/>
      <c r="D325" s="96" t="s">
        <v>189</v>
      </c>
      <c r="E325" s="134" t="s">
        <v>190</v>
      </c>
      <c r="F325" s="111" t="s">
        <v>191</v>
      </c>
      <c r="G325" s="110" t="s">
        <v>192</v>
      </c>
      <c r="H325" s="112"/>
      <c r="I325" s="100" t="s">
        <v>193</v>
      </c>
    </row>
    <row r="326" spans="2:9" x14ac:dyDescent="0.2">
      <c r="B326" s="594" t="s">
        <v>194</v>
      </c>
      <c r="C326" s="595"/>
      <c r="D326" s="91" t="s">
        <v>195</v>
      </c>
      <c r="E326" s="135">
        <v>5</v>
      </c>
      <c r="F326" s="135">
        <f>SUM(I352)</f>
        <v>11947.65</v>
      </c>
      <c r="G326" s="116">
        <f>SUM(F326*5%)</f>
        <v>597.38250000000005</v>
      </c>
      <c r="H326" s="69"/>
      <c r="I326" s="596"/>
    </row>
    <row r="327" spans="2:9" x14ac:dyDescent="0.2">
      <c r="B327" s="598" t="s">
        <v>196</v>
      </c>
      <c r="C327" s="599"/>
      <c r="D327" s="91" t="s">
        <v>195</v>
      </c>
      <c r="E327" s="135">
        <v>1.5</v>
      </c>
      <c r="F327" s="135">
        <f>SUM(I352)</f>
        <v>11947.65</v>
      </c>
      <c r="G327" s="116">
        <f>SUM(F327*1.5%)</f>
        <v>179.21474999999998</v>
      </c>
      <c r="H327" s="70"/>
      <c r="I327" s="597"/>
    </row>
    <row r="328" spans="2:9" x14ac:dyDescent="0.2">
      <c r="B328" s="600"/>
      <c r="C328" s="601"/>
      <c r="D328" s="91"/>
      <c r="E328" s="104"/>
      <c r="F328" s="104"/>
      <c r="G328" s="88">
        <f>SUM(E328*F328)</f>
        <v>0</v>
      </c>
      <c r="H328" s="89"/>
      <c r="I328" s="138"/>
    </row>
    <row r="329" spans="2:9" x14ac:dyDescent="0.2">
      <c r="B329" s="587"/>
      <c r="C329" s="585"/>
      <c r="D329" s="585"/>
      <c r="E329" s="585"/>
      <c r="F329" s="71"/>
      <c r="G329" s="72" t="s">
        <v>197</v>
      </c>
      <c r="H329" s="72"/>
      <c r="I329" s="94">
        <f>SUM(G326:H328)</f>
        <v>776.59725000000003</v>
      </c>
    </row>
    <row r="330" spans="2:9" x14ac:dyDescent="0.2">
      <c r="B330" s="73" t="s">
        <v>198</v>
      </c>
      <c r="C330" s="74"/>
      <c r="D330" s="75"/>
      <c r="E330" s="76"/>
      <c r="F330" s="77"/>
      <c r="G330" s="76"/>
      <c r="H330" s="76"/>
      <c r="I330" s="78"/>
    </row>
    <row r="331" spans="2:9" x14ac:dyDescent="0.2">
      <c r="B331" s="588" t="s">
        <v>188</v>
      </c>
      <c r="C331" s="589"/>
      <c r="D331" s="96" t="s">
        <v>199</v>
      </c>
      <c r="E331" s="110" t="s">
        <v>137</v>
      </c>
      <c r="F331" s="111" t="s">
        <v>200</v>
      </c>
      <c r="G331" s="110" t="s">
        <v>201</v>
      </c>
      <c r="H331" s="112"/>
      <c r="I331" s="100" t="s">
        <v>193</v>
      </c>
    </row>
    <row r="332" spans="2:9" x14ac:dyDescent="0.2">
      <c r="B332" s="590" t="s">
        <v>297</v>
      </c>
      <c r="C332" s="591"/>
      <c r="D332" s="79" t="s">
        <v>39</v>
      </c>
      <c r="E332" s="80">
        <v>0.3</v>
      </c>
      <c r="F332" s="81">
        <v>5</v>
      </c>
      <c r="G332" s="82">
        <f>1616*1.3</f>
        <v>2100.8000000000002</v>
      </c>
      <c r="H332" s="83"/>
      <c r="I332" s="90">
        <f t="shared" ref="I332:I340" si="7">(E332*(1+F332/100)) * (G332*(1+H332/100))</f>
        <v>661.75200000000007</v>
      </c>
    </row>
    <row r="333" spans="2:9" x14ac:dyDescent="0.2">
      <c r="B333" s="590" t="s">
        <v>298</v>
      </c>
      <c r="C333" s="591"/>
      <c r="D333" s="79" t="s">
        <v>77</v>
      </c>
      <c r="E333" s="80">
        <v>2</v>
      </c>
      <c r="F333" s="81">
        <v>5</v>
      </c>
      <c r="G333" s="82">
        <f>501*1.2</f>
        <v>601.19999999999993</v>
      </c>
      <c r="H333" s="84"/>
      <c r="I333" s="90">
        <f t="shared" si="7"/>
        <v>1262.52</v>
      </c>
    </row>
    <row r="334" spans="2:9" x14ac:dyDescent="0.2">
      <c r="B334" s="590" t="s">
        <v>287</v>
      </c>
      <c r="C334" s="591"/>
      <c r="D334" s="79" t="s">
        <v>77</v>
      </c>
      <c r="E334" s="80">
        <v>0.01</v>
      </c>
      <c r="F334" s="81">
        <v>5</v>
      </c>
      <c r="G334" s="82">
        <f>114000*1.3</f>
        <v>148200</v>
      </c>
      <c r="H334" s="85"/>
      <c r="I334" s="90">
        <f t="shared" si="7"/>
        <v>1556.1000000000001</v>
      </c>
    </row>
    <row r="335" spans="2:9" x14ac:dyDescent="0.2">
      <c r="B335" s="590" t="s">
        <v>295</v>
      </c>
      <c r="C335" s="591"/>
      <c r="D335" s="79" t="s">
        <v>77</v>
      </c>
      <c r="E335" s="80">
        <v>0.01</v>
      </c>
      <c r="F335" s="81">
        <v>5</v>
      </c>
      <c r="G335" s="82">
        <f>54768*1.2</f>
        <v>65721.599999999991</v>
      </c>
      <c r="H335" s="85"/>
      <c r="I335" s="90">
        <f t="shared" si="7"/>
        <v>690.07679999999993</v>
      </c>
    </row>
    <row r="336" spans="2:9" x14ac:dyDescent="0.2">
      <c r="B336" s="590" t="s">
        <v>299</v>
      </c>
      <c r="C336" s="591"/>
      <c r="D336" s="79" t="s">
        <v>77</v>
      </c>
      <c r="E336" s="80">
        <v>1</v>
      </c>
      <c r="F336" s="81">
        <v>5</v>
      </c>
      <c r="G336" s="82">
        <f>550*1.3</f>
        <v>715</v>
      </c>
      <c r="H336" s="85"/>
      <c r="I336" s="90">
        <f t="shared" si="7"/>
        <v>750.75</v>
      </c>
    </row>
    <row r="337" spans="2:9" x14ac:dyDescent="0.2">
      <c r="B337" s="590" t="s">
        <v>315</v>
      </c>
      <c r="C337" s="591"/>
      <c r="D337" s="79" t="s">
        <v>77</v>
      </c>
      <c r="E337" s="80">
        <v>1</v>
      </c>
      <c r="F337" s="87"/>
      <c r="G337" s="82">
        <v>45000</v>
      </c>
      <c r="H337" s="85"/>
      <c r="I337" s="90">
        <f t="shared" si="7"/>
        <v>45000</v>
      </c>
    </row>
    <row r="338" spans="2:9" x14ac:dyDescent="0.2">
      <c r="B338" s="590"/>
      <c r="C338" s="591"/>
      <c r="D338" s="86"/>
      <c r="E338" s="80"/>
      <c r="F338" s="87"/>
      <c r="G338" s="82"/>
      <c r="H338" s="85"/>
      <c r="I338" s="90">
        <f t="shared" si="7"/>
        <v>0</v>
      </c>
    </row>
    <row r="339" spans="2:9" x14ac:dyDescent="0.2">
      <c r="B339" s="562"/>
      <c r="C339" s="563"/>
      <c r="D339" s="91"/>
      <c r="E339" s="80"/>
      <c r="F339" s="87"/>
      <c r="G339" s="88"/>
      <c r="H339" s="89"/>
      <c r="I339" s="90">
        <f t="shared" si="7"/>
        <v>0</v>
      </c>
    </row>
    <row r="340" spans="2:9" x14ac:dyDescent="0.2">
      <c r="B340" s="562"/>
      <c r="C340" s="563"/>
      <c r="D340" s="91"/>
      <c r="E340" s="80"/>
      <c r="F340" s="87"/>
      <c r="G340" s="88"/>
      <c r="H340" s="89"/>
      <c r="I340" s="90">
        <f t="shared" si="7"/>
        <v>0</v>
      </c>
    </row>
    <row r="341" spans="2:9" x14ac:dyDescent="0.2">
      <c r="B341" s="92"/>
      <c r="C341" s="76"/>
      <c r="D341" s="75"/>
      <c r="E341" s="76"/>
      <c r="F341" s="585" t="s">
        <v>202</v>
      </c>
      <c r="G341" s="586"/>
      <c r="H341" s="93"/>
      <c r="I341" s="94">
        <f>SUM(I332:I340)</f>
        <v>49921.198799999998</v>
      </c>
    </row>
    <row r="342" spans="2:9" ht="14.25" x14ac:dyDescent="0.2">
      <c r="B342" s="73" t="s">
        <v>203</v>
      </c>
      <c r="C342" s="74"/>
      <c r="D342" s="75"/>
      <c r="E342" s="76"/>
      <c r="F342" s="77"/>
      <c r="G342" s="76"/>
      <c r="H342" s="76"/>
      <c r="I342" s="95"/>
    </row>
    <row r="343" spans="2:9" x14ac:dyDescent="0.2">
      <c r="B343" s="588" t="s">
        <v>188</v>
      </c>
      <c r="C343" s="589"/>
      <c r="D343" s="96" t="s">
        <v>204</v>
      </c>
      <c r="E343" s="97" t="s">
        <v>205</v>
      </c>
      <c r="F343" s="98" t="s">
        <v>206</v>
      </c>
      <c r="G343" s="97" t="s">
        <v>207</v>
      </c>
      <c r="H343" s="99"/>
      <c r="I343" s="100" t="s">
        <v>193</v>
      </c>
    </row>
    <row r="344" spans="2:9" x14ac:dyDescent="0.2">
      <c r="B344" s="623"/>
      <c r="C344" s="624"/>
      <c r="D344" s="137"/>
      <c r="E344" s="101"/>
      <c r="F344" s="102"/>
      <c r="G344" s="82">
        <f>+D344*F344</f>
        <v>0</v>
      </c>
      <c r="H344" s="83"/>
      <c r="I344" s="103"/>
    </row>
    <row r="345" spans="2:9" x14ac:dyDescent="0.2">
      <c r="B345" s="623"/>
      <c r="C345" s="624"/>
      <c r="D345" s="137"/>
      <c r="E345" s="101"/>
      <c r="F345" s="104"/>
      <c r="G345" s="82">
        <f>+D345*F345</f>
        <v>0</v>
      </c>
      <c r="H345" s="85"/>
      <c r="I345" s="103"/>
    </row>
    <row r="346" spans="2:9" x14ac:dyDescent="0.2">
      <c r="B346" s="105"/>
      <c r="C346" s="106"/>
      <c r="D346" s="75"/>
      <c r="E346" s="106"/>
      <c r="F346" s="107" t="s">
        <v>208</v>
      </c>
      <c r="G346" s="106"/>
      <c r="H346" s="108"/>
      <c r="I346" s="109">
        <f>SUM(G344:G345)</f>
        <v>0</v>
      </c>
    </row>
    <row r="347" spans="2:9" ht="14.25" x14ac:dyDescent="0.2">
      <c r="B347" s="73" t="s">
        <v>209</v>
      </c>
      <c r="C347" s="76"/>
      <c r="D347" s="75"/>
      <c r="E347" s="76"/>
      <c r="F347" s="77"/>
      <c r="G347" s="76"/>
      <c r="H347" s="76"/>
      <c r="I347" s="95"/>
    </row>
    <row r="348" spans="2:9" x14ac:dyDescent="0.2">
      <c r="B348" s="588" t="s">
        <v>188</v>
      </c>
      <c r="C348" s="589"/>
      <c r="D348" s="96" t="s">
        <v>136</v>
      </c>
      <c r="E348" s="110" t="s">
        <v>137</v>
      </c>
      <c r="F348" s="111" t="s">
        <v>201</v>
      </c>
      <c r="G348" s="112" t="s">
        <v>205</v>
      </c>
      <c r="H348" s="112"/>
      <c r="I348" s="100" t="s">
        <v>193</v>
      </c>
    </row>
    <row r="349" spans="2:9" ht="21" customHeight="1" x14ac:dyDescent="0.2">
      <c r="B349" s="590" t="s">
        <v>244</v>
      </c>
      <c r="C349" s="591"/>
      <c r="D349" s="91" t="s">
        <v>211</v>
      </c>
      <c r="E349" s="88">
        <v>1</v>
      </c>
      <c r="F349" s="104">
        <f>+(80000+50000*1)*1.671</f>
        <v>217230</v>
      </c>
      <c r="G349" s="113">
        <v>5.5E-2</v>
      </c>
      <c r="H349" s="114"/>
      <c r="I349" s="115">
        <f>SUM(F349*E349)*G349</f>
        <v>11947.65</v>
      </c>
    </row>
    <row r="350" spans="2:9" x14ac:dyDescent="0.2">
      <c r="B350" s="627"/>
      <c r="C350" s="617"/>
      <c r="D350" s="91"/>
      <c r="E350" s="116"/>
      <c r="F350" s="117"/>
      <c r="G350" s="114"/>
      <c r="H350" s="114"/>
      <c r="I350" s="94">
        <f>SUM(F350*E350)*G350</f>
        <v>0</v>
      </c>
    </row>
    <row r="351" spans="2:9" x14ac:dyDescent="0.2">
      <c r="B351" s="598"/>
      <c r="C351" s="599"/>
      <c r="D351" s="91"/>
      <c r="E351" s="118"/>
      <c r="F351" s="117"/>
      <c r="G351" s="114"/>
      <c r="H351" s="114"/>
      <c r="I351" s="94">
        <f>SUM(F351*E351)*G351</f>
        <v>0</v>
      </c>
    </row>
    <row r="352" spans="2:9" x14ac:dyDescent="0.2">
      <c r="B352" s="92"/>
      <c r="C352" s="76"/>
      <c r="D352" s="75"/>
      <c r="E352" s="76"/>
      <c r="F352" s="605" t="s">
        <v>212</v>
      </c>
      <c r="G352" s="605"/>
      <c r="H352" s="119"/>
      <c r="I352" s="94">
        <f>I349</f>
        <v>11947.65</v>
      </c>
    </row>
    <row r="353" spans="2:9" ht="13.5" thickBot="1" x14ac:dyDescent="0.25">
      <c r="B353" s="92"/>
      <c r="C353" s="76"/>
      <c r="D353" s="75"/>
      <c r="E353" s="76"/>
      <c r="F353" s="120"/>
      <c r="G353" s="119"/>
      <c r="H353" s="119"/>
      <c r="I353" s="78"/>
    </row>
    <row r="354" spans="2:9" ht="13.5" thickBot="1" x14ac:dyDescent="0.25">
      <c r="B354" s="92"/>
      <c r="C354" s="76"/>
      <c r="D354" s="75"/>
      <c r="E354" s="606" t="s">
        <v>213</v>
      </c>
      <c r="F354" s="606"/>
      <c r="G354" s="606"/>
      <c r="H354" s="121"/>
      <c r="I354" s="122">
        <f>ROUND(SUM(I329+I341+I346+I352),0)</f>
        <v>62645</v>
      </c>
    </row>
    <row r="355" spans="2:9" ht="15" thickBot="1" x14ac:dyDescent="0.25">
      <c r="B355" s="73" t="s">
        <v>214</v>
      </c>
      <c r="C355" s="76"/>
      <c r="D355" s="123"/>
      <c r="E355" s="124"/>
      <c r="F355" s="77"/>
      <c r="G355" s="76"/>
      <c r="H355" s="76"/>
      <c r="I355" s="78"/>
    </row>
    <row r="356" spans="2:9" x14ac:dyDescent="0.2">
      <c r="B356" s="607" t="s">
        <v>215</v>
      </c>
      <c r="C356" s="608"/>
      <c r="D356" s="613" t="s">
        <v>216</v>
      </c>
      <c r="E356" s="614"/>
      <c r="F356" s="125" t="s">
        <v>195</v>
      </c>
      <c r="G356" s="126" t="s">
        <v>217</v>
      </c>
      <c r="H356" s="127"/>
      <c r="I356" s="615"/>
    </row>
    <row r="357" spans="2:9" x14ac:dyDescent="0.2">
      <c r="B357" s="609"/>
      <c r="C357" s="610"/>
      <c r="D357" s="617" t="s">
        <v>218</v>
      </c>
      <c r="E357" s="618"/>
      <c r="F357" s="128">
        <v>25</v>
      </c>
      <c r="G357" s="116">
        <f>I354*20%</f>
        <v>12529</v>
      </c>
      <c r="H357" s="129"/>
      <c r="I357" s="616"/>
    </row>
    <row r="358" spans="2:9" x14ac:dyDescent="0.2">
      <c r="B358" s="609"/>
      <c r="C358" s="610"/>
      <c r="D358" s="617" t="s">
        <v>168</v>
      </c>
      <c r="E358" s="618"/>
      <c r="F358" s="128">
        <v>5</v>
      </c>
      <c r="G358" s="116">
        <f>I354*5%</f>
        <v>3132.25</v>
      </c>
      <c r="H358" s="129"/>
      <c r="I358" s="616"/>
    </row>
    <row r="359" spans="2:9" x14ac:dyDescent="0.2">
      <c r="B359" s="609"/>
      <c r="C359" s="610"/>
      <c r="D359" s="619" t="s">
        <v>219</v>
      </c>
      <c r="E359" s="617"/>
      <c r="F359" s="128">
        <f>SUM(F357:F358)</f>
        <v>30</v>
      </c>
      <c r="G359" s="116">
        <f>SUM(G357:G358)</f>
        <v>15661.25</v>
      </c>
      <c r="H359" s="129"/>
      <c r="I359" s="616"/>
    </row>
    <row r="360" spans="2:9" ht="15" thickBot="1" x14ac:dyDescent="0.25">
      <c r="B360" s="609"/>
      <c r="C360" s="610"/>
      <c r="D360" s="130"/>
      <c r="E360" s="620" t="s">
        <v>220</v>
      </c>
      <c r="F360" s="621"/>
      <c r="G360" s="622"/>
      <c r="H360" s="38"/>
      <c r="I360" s="131">
        <f>SUM(G359:G359)</f>
        <v>15661.25</v>
      </c>
    </row>
    <row r="361" spans="2:9" ht="16.5" thickBot="1" x14ac:dyDescent="0.3">
      <c r="B361" s="611"/>
      <c r="C361" s="612"/>
      <c r="D361" s="628" t="s">
        <v>221</v>
      </c>
      <c r="E361" s="629"/>
      <c r="F361" s="630"/>
      <c r="G361" s="602">
        <f>SUM(I354+I360)</f>
        <v>78306.25</v>
      </c>
      <c r="H361" s="603"/>
      <c r="I361" s="604"/>
    </row>
    <row r="363" spans="2:9" ht="18.75" thickBot="1" x14ac:dyDescent="0.3">
      <c r="B363" s="564" t="s">
        <v>180</v>
      </c>
      <c r="C363" s="564"/>
      <c r="D363" s="564"/>
      <c r="E363" s="564"/>
      <c r="F363" s="564"/>
      <c r="G363" s="564"/>
      <c r="H363" s="564"/>
      <c r="I363" s="564"/>
    </row>
    <row r="364" spans="2:9" ht="15.75" thickBot="1" x14ac:dyDescent="0.3">
      <c r="B364" s="59" t="s">
        <v>181</v>
      </c>
      <c r="C364" s="565" t="s">
        <v>393</v>
      </c>
      <c r="D364" s="566"/>
      <c r="E364" s="566"/>
      <c r="F364" s="567"/>
      <c r="G364" s="60" t="s">
        <v>5</v>
      </c>
      <c r="H364" s="61"/>
      <c r="I364" s="62">
        <v>45373</v>
      </c>
    </row>
    <row r="365" spans="2:9" ht="13.5" thickBot="1" x14ac:dyDescent="0.25">
      <c r="B365" s="568" t="s">
        <v>182</v>
      </c>
      <c r="C365" s="569"/>
      <c r="D365" s="570"/>
      <c r="E365" s="568" t="s">
        <v>183</v>
      </c>
      <c r="F365" s="569"/>
      <c r="G365" s="569"/>
      <c r="H365" s="569"/>
      <c r="I365" s="570"/>
    </row>
    <row r="366" spans="2:9" ht="13.5" thickBot="1" x14ac:dyDescent="0.25">
      <c r="B366" s="571"/>
      <c r="C366" s="572"/>
      <c r="D366" s="573"/>
      <c r="E366" s="574" t="s">
        <v>126</v>
      </c>
      <c r="F366" s="575"/>
      <c r="G366" s="575"/>
      <c r="H366" s="575"/>
      <c r="I366" s="576"/>
    </row>
    <row r="367" spans="2:9" ht="13.5" thickBot="1" x14ac:dyDescent="0.25">
      <c r="B367" s="63" t="s">
        <v>275</v>
      </c>
      <c r="C367" s="64" t="s">
        <v>185</v>
      </c>
      <c r="D367" s="65" t="s">
        <v>122</v>
      </c>
      <c r="E367" s="577"/>
      <c r="F367" s="578"/>
      <c r="G367" s="578"/>
      <c r="H367" s="578"/>
      <c r="I367" s="579"/>
    </row>
    <row r="368" spans="2:9" ht="13.5" thickBot="1" x14ac:dyDescent="0.25">
      <c r="B368" s="583" t="s">
        <v>186</v>
      </c>
      <c r="C368" s="584"/>
      <c r="D368" s="66"/>
      <c r="E368" s="580"/>
      <c r="F368" s="581"/>
      <c r="G368" s="581"/>
      <c r="H368" s="581"/>
      <c r="I368" s="582"/>
    </row>
    <row r="369" spans="2:9" x14ac:dyDescent="0.2">
      <c r="B369" s="67" t="s">
        <v>187</v>
      </c>
      <c r="C369" s="68"/>
      <c r="D369" s="592"/>
      <c r="E369" s="592"/>
      <c r="F369" s="592"/>
      <c r="G369" s="592"/>
      <c r="H369" s="592"/>
      <c r="I369" s="593"/>
    </row>
    <row r="370" spans="2:9" x14ac:dyDescent="0.2">
      <c r="B370" s="588" t="s">
        <v>188</v>
      </c>
      <c r="C370" s="589"/>
      <c r="D370" s="96" t="s">
        <v>189</v>
      </c>
      <c r="E370" s="134" t="s">
        <v>190</v>
      </c>
      <c r="F370" s="111" t="s">
        <v>191</v>
      </c>
      <c r="G370" s="110" t="s">
        <v>192</v>
      </c>
      <c r="H370" s="112"/>
      <c r="I370" s="100" t="s">
        <v>193</v>
      </c>
    </row>
    <row r="371" spans="2:9" x14ac:dyDescent="0.2">
      <c r="B371" s="594" t="s">
        <v>194</v>
      </c>
      <c r="C371" s="595"/>
      <c r="D371" s="91" t="s">
        <v>195</v>
      </c>
      <c r="E371" s="135">
        <v>5</v>
      </c>
      <c r="F371" s="135">
        <f>SUM(I397)</f>
        <v>17378.400000000001</v>
      </c>
      <c r="G371" s="116">
        <f>SUM(F371*5%)</f>
        <v>868.92000000000007</v>
      </c>
      <c r="H371" s="69"/>
      <c r="I371" s="596"/>
    </row>
    <row r="372" spans="2:9" x14ac:dyDescent="0.2">
      <c r="B372" s="598" t="s">
        <v>196</v>
      </c>
      <c r="C372" s="599"/>
      <c r="D372" s="91" t="s">
        <v>195</v>
      </c>
      <c r="E372" s="135">
        <v>1.5</v>
      </c>
      <c r="F372" s="135">
        <f>SUM(I397)</f>
        <v>17378.400000000001</v>
      </c>
      <c r="G372" s="116">
        <f>SUM(F372*1.5%)</f>
        <v>260.67599999999999</v>
      </c>
      <c r="H372" s="70"/>
      <c r="I372" s="597"/>
    </row>
    <row r="373" spans="2:9" x14ac:dyDescent="0.2">
      <c r="B373" s="600"/>
      <c r="C373" s="601"/>
      <c r="D373" s="91"/>
      <c r="E373" s="104"/>
      <c r="F373" s="104"/>
      <c r="G373" s="88">
        <f>SUM(E373*F373)</f>
        <v>0</v>
      </c>
      <c r="H373" s="70"/>
      <c r="I373" s="597"/>
    </row>
    <row r="374" spans="2:9" x14ac:dyDescent="0.2">
      <c r="B374" s="587"/>
      <c r="C374" s="585"/>
      <c r="D374" s="585"/>
      <c r="E374" s="585"/>
      <c r="F374" s="71"/>
      <c r="G374" s="72" t="s">
        <v>197</v>
      </c>
      <c r="H374" s="72"/>
      <c r="I374" s="94">
        <f>SUM(G371:G373)</f>
        <v>1129.596</v>
      </c>
    </row>
    <row r="375" spans="2:9" x14ac:dyDescent="0.2">
      <c r="B375" s="73" t="s">
        <v>198</v>
      </c>
      <c r="C375" s="74"/>
      <c r="D375" s="75"/>
      <c r="E375" s="76"/>
      <c r="F375" s="77"/>
      <c r="G375" s="76"/>
      <c r="H375" s="76"/>
      <c r="I375" s="78"/>
    </row>
    <row r="376" spans="2:9" x14ac:dyDescent="0.2">
      <c r="B376" s="588" t="s">
        <v>188</v>
      </c>
      <c r="C376" s="589"/>
      <c r="D376" s="96" t="s">
        <v>199</v>
      </c>
      <c r="E376" s="110" t="s">
        <v>137</v>
      </c>
      <c r="F376" s="111" t="s">
        <v>200</v>
      </c>
      <c r="G376" s="110" t="s">
        <v>201</v>
      </c>
      <c r="H376" s="112"/>
      <c r="I376" s="100" t="s">
        <v>193</v>
      </c>
    </row>
    <row r="377" spans="2:9" x14ac:dyDescent="0.2">
      <c r="B377" s="590" t="s">
        <v>316</v>
      </c>
      <c r="C377" s="591"/>
      <c r="D377" s="79" t="s">
        <v>77</v>
      </c>
      <c r="E377" s="80">
        <v>0.5</v>
      </c>
      <c r="F377" s="81"/>
      <c r="G377" s="82">
        <f>10452*1.2</f>
        <v>12542.4</v>
      </c>
      <c r="H377" s="83"/>
      <c r="I377" s="90">
        <f t="shared" ref="I377:I385" si="8">(E377*(1+F377/100)) * (G377*(1+H377/100))</f>
        <v>6271.2</v>
      </c>
    </row>
    <row r="378" spans="2:9" x14ac:dyDescent="0.2">
      <c r="B378" s="590" t="s">
        <v>304</v>
      </c>
      <c r="C378" s="591"/>
      <c r="D378" s="79" t="s">
        <v>39</v>
      </c>
      <c r="E378" s="80">
        <v>1</v>
      </c>
      <c r="F378" s="136">
        <v>5</v>
      </c>
      <c r="G378" s="82">
        <f>6816*1.2</f>
        <v>8179.2</v>
      </c>
      <c r="H378" s="84"/>
      <c r="I378" s="90">
        <f t="shared" si="8"/>
        <v>8588.16</v>
      </c>
    </row>
    <row r="379" spans="2:9" x14ac:dyDescent="0.2">
      <c r="B379" s="590" t="s">
        <v>305</v>
      </c>
      <c r="C379" s="591"/>
      <c r="D379" s="79" t="s">
        <v>77</v>
      </c>
      <c r="E379" s="80">
        <v>1</v>
      </c>
      <c r="F379" s="87"/>
      <c r="G379" s="82">
        <f>7800*1.2</f>
        <v>9360</v>
      </c>
      <c r="H379" s="85"/>
      <c r="I379" s="90">
        <f t="shared" si="8"/>
        <v>9360</v>
      </c>
    </row>
    <row r="380" spans="2:9" x14ac:dyDescent="0.2">
      <c r="B380" s="590" t="s">
        <v>287</v>
      </c>
      <c r="C380" s="591"/>
      <c r="D380" s="79" t="s">
        <v>77</v>
      </c>
      <c r="E380" s="80">
        <v>0.04</v>
      </c>
      <c r="F380" s="81">
        <v>5</v>
      </c>
      <c r="G380" s="82">
        <f>114000*1.3</f>
        <v>148200</v>
      </c>
      <c r="H380" s="85"/>
      <c r="I380" s="90">
        <f t="shared" si="8"/>
        <v>6224.4000000000005</v>
      </c>
    </row>
    <row r="381" spans="2:9" x14ac:dyDescent="0.2">
      <c r="B381" s="590" t="s">
        <v>295</v>
      </c>
      <c r="C381" s="591"/>
      <c r="D381" s="79" t="s">
        <v>77</v>
      </c>
      <c r="E381" s="80">
        <v>0.04</v>
      </c>
      <c r="F381" s="81">
        <v>5</v>
      </c>
      <c r="G381" s="82">
        <f>54768*1.2</f>
        <v>65721.599999999991</v>
      </c>
      <c r="H381" s="85"/>
      <c r="I381" s="90">
        <f t="shared" si="8"/>
        <v>2760.3071999999997</v>
      </c>
    </row>
    <row r="382" spans="2:9" x14ac:dyDescent="0.2">
      <c r="B382" s="590" t="s">
        <v>317</v>
      </c>
      <c r="C382" s="591"/>
      <c r="D382" s="79" t="s">
        <v>77</v>
      </c>
      <c r="E382" s="80">
        <v>1</v>
      </c>
      <c r="F382" s="87"/>
      <c r="G382" s="82">
        <f>21900*1.2</f>
        <v>26280</v>
      </c>
      <c r="H382" s="85"/>
      <c r="I382" s="90">
        <f t="shared" si="8"/>
        <v>26280</v>
      </c>
    </row>
    <row r="383" spans="2:9" x14ac:dyDescent="0.2">
      <c r="B383" s="590"/>
      <c r="C383" s="591"/>
      <c r="D383" s="86"/>
      <c r="E383" s="80"/>
      <c r="F383" s="87"/>
      <c r="G383" s="82"/>
      <c r="H383" s="85"/>
      <c r="I383" s="90">
        <f t="shared" si="8"/>
        <v>0</v>
      </c>
    </row>
    <row r="384" spans="2:9" x14ac:dyDescent="0.2">
      <c r="B384" s="562"/>
      <c r="C384" s="563"/>
      <c r="D384" s="91"/>
      <c r="E384" s="80"/>
      <c r="F384" s="87"/>
      <c r="G384" s="88"/>
      <c r="H384" s="89"/>
      <c r="I384" s="90">
        <f t="shared" si="8"/>
        <v>0</v>
      </c>
    </row>
    <row r="385" spans="2:9" x14ac:dyDescent="0.2">
      <c r="B385" s="562"/>
      <c r="C385" s="563"/>
      <c r="D385" s="91"/>
      <c r="E385" s="80"/>
      <c r="F385" s="87"/>
      <c r="G385" s="88"/>
      <c r="H385" s="89"/>
      <c r="I385" s="90">
        <f t="shared" si="8"/>
        <v>0</v>
      </c>
    </row>
    <row r="386" spans="2:9" x14ac:dyDescent="0.2">
      <c r="B386" s="92"/>
      <c r="C386" s="76"/>
      <c r="D386" s="75"/>
      <c r="E386" s="76"/>
      <c r="F386" s="585" t="s">
        <v>202</v>
      </c>
      <c r="G386" s="586"/>
      <c r="H386" s="93"/>
      <c r="I386" s="94">
        <f>SUM(I377:I385)</f>
        <v>59484.067200000005</v>
      </c>
    </row>
    <row r="387" spans="2:9" ht="14.25" x14ac:dyDescent="0.2">
      <c r="B387" s="73" t="s">
        <v>203</v>
      </c>
      <c r="C387" s="74"/>
      <c r="D387" s="75"/>
      <c r="E387" s="76"/>
      <c r="F387" s="77"/>
      <c r="G387" s="76"/>
      <c r="H387" s="76"/>
      <c r="I387" s="95"/>
    </row>
    <row r="388" spans="2:9" x14ac:dyDescent="0.2">
      <c r="B388" s="588" t="s">
        <v>188</v>
      </c>
      <c r="C388" s="589"/>
      <c r="D388" s="96" t="s">
        <v>204</v>
      </c>
      <c r="E388" s="97" t="s">
        <v>205</v>
      </c>
      <c r="F388" s="98" t="s">
        <v>206</v>
      </c>
      <c r="G388" s="97" t="s">
        <v>207</v>
      </c>
      <c r="H388" s="99"/>
      <c r="I388" s="100" t="s">
        <v>193</v>
      </c>
    </row>
    <row r="389" spans="2:9" x14ac:dyDescent="0.2">
      <c r="B389" s="623"/>
      <c r="C389" s="624"/>
      <c r="D389" s="137"/>
      <c r="E389" s="101"/>
      <c r="F389" s="102"/>
      <c r="G389" s="82">
        <f>+D389*F389</f>
        <v>0</v>
      </c>
      <c r="H389" s="83"/>
      <c r="I389" s="103"/>
    </row>
    <row r="390" spans="2:9" x14ac:dyDescent="0.2">
      <c r="B390" s="623"/>
      <c r="C390" s="624"/>
      <c r="D390" s="137"/>
      <c r="E390" s="101"/>
      <c r="F390" s="104"/>
      <c r="G390" s="82">
        <f>+D390*F390</f>
        <v>0</v>
      </c>
      <c r="H390" s="85"/>
      <c r="I390" s="103"/>
    </row>
    <row r="391" spans="2:9" x14ac:dyDescent="0.2">
      <c r="B391" s="105"/>
      <c r="C391" s="106"/>
      <c r="D391" s="75"/>
      <c r="E391" s="106"/>
      <c r="F391" s="107" t="s">
        <v>208</v>
      </c>
      <c r="G391" s="106"/>
      <c r="H391" s="108"/>
      <c r="I391" s="109">
        <f>SUM(G389:G390)</f>
        <v>0</v>
      </c>
    </row>
    <row r="392" spans="2:9" ht="14.25" x14ac:dyDescent="0.2">
      <c r="B392" s="73" t="s">
        <v>209</v>
      </c>
      <c r="C392" s="76"/>
      <c r="D392" s="75"/>
      <c r="E392" s="76"/>
      <c r="F392" s="77"/>
      <c r="G392" s="76"/>
      <c r="H392" s="76"/>
      <c r="I392" s="95"/>
    </row>
    <row r="393" spans="2:9" x14ac:dyDescent="0.2">
      <c r="B393" s="588" t="s">
        <v>188</v>
      </c>
      <c r="C393" s="589"/>
      <c r="D393" s="96" t="s">
        <v>136</v>
      </c>
      <c r="E393" s="110" t="s">
        <v>137</v>
      </c>
      <c r="F393" s="111" t="s">
        <v>201</v>
      </c>
      <c r="G393" s="112" t="s">
        <v>205</v>
      </c>
      <c r="H393" s="112"/>
      <c r="I393" s="100" t="s">
        <v>193</v>
      </c>
    </row>
    <row r="394" spans="2:9" ht="24" customHeight="1" x14ac:dyDescent="0.2">
      <c r="B394" s="590" t="s">
        <v>244</v>
      </c>
      <c r="C394" s="591"/>
      <c r="D394" s="91" t="s">
        <v>211</v>
      </c>
      <c r="E394" s="88">
        <v>1</v>
      </c>
      <c r="F394" s="104">
        <f>+(80000+50000*1)*1.671</f>
        <v>217230</v>
      </c>
      <c r="G394" s="113">
        <v>0.08</v>
      </c>
      <c r="H394" s="114"/>
      <c r="I394" s="115">
        <f>SUM(F394*E394)*G394</f>
        <v>17378.400000000001</v>
      </c>
    </row>
    <row r="395" spans="2:9" x14ac:dyDescent="0.2">
      <c r="B395" s="627"/>
      <c r="C395" s="617"/>
      <c r="D395" s="91"/>
      <c r="E395" s="116"/>
      <c r="F395" s="117"/>
      <c r="G395" s="114"/>
      <c r="H395" s="114"/>
      <c r="I395" s="94">
        <f>SUM(F395*E395)*G395</f>
        <v>0</v>
      </c>
    </row>
    <row r="396" spans="2:9" x14ac:dyDescent="0.2">
      <c r="B396" s="598"/>
      <c r="C396" s="599"/>
      <c r="D396" s="91"/>
      <c r="E396" s="118"/>
      <c r="F396" s="117"/>
      <c r="G396" s="114"/>
      <c r="H396" s="114"/>
      <c r="I396" s="94">
        <f>SUM(F396*E396)*G396</f>
        <v>0</v>
      </c>
    </row>
    <row r="397" spans="2:9" x14ac:dyDescent="0.2">
      <c r="B397" s="92"/>
      <c r="C397" s="76"/>
      <c r="D397" s="75"/>
      <c r="E397" s="76"/>
      <c r="F397" s="605" t="s">
        <v>212</v>
      </c>
      <c r="G397" s="605"/>
      <c r="H397" s="119"/>
      <c r="I397" s="94">
        <f>I394</f>
        <v>17378.400000000001</v>
      </c>
    </row>
    <row r="398" spans="2:9" ht="13.5" thickBot="1" x14ac:dyDescent="0.25">
      <c r="B398" s="92"/>
      <c r="C398" s="76"/>
      <c r="D398" s="75"/>
      <c r="E398" s="76"/>
      <c r="F398" s="120"/>
      <c r="G398" s="119"/>
      <c r="H398" s="119"/>
      <c r="I398" s="78"/>
    </row>
    <row r="399" spans="2:9" ht="13.5" thickBot="1" x14ac:dyDescent="0.25">
      <c r="B399" s="92"/>
      <c r="C399" s="76"/>
      <c r="D399" s="75"/>
      <c r="E399" s="606" t="s">
        <v>213</v>
      </c>
      <c r="F399" s="606"/>
      <c r="G399" s="606"/>
      <c r="H399" s="121"/>
      <c r="I399" s="122">
        <f>ROUND(SUM(I374+I386+I391+I397),0)</f>
        <v>77992</v>
      </c>
    </row>
    <row r="400" spans="2:9" ht="15" thickBot="1" x14ac:dyDescent="0.25">
      <c r="B400" s="73" t="s">
        <v>214</v>
      </c>
      <c r="C400" s="76"/>
      <c r="D400" s="123"/>
      <c r="E400" s="124"/>
      <c r="F400" s="77"/>
      <c r="G400" s="76"/>
      <c r="H400" s="76"/>
      <c r="I400" s="78"/>
    </row>
    <row r="401" spans="2:9" x14ac:dyDescent="0.2">
      <c r="B401" s="607" t="s">
        <v>215</v>
      </c>
      <c r="C401" s="608"/>
      <c r="D401" s="613" t="s">
        <v>216</v>
      </c>
      <c r="E401" s="614"/>
      <c r="F401" s="125" t="s">
        <v>195</v>
      </c>
      <c r="G401" s="126" t="s">
        <v>217</v>
      </c>
      <c r="H401" s="127"/>
      <c r="I401" s="615"/>
    </row>
    <row r="402" spans="2:9" x14ac:dyDescent="0.2">
      <c r="B402" s="609"/>
      <c r="C402" s="610"/>
      <c r="D402" s="617" t="s">
        <v>218</v>
      </c>
      <c r="E402" s="618"/>
      <c r="F402" s="128">
        <v>25</v>
      </c>
      <c r="G402" s="116">
        <f>I399*20%</f>
        <v>15598.400000000001</v>
      </c>
      <c r="H402" s="129"/>
      <c r="I402" s="616"/>
    </row>
    <row r="403" spans="2:9" x14ac:dyDescent="0.2">
      <c r="B403" s="609"/>
      <c r="C403" s="610"/>
      <c r="D403" s="617" t="s">
        <v>168</v>
      </c>
      <c r="E403" s="618"/>
      <c r="F403" s="128">
        <v>5</v>
      </c>
      <c r="G403" s="116">
        <f>I399*5%</f>
        <v>3899.6000000000004</v>
      </c>
      <c r="H403" s="129"/>
      <c r="I403" s="616"/>
    </row>
    <row r="404" spans="2:9" x14ac:dyDescent="0.2">
      <c r="B404" s="609"/>
      <c r="C404" s="610"/>
      <c r="D404" s="619" t="s">
        <v>219</v>
      </c>
      <c r="E404" s="617"/>
      <c r="F404" s="128">
        <f>SUM(F402:F403)</f>
        <v>30</v>
      </c>
      <c r="G404" s="116">
        <f>SUM(G402:G403)</f>
        <v>19498</v>
      </c>
      <c r="H404" s="129"/>
      <c r="I404" s="616"/>
    </row>
    <row r="405" spans="2:9" ht="15" thickBot="1" x14ac:dyDescent="0.25">
      <c r="B405" s="609"/>
      <c r="C405" s="610"/>
      <c r="D405" s="130"/>
      <c r="E405" s="620" t="s">
        <v>220</v>
      </c>
      <c r="F405" s="621"/>
      <c r="G405" s="622"/>
      <c r="H405" s="38"/>
      <c r="I405" s="131">
        <f>SUM(G404:G404)</f>
        <v>19498</v>
      </c>
    </row>
    <row r="406" spans="2:9" ht="16.5" thickBot="1" x14ac:dyDescent="0.3">
      <c r="B406" s="611"/>
      <c r="C406" s="612"/>
      <c r="D406" s="628" t="s">
        <v>221</v>
      </c>
      <c r="E406" s="629"/>
      <c r="F406" s="630"/>
      <c r="G406" s="602">
        <f>SUM(I399+I405)</f>
        <v>97490</v>
      </c>
      <c r="H406" s="603"/>
      <c r="I406" s="604"/>
    </row>
  </sheetData>
  <mergeCells count="388">
    <mergeCell ref="D406:F406"/>
    <mergeCell ref="G406:I406"/>
    <mergeCell ref="B396:C396"/>
    <mergeCell ref="F397:G397"/>
    <mergeCell ref="E399:G399"/>
    <mergeCell ref="B401:C406"/>
    <mergeCell ref="D401:E401"/>
    <mergeCell ref="I401:I404"/>
    <mergeCell ref="D402:E402"/>
    <mergeCell ref="D403:E403"/>
    <mergeCell ref="D404:E404"/>
    <mergeCell ref="E405:G405"/>
    <mergeCell ref="B388:C388"/>
    <mergeCell ref="B389:C389"/>
    <mergeCell ref="B390:C390"/>
    <mergeCell ref="B393:C393"/>
    <mergeCell ref="B394:C394"/>
    <mergeCell ref="B395:C395"/>
    <mergeCell ref="B381:C381"/>
    <mergeCell ref="B382:C382"/>
    <mergeCell ref="B383:C383"/>
    <mergeCell ref="B384:C384"/>
    <mergeCell ref="B385:C385"/>
    <mergeCell ref="F386:G386"/>
    <mergeCell ref="B374:E374"/>
    <mergeCell ref="B376:C376"/>
    <mergeCell ref="B377:C377"/>
    <mergeCell ref="B378:C378"/>
    <mergeCell ref="B379:C379"/>
    <mergeCell ref="B380:C380"/>
    <mergeCell ref="D369:I369"/>
    <mergeCell ref="B370:C370"/>
    <mergeCell ref="B371:C371"/>
    <mergeCell ref="I371:I373"/>
    <mergeCell ref="B372:C372"/>
    <mergeCell ref="B373:C373"/>
    <mergeCell ref="B363:I363"/>
    <mergeCell ref="C364:F364"/>
    <mergeCell ref="B365:D365"/>
    <mergeCell ref="E365:I365"/>
    <mergeCell ref="B366:D366"/>
    <mergeCell ref="E366:I368"/>
    <mergeCell ref="B368:C368"/>
    <mergeCell ref="I356:I359"/>
    <mergeCell ref="D357:E357"/>
    <mergeCell ref="D358:E358"/>
    <mergeCell ref="D359:E359"/>
    <mergeCell ref="E360:G360"/>
    <mergeCell ref="D361:F361"/>
    <mergeCell ref="G361:I361"/>
    <mergeCell ref="B350:C350"/>
    <mergeCell ref="B351:C351"/>
    <mergeCell ref="F352:G352"/>
    <mergeCell ref="E354:G354"/>
    <mergeCell ref="B356:C361"/>
    <mergeCell ref="D356:E356"/>
    <mergeCell ref="F341:G341"/>
    <mergeCell ref="B343:C343"/>
    <mergeCell ref="B344:C344"/>
    <mergeCell ref="B345:C345"/>
    <mergeCell ref="B348:C348"/>
    <mergeCell ref="B349:C349"/>
    <mergeCell ref="B335:C335"/>
    <mergeCell ref="B336:C336"/>
    <mergeCell ref="B337:C337"/>
    <mergeCell ref="B338:C338"/>
    <mergeCell ref="B339:C339"/>
    <mergeCell ref="B340:C340"/>
    <mergeCell ref="B328:C328"/>
    <mergeCell ref="B329:E329"/>
    <mergeCell ref="B331:C331"/>
    <mergeCell ref="B332:C332"/>
    <mergeCell ref="B333:C333"/>
    <mergeCell ref="B334:C334"/>
    <mergeCell ref="B321:D321"/>
    <mergeCell ref="E321:I323"/>
    <mergeCell ref="B323:C323"/>
    <mergeCell ref="D324:I324"/>
    <mergeCell ref="B325:C325"/>
    <mergeCell ref="B326:C326"/>
    <mergeCell ref="I326:I327"/>
    <mergeCell ref="B327:C327"/>
    <mergeCell ref="D316:F316"/>
    <mergeCell ref="G316:I316"/>
    <mergeCell ref="B318:I318"/>
    <mergeCell ref="C319:F319"/>
    <mergeCell ref="B320:D320"/>
    <mergeCell ref="E320:I320"/>
    <mergeCell ref="B306:C306"/>
    <mergeCell ref="F307:G307"/>
    <mergeCell ref="E309:G309"/>
    <mergeCell ref="B311:C316"/>
    <mergeCell ref="D311:E311"/>
    <mergeCell ref="I311:I314"/>
    <mergeCell ref="D312:E312"/>
    <mergeCell ref="D313:E313"/>
    <mergeCell ref="D314:E314"/>
    <mergeCell ref="E315:G315"/>
    <mergeCell ref="B298:C298"/>
    <mergeCell ref="B299:C299"/>
    <mergeCell ref="B300:C300"/>
    <mergeCell ref="B303:C303"/>
    <mergeCell ref="B304:C304"/>
    <mergeCell ref="B305:C305"/>
    <mergeCell ref="B291:C291"/>
    <mergeCell ref="B292:C292"/>
    <mergeCell ref="B293:C293"/>
    <mergeCell ref="B294:C294"/>
    <mergeCell ref="B295:C295"/>
    <mergeCell ref="F296:G296"/>
    <mergeCell ref="B284:E284"/>
    <mergeCell ref="B286:C286"/>
    <mergeCell ref="B287:C287"/>
    <mergeCell ref="B288:C288"/>
    <mergeCell ref="B289:C289"/>
    <mergeCell ref="B290:C290"/>
    <mergeCell ref="B276:D276"/>
    <mergeCell ref="E276:I278"/>
    <mergeCell ref="B278:C278"/>
    <mergeCell ref="D279:I279"/>
    <mergeCell ref="B280:C280"/>
    <mergeCell ref="B281:C281"/>
    <mergeCell ref="I281:I283"/>
    <mergeCell ref="B282:C282"/>
    <mergeCell ref="B283:C283"/>
    <mergeCell ref="B273:I273"/>
    <mergeCell ref="C274:F274"/>
    <mergeCell ref="B275:D275"/>
    <mergeCell ref="E275:I275"/>
    <mergeCell ref="I265:I268"/>
    <mergeCell ref="D266:E266"/>
    <mergeCell ref="D267:E267"/>
    <mergeCell ref="D268:E268"/>
    <mergeCell ref="E269:G269"/>
    <mergeCell ref="D270:F270"/>
    <mergeCell ref="G270:I270"/>
    <mergeCell ref="B259:C259"/>
    <mergeCell ref="B260:C260"/>
    <mergeCell ref="F261:G261"/>
    <mergeCell ref="E263:G263"/>
    <mergeCell ref="B265:C270"/>
    <mergeCell ref="D265:E265"/>
    <mergeCell ref="F250:G250"/>
    <mergeCell ref="B252:C252"/>
    <mergeCell ref="B253:C253"/>
    <mergeCell ref="B254:C254"/>
    <mergeCell ref="B257:C257"/>
    <mergeCell ref="B258:C258"/>
    <mergeCell ref="B244:C244"/>
    <mergeCell ref="B245:C245"/>
    <mergeCell ref="B246:C246"/>
    <mergeCell ref="B247:C247"/>
    <mergeCell ref="B248:C248"/>
    <mergeCell ref="B249:C249"/>
    <mergeCell ref="B237:C237"/>
    <mergeCell ref="B238:E238"/>
    <mergeCell ref="B240:C240"/>
    <mergeCell ref="B241:C241"/>
    <mergeCell ref="B242:C242"/>
    <mergeCell ref="B243:C243"/>
    <mergeCell ref="B229:D229"/>
    <mergeCell ref="E229:I231"/>
    <mergeCell ref="B231:C231"/>
    <mergeCell ref="D232:I232"/>
    <mergeCell ref="B233:C233"/>
    <mergeCell ref="B234:C234"/>
    <mergeCell ref="I234:I236"/>
    <mergeCell ref="B235:C235"/>
    <mergeCell ref="B236:C236"/>
    <mergeCell ref="B226:I226"/>
    <mergeCell ref="C227:F227"/>
    <mergeCell ref="B228:D228"/>
    <mergeCell ref="E228:I228"/>
    <mergeCell ref="D224:F224"/>
    <mergeCell ref="G224:I224"/>
    <mergeCell ref="B214:C214"/>
    <mergeCell ref="F215:G215"/>
    <mergeCell ref="E217:G217"/>
    <mergeCell ref="B219:C224"/>
    <mergeCell ref="D219:E219"/>
    <mergeCell ref="I219:I222"/>
    <mergeCell ref="D220:E220"/>
    <mergeCell ref="D221:E221"/>
    <mergeCell ref="D222:E222"/>
    <mergeCell ref="E223:G223"/>
    <mergeCell ref="B206:C206"/>
    <mergeCell ref="B207:C207"/>
    <mergeCell ref="B208:C208"/>
    <mergeCell ref="B211:C211"/>
    <mergeCell ref="B212:C212"/>
    <mergeCell ref="B213:C213"/>
    <mergeCell ref="B199:C199"/>
    <mergeCell ref="B200:C200"/>
    <mergeCell ref="B201:C201"/>
    <mergeCell ref="B202:C202"/>
    <mergeCell ref="B203:C203"/>
    <mergeCell ref="F204:G204"/>
    <mergeCell ref="B192:E192"/>
    <mergeCell ref="B194:C194"/>
    <mergeCell ref="B195:C195"/>
    <mergeCell ref="B196:C196"/>
    <mergeCell ref="B197:C197"/>
    <mergeCell ref="B198:C198"/>
    <mergeCell ref="B184:D184"/>
    <mergeCell ref="E184:I186"/>
    <mergeCell ref="B186:C186"/>
    <mergeCell ref="D187:I187"/>
    <mergeCell ref="B188:C188"/>
    <mergeCell ref="B189:C189"/>
    <mergeCell ref="I189:I191"/>
    <mergeCell ref="B190:C190"/>
    <mergeCell ref="B191:C191"/>
    <mergeCell ref="B181:I181"/>
    <mergeCell ref="C182:F182"/>
    <mergeCell ref="B183:D183"/>
    <mergeCell ref="E183:I183"/>
    <mergeCell ref="D179:F179"/>
    <mergeCell ref="G179:I179"/>
    <mergeCell ref="B169:C169"/>
    <mergeCell ref="F170:G170"/>
    <mergeCell ref="E172:G172"/>
    <mergeCell ref="B174:C179"/>
    <mergeCell ref="D174:E174"/>
    <mergeCell ref="I174:I177"/>
    <mergeCell ref="D175:E175"/>
    <mergeCell ref="D176:E176"/>
    <mergeCell ref="D177:E177"/>
    <mergeCell ref="E178:G178"/>
    <mergeCell ref="B161:C161"/>
    <mergeCell ref="B162:C162"/>
    <mergeCell ref="B163:C163"/>
    <mergeCell ref="B166:C166"/>
    <mergeCell ref="B167:C167"/>
    <mergeCell ref="B168:C168"/>
    <mergeCell ref="B154:C154"/>
    <mergeCell ref="B155:C155"/>
    <mergeCell ref="B156:C156"/>
    <mergeCell ref="B157:C157"/>
    <mergeCell ref="B158:C158"/>
    <mergeCell ref="F159:G159"/>
    <mergeCell ref="B147:E147"/>
    <mergeCell ref="B149:C149"/>
    <mergeCell ref="B150:C150"/>
    <mergeCell ref="B151:C151"/>
    <mergeCell ref="B152:C152"/>
    <mergeCell ref="B153:C153"/>
    <mergeCell ref="B139:D139"/>
    <mergeCell ref="E139:I141"/>
    <mergeCell ref="B141:C141"/>
    <mergeCell ref="D142:I142"/>
    <mergeCell ref="B143:C143"/>
    <mergeCell ref="B144:C144"/>
    <mergeCell ref="I144:I146"/>
    <mergeCell ref="B145:C145"/>
    <mergeCell ref="B146:C146"/>
    <mergeCell ref="D134:F134"/>
    <mergeCell ref="G134:I134"/>
    <mergeCell ref="B136:I136"/>
    <mergeCell ref="C137:F137"/>
    <mergeCell ref="B138:D138"/>
    <mergeCell ref="E138:I138"/>
    <mergeCell ref="B124:C124"/>
    <mergeCell ref="F125:G125"/>
    <mergeCell ref="E127:G127"/>
    <mergeCell ref="B129:C134"/>
    <mergeCell ref="D129:E129"/>
    <mergeCell ref="I129:I132"/>
    <mergeCell ref="D130:E130"/>
    <mergeCell ref="D131:E131"/>
    <mergeCell ref="D132:E132"/>
    <mergeCell ref="E133:G133"/>
    <mergeCell ref="B116:C116"/>
    <mergeCell ref="B117:C117"/>
    <mergeCell ref="B118:C118"/>
    <mergeCell ref="B121:C121"/>
    <mergeCell ref="B122:C122"/>
    <mergeCell ref="B123:C123"/>
    <mergeCell ref="B109:C109"/>
    <mergeCell ref="B110:C110"/>
    <mergeCell ref="B111:C111"/>
    <mergeCell ref="B112:C112"/>
    <mergeCell ref="B113:C113"/>
    <mergeCell ref="F114:G114"/>
    <mergeCell ref="B102:E102"/>
    <mergeCell ref="B104:C104"/>
    <mergeCell ref="B105:C105"/>
    <mergeCell ref="B106:C106"/>
    <mergeCell ref="B107:C107"/>
    <mergeCell ref="B108:C108"/>
    <mergeCell ref="B94:D94"/>
    <mergeCell ref="E94:I96"/>
    <mergeCell ref="B96:C96"/>
    <mergeCell ref="D97:I97"/>
    <mergeCell ref="B98:C98"/>
    <mergeCell ref="B99:C99"/>
    <mergeCell ref="I99:I101"/>
    <mergeCell ref="B100:C100"/>
    <mergeCell ref="B101:C101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D52:I52"/>
    <mergeCell ref="B53:C53"/>
    <mergeCell ref="B54:C54"/>
    <mergeCell ref="I54:I55"/>
    <mergeCell ref="B55:C55"/>
    <mergeCell ref="B56:C56"/>
    <mergeCell ref="B46:I46"/>
    <mergeCell ref="C47:F47"/>
    <mergeCell ref="B48:D48"/>
    <mergeCell ref="E48:I48"/>
    <mergeCell ref="B49:D49"/>
    <mergeCell ref="E49:I51"/>
    <mergeCell ref="B51:C51"/>
    <mergeCell ref="I39:I42"/>
    <mergeCell ref="D40:E40"/>
    <mergeCell ref="D41:E41"/>
    <mergeCell ref="D42:E42"/>
    <mergeCell ref="E43:G43"/>
    <mergeCell ref="D44:F44"/>
    <mergeCell ref="G44:I44"/>
    <mergeCell ref="B33:C33"/>
    <mergeCell ref="B34:C34"/>
    <mergeCell ref="F35:G35"/>
    <mergeCell ref="E37:G37"/>
    <mergeCell ref="B39:C44"/>
    <mergeCell ref="D39:E39"/>
    <mergeCell ref="F24:G24"/>
    <mergeCell ref="B26:C26"/>
    <mergeCell ref="B27:C27"/>
    <mergeCell ref="B28:C28"/>
    <mergeCell ref="B31:C31"/>
    <mergeCell ref="B32:C32"/>
    <mergeCell ref="B18:C18"/>
    <mergeCell ref="B19:C19"/>
    <mergeCell ref="B20:C20"/>
    <mergeCell ref="B21:C21"/>
    <mergeCell ref="B22:C22"/>
    <mergeCell ref="B23:C23"/>
    <mergeCell ref="B11:C11"/>
    <mergeCell ref="B12:E12"/>
    <mergeCell ref="B14:C14"/>
    <mergeCell ref="B15:C15"/>
    <mergeCell ref="B16:C16"/>
    <mergeCell ref="B17:C17"/>
    <mergeCell ref="B4:D4"/>
    <mergeCell ref="E4:I6"/>
    <mergeCell ref="B6:C6"/>
    <mergeCell ref="D7:I7"/>
    <mergeCell ref="B8:C8"/>
    <mergeCell ref="B9:C9"/>
    <mergeCell ref="I9:I10"/>
    <mergeCell ref="B10:C10"/>
    <mergeCell ref="B1:I1"/>
    <mergeCell ref="C2:F2"/>
    <mergeCell ref="B3:D3"/>
    <mergeCell ref="E3:I3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8" manualBreakCount="8">
    <brk id="45" min="1" max="8" man="1"/>
    <brk id="90" min="1" max="8" man="1"/>
    <brk id="135" min="1" max="8" man="1"/>
    <brk id="180" min="1" max="8" man="1"/>
    <brk id="225" min="1" max="8" man="1"/>
    <brk id="272" min="1" max="8" man="1"/>
    <brk id="317" min="1" max="8" man="1"/>
    <brk id="362" min="1" max="8" man="1"/>
  </row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3333FF"/>
    <pageSetUpPr fitToPage="1"/>
  </sheetPr>
  <dimension ref="B1:I134"/>
  <sheetViews>
    <sheetView view="pageBreakPreview" topLeftCell="A70" zoomScaleNormal="130" zoomScaleSheetLayoutView="100" workbookViewId="0">
      <selection activeCell="E78" sqref="E78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414</v>
      </c>
      <c r="F4" s="575"/>
      <c r="G4" s="575"/>
      <c r="H4" s="575"/>
      <c r="I4" s="576"/>
    </row>
    <row r="5" spans="2:9" ht="13.5" thickBot="1" x14ac:dyDescent="0.25">
      <c r="B5" s="63" t="s">
        <v>275</v>
      </c>
      <c r="C5" s="64" t="s">
        <v>185</v>
      </c>
      <c r="D5" s="65" t="s">
        <v>104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360936</v>
      </c>
      <c r="G9" s="116">
        <f>SUM(F9*5%)</f>
        <v>18046.8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360936</v>
      </c>
      <c r="G10" s="116">
        <f>SUM(F10*1.5%)</f>
        <v>5414.04</v>
      </c>
      <c r="H10" s="70"/>
      <c r="I10" s="597"/>
    </row>
    <row r="11" spans="2:9" x14ac:dyDescent="0.2">
      <c r="B11" s="600" t="s">
        <v>223</v>
      </c>
      <c r="C11" s="601"/>
      <c r="D11" s="91"/>
      <c r="E11" s="104">
        <v>1</v>
      </c>
      <c r="F11" s="104">
        <v>1010</v>
      </c>
      <c r="G11" s="88">
        <f>SUM(E11*F11)</f>
        <v>1010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24470.84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ht="12.75" customHeight="1" x14ac:dyDescent="0.2">
      <c r="B15" s="590" t="s">
        <v>318</v>
      </c>
      <c r="C15" s="591"/>
      <c r="D15" s="79" t="s">
        <v>153</v>
      </c>
      <c r="E15" s="80">
        <v>1</v>
      </c>
      <c r="F15" s="81"/>
      <c r="G15" s="82">
        <f>1820000*1.1</f>
        <v>2002000.0000000002</v>
      </c>
      <c r="H15" s="83"/>
      <c r="I15" s="90">
        <f t="shared" ref="I15:I23" si="0">(E15*(1+F15/100)) * (G15*(1+H15/100))</f>
        <v>2002000.0000000002</v>
      </c>
    </row>
    <row r="16" spans="2:9" x14ac:dyDescent="0.2">
      <c r="B16" s="590" t="s">
        <v>319</v>
      </c>
      <c r="C16" s="591"/>
      <c r="D16" s="79" t="s">
        <v>320</v>
      </c>
      <c r="E16" s="80">
        <v>5</v>
      </c>
      <c r="F16" s="136">
        <v>5</v>
      </c>
      <c r="G16" s="82">
        <v>29641</v>
      </c>
      <c r="H16" s="84"/>
      <c r="I16" s="90">
        <f t="shared" si="0"/>
        <v>155615.25</v>
      </c>
    </row>
    <row r="17" spans="2:9" x14ac:dyDescent="0.2">
      <c r="B17" s="590" t="s">
        <v>321</v>
      </c>
      <c r="C17" s="591"/>
      <c r="D17" s="79" t="s">
        <v>322</v>
      </c>
      <c r="E17" s="80">
        <v>1</v>
      </c>
      <c r="F17" s="87">
        <v>5</v>
      </c>
      <c r="G17" s="82">
        <v>62645</v>
      </c>
      <c r="H17" s="85"/>
      <c r="I17" s="90">
        <f t="shared" si="0"/>
        <v>65777.25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2223392.5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91"/>
      <c r="E27" s="101"/>
      <c r="F27" s="102"/>
      <c r="G27" s="82">
        <f>SUM(E27*F27)</f>
        <v>0</v>
      </c>
      <c r="H27" s="83"/>
      <c r="I27" s="103"/>
    </row>
    <row r="28" spans="2:9" x14ac:dyDescent="0.2">
      <c r="B28" s="625"/>
      <c r="C28" s="626"/>
      <c r="D28" s="91"/>
      <c r="E28" s="101"/>
      <c r="F28" s="104"/>
      <c r="G28" s="88">
        <f>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9.25" customHeight="1" x14ac:dyDescent="0.2">
      <c r="B32" s="590" t="s">
        <v>210</v>
      </c>
      <c r="C32" s="591"/>
      <c r="D32" s="91" t="s">
        <v>211</v>
      </c>
      <c r="E32" s="88">
        <v>1</v>
      </c>
      <c r="F32" s="104">
        <f>+(80000+50000*2)*1.671</f>
        <v>300780</v>
      </c>
      <c r="G32" s="113">
        <v>1.2</v>
      </c>
      <c r="H32" s="114"/>
      <c r="I32" s="115">
        <f>SUM(F32*E32)*G32</f>
        <v>360936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360936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2608799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521759.80000000005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130439.95000000001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652199.75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652199.75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3260998.75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tr">
        <f>+'P. Adecuación'!C64</f>
        <v>SUMINISTRO E INSTALACION DE LETRERO PANEL LUMINOSO EN ACERO INOXIDABLE, INCLUYE DESMONTE E INSTALACION</v>
      </c>
      <c r="F49" s="575"/>
      <c r="G49" s="575"/>
      <c r="H49" s="575"/>
      <c r="I49" s="576"/>
    </row>
    <row r="50" spans="2:9" ht="13.5" thickBot="1" x14ac:dyDescent="0.25">
      <c r="B50" s="63" t="s">
        <v>275</v>
      </c>
      <c r="C50" s="64" t="s">
        <v>185</v>
      </c>
      <c r="D50" s="65" t="s">
        <v>428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4511.7</v>
      </c>
      <c r="G54" s="116">
        <f>SUM(F54*5%)</f>
        <v>225.58500000000001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4511.7</v>
      </c>
      <c r="G55" s="116">
        <f>SUM(F55*1.5%)</f>
        <v>67.6755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293.26049999999998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590" t="s">
        <v>430</v>
      </c>
      <c r="C60" s="591"/>
      <c r="D60" s="79" t="s">
        <v>77</v>
      </c>
      <c r="E60" s="80">
        <v>1</v>
      </c>
      <c r="F60" s="81"/>
      <c r="G60" s="82">
        <v>580000</v>
      </c>
      <c r="H60" s="83"/>
      <c r="I60" s="90">
        <f t="shared" ref="I60:I68" si="1">(E60*(1+F60/100)) * (G60*(1+H60/100))</f>
        <v>580000</v>
      </c>
    </row>
    <row r="61" spans="2:9" x14ac:dyDescent="0.2">
      <c r="B61" s="590"/>
      <c r="C61" s="591"/>
      <c r="D61" s="79"/>
      <c r="E61" s="80"/>
      <c r="F61" s="136"/>
      <c r="G61" s="82"/>
      <c r="H61" s="84"/>
      <c r="I61" s="90">
        <f t="shared" si="1"/>
        <v>0</v>
      </c>
    </row>
    <row r="62" spans="2:9" x14ac:dyDescent="0.2">
      <c r="B62" s="590"/>
      <c r="C62" s="591"/>
      <c r="D62" s="79"/>
      <c r="E62" s="80"/>
      <c r="F62" s="87"/>
      <c r="G62" s="82"/>
      <c r="H62" s="85"/>
      <c r="I62" s="90">
        <f t="shared" si="1"/>
        <v>0</v>
      </c>
    </row>
    <row r="63" spans="2:9" x14ac:dyDescent="0.2">
      <c r="B63" s="590"/>
      <c r="C63" s="591"/>
      <c r="D63" s="79"/>
      <c r="E63" s="80"/>
      <c r="F63" s="87"/>
      <c r="G63" s="82"/>
      <c r="H63" s="85"/>
      <c r="I63" s="90">
        <f t="shared" si="1"/>
        <v>0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580000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 t="s">
        <v>222</v>
      </c>
      <c r="C72" s="624"/>
      <c r="D72" s="91"/>
      <c r="E72" s="101">
        <v>0.06</v>
      </c>
      <c r="F72" s="102">
        <v>150000</v>
      </c>
      <c r="G72" s="82">
        <f>SUM(E72*F72)</f>
        <v>9000</v>
      </c>
      <c r="H72" s="83"/>
      <c r="I72" s="103"/>
    </row>
    <row r="73" spans="2:9" x14ac:dyDescent="0.2">
      <c r="B73" s="625"/>
      <c r="C73" s="626"/>
      <c r="D73" s="91"/>
      <c r="E73" s="101"/>
      <c r="F73" s="104"/>
      <c r="G73" s="88">
        <f>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9000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x14ac:dyDescent="0.2">
      <c r="B77" s="590" t="s">
        <v>210</v>
      </c>
      <c r="C77" s="591"/>
      <c r="D77" s="91" t="s">
        <v>211</v>
      </c>
      <c r="E77" s="88">
        <v>0.3</v>
      </c>
      <c r="F77" s="104">
        <f>+(80000+50000*2)*1.671</f>
        <v>300780</v>
      </c>
      <c r="G77" s="113">
        <v>0.05</v>
      </c>
      <c r="H77" s="114"/>
      <c r="I77" s="115">
        <f>SUM(F77*E77)*G77</f>
        <v>4511.7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4511.7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593805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118761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29690.25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148451.25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148451.25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742256.25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34</v>
      </c>
      <c r="F94" s="575"/>
      <c r="G94" s="575"/>
      <c r="H94" s="575"/>
      <c r="I94" s="576"/>
    </row>
    <row r="95" spans="2:9" ht="13.5" thickBot="1" x14ac:dyDescent="0.25">
      <c r="B95" s="63" t="s">
        <v>184</v>
      </c>
      <c r="C95" s="64" t="s">
        <v>185</v>
      </c>
      <c r="D95" s="65" t="s">
        <v>42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24062.400000000001</v>
      </c>
      <c r="G99" s="116">
        <f>SUM(F99*5%)</f>
        <v>1203.1200000000001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24062.400000000001</v>
      </c>
      <c r="G100" s="116">
        <f>SUM(F100*1.5%)</f>
        <v>360.93600000000004</v>
      </c>
      <c r="H100" s="70"/>
      <c r="I100" s="597"/>
    </row>
    <row r="101" spans="2:9" x14ac:dyDescent="0.2">
      <c r="B101" s="600" t="s">
        <v>223</v>
      </c>
      <c r="C101" s="601"/>
      <c r="D101" s="91" t="s">
        <v>224</v>
      </c>
      <c r="E101" s="104">
        <v>0.5</v>
      </c>
      <c r="F101" s="104">
        <v>1010</v>
      </c>
      <c r="G101" s="88">
        <f>SUM(E101*F101)</f>
        <v>505</v>
      </c>
      <c r="H101" s="70"/>
      <c r="I101" s="597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SUM(G99:G101)</f>
        <v>2069.056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/>
      <c r="C105" s="591"/>
      <c r="D105" s="79"/>
      <c r="E105" s="80"/>
      <c r="F105" s="81"/>
      <c r="G105" s="82"/>
      <c r="H105" s="83"/>
      <c r="I105" s="90">
        <f t="shared" ref="I105:I113" si="2">(E105*(1+F105/100)) * (G105*(1+H105/100))</f>
        <v>0</v>
      </c>
    </row>
    <row r="106" spans="2:9" x14ac:dyDescent="0.2">
      <c r="B106" s="590"/>
      <c r="C106" s="591"/>
      <c r="D106" s="79"/>
      <c r="E106" s="80"/>
      <c r="F106" s="136"/>
      <c r="G106" s="82"/>
      <c r="H106" s="84"/>
      <c r="I106" s="90">
        <f t="shared" si="2"/>
        <v>0</v>
      </c>
    </row>
    <row r="107" spans="2:9" x14ac:dyDescent="0.2">
      <c r="B107" s="590"/>
      <c r="C107" s="591"/>
      <c r="D107" s="79"/>
      <c r="E107" s="80"/>
      <c r="F107" s="87"/>
      <c r="G107" s="82"/>
      <c r="H107" s="85"/>
      <c r="I107" s="90">
        <f t="shared" si="2"/>
        <v>0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0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 t="s">
        <v>222</v>
      </c>
      <c r="C117" s="624"/>
      <c r="D117" s="91"/>
      <c r="E117" s="101">
        <v>1.4999999999999999E-2</v>
      </c>
      <c r="F117" s="102">
        <v>150000</v>
      </c>
      <c r="G117" s="82">
        <f>SUM(E117*F117)</f>
        <v>2250</v>
      </c>
      <c r="H117" s="83"/>
      <c r="I117" s="103"/>
    </row>
    <row r="118" spans="2:9" x14ac:dyDescent="0.2">
      <c r="B118" s="625"/>
      <c r="C118" s="626"/>
      <c r="D118" s="91"/>
      <c r="E118" s="101"/>
      <c r="F118" s="104"/>
      <c r="G118" s="88">
        <f>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2250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x14ac:dyDescent="0.2">
      <c r="B122" s="590" t="s">
        <v>210</v>
      </c>
      <c r="C122" s="591"/>
      <c r="D122" s="91" t="s">
        <v>211</v>
      </c>
      <c r="E122" s="88">
        <v>1</v>
      </c>
      <c r="F122" s="104">
        <f>+(80000+50000*2)*1.671</f>
        <v>300780</v>
      </c>
      <c r="G122" s="113">
        <v>0.08</v>
      </c>
      <c r="H122" s="114"/>
      <c r="I122" s="115">
        <f>SUM(F122*E122)*G122</f>
        <v>24062.400000000001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24062.400000000001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28381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5676.2000000000007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1419.0500000000002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7095.2500000000009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7095.2500000000009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35476.25</v>
      </c>
      <c r="H134" s="603"/>
      <c r="I134" s="604"/>
    </row>
  </sheetData>
  <mergeCells count="129">
    <mergeCell ref="D134:F134"/>
    <mergeCell ref="G134:I134"/>
    <mergeCell ref="B124:C124"/>
    <mergeCell ref="F125:G125"/>
    <mergeCell ref="E127:G127"/>
    <mergeCell ref="B129:C134"/>
    <mergeCell ref="D129:E129"/>
    <mergeCell ref="I129:I132"/>
    <mergeCell ref="D130:E130"/>
    <mergeCell ref="D131:E131"/>
    <mergeCell ref="D132:E132"/>
    <mergeCell ref="E133:G133"/>
    <mergeCell ref="B116:C116"/>
    <mergeCell ref="B117:C117"/>
    <mergeCell ref="B118:C118"/>
    <mergeCell ref="B121:C121"/>
    <mergeCell ref="B122:C122"/>
    <mergeCell ref="B123:C123"/>
    <mergeCell ref="B109:C109"/>
    <mergeCell ref="B110:C110"/>
    <mergeCell ref="B111:C111"/>
    <mergeCell ref="B112:C112"/>
    <mergeCell ref="B113:C113"/>
    <mergeCell ref="F114:G114"/>
    <mergeCell ref="B102:E102"/>
    <mergeCell ref="B104:C104"/>
    <mergeCell ref="B105:C105"/>
    <mergeCell ref="B106:C106"/>
    <mergeCell ref="B107:C107"/>
    <mergeCell ref="B108:C108"/>
    <mergeCell ref="B94:D94"/>
    <mergeCell ref="E94:I96"/>
    <mergeCell ref="B96:C96"/>
    <mergeCell ref="D97:I97"/>
    <mergeCell ref="B98:C98"/>
    <mergeCell ref="B99:C99"/>
    <mergeCell ref="I99:I101"/>
    <mergeCell ref="B100:C100"/>
    <mergeCell ref="B101:C101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2" manualBreakCount="2">
    <brk id="45" min="1" max="8" man="1"/>
    <brk id="90" min="1" max="8" man="1"/>
  </row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3333FF"/>
    <pageSetUpPr fitToPage="1"/>
  </sheetPr>
  <dimension ref="B1:I134"/>
  <sheetViews>
    <sheetView view="pageBreakPreview" topLeftCell="A88" zoomScale="40" zoomScaleNormal="130" zoomScaleSheetLayoutView="40" workbookViewId="0">
      <selection activeCell="D10" sqref="D10"/>
    </sheetView>
  </sheetViews>
  <sheetFormatPr baseColWidth="10" defaultColWidth="11" defaultRowHeight="12.75" x14ac:dyDescent="0.2"/>
  <cols>
    <col min="1" max="1" width="1.25" style="1" customWidth="1"/>
    <col min="2" max="2" width="15" style="1" customWidth="1"/>
    <col min="3" max="3" width="11.125" style="1" customWidth="1"/>
    <col min="4" max="4" width="9.125" style="1" customWidth="1"/>
    <col min="5" max="6" width="9.75" style="1" customWidth="1"/>
    <col min="7" max="7" width="11" style="1" customWidth="1"/>
    <col min="8" max="8" width="0" style="1" hidden="1" customWidth="1"/>
    <col min="9" max="9" width="12.75" style="1" customWidth="1"/>
    <col min="10" max="10" width="1.25" style="1" customWidth="1"/>
    <col min="11" max="16384" width="11" style="1"/>
  </cols>
  <sheetData>
    <row r="1" spans="2:9" ht="18.75" thickBot="1" x14ac:dyDescent="0.3">
      <c r="B1" s="564" t="s">
        <v>180</v>
      </c>
      <c r="C1" s="564"/>
      <c r="D1" s="564"/>
      <c r="E1" s="564"/>
      <c r="F1" s="564"/>
      <c r="G1" s="564"/>
      <c r="H1" s="564"/>
      <c r="I1" s="564"/>
    </row>
    <row r="2" spans="2:9" ht="15.75" thickBot="1" x14ac:dyDescent="0.3">
      <c r="B2" s="59" t="s">
        <v>181</v>
      </c>
      <c r="C2" s="565" t="s">
        <v>393</v>
      </c>
      <c r="D2" s="566"/>
      <c r="E2" s="566"/>
      <c r="F2" s="567"/>
      <c r="G2" s="60" t="s">
        <v>5</v>
      </c>
      <c r="H2" s="61"/>
      <c r="I2" s="62">
        <v>45373</v>
      </c>
    </row>
    <row r="3" spans="2:9" ht="13.5" thickBot="1" x14ac:dyDescent="0.25">
      <c r="B3" s="568" t="s">
        <v>182</v>
      </c>
      <c r="C3" s="569"/>
      <c r="D3" s="570"/>
      <c r="E3" s="568" t="s">
        <v>183</v>
      </c>
      <c r="F3" s="569"/>
      <c r="G3" s="569"/>
      <c r="H3" s="569"/>
      <c r="I3" s="570"/>
    </row>
    <row r="4" spans="2:9" ht="13.5" thickBot="1" x14ac:dyDescent="0.25">
      <c r="B4" s="571"/>
      <c r="C4" s="572"/>
      <c r="D4" s="573"/>
      <c r="E4" s="574" t="s">
        <v>109</v>
      </c>
      <c r="F4" s="575"/>
      <c r="G4" s="575"/>
      <c r="H4" s="575"/>
      <c r="I4" s="576"/>
    </row>
    <row r="5" spans="2:9" ht="13.5" thickBot="1" x14ac:dyDescent="0.25">
      <c r="B5" s="63" t="s">
        <v>184</v>
      </c>
      <c r="C5" s="64" t="s">
        <v>185</v>
      </c>
      <c r="D5" s="65" t="s">
        <v>107</v>
      </c>
      <c r="E5" s="577"/>
      <c r="F5" s="578"/>
      <c r="G5" s="578"/>
      <c r="H5" s="578"/>
      <c r="I5" s="579"/>
    </row>
    <row r="6" spans="2:9" ht="13.5" thickBot="1" x14ac:dyDescent="0.25">
      <c r="B6" s="583" t="s">
        <v>186</v>
      </c>
      <c r="C6" s="584"/>
      <c r="D6" s="66"/>
      <c r="E6" s="580"/>
      <c r="F6" s="581"/>
      <c r="G6" s="581"/>
      <c r="H6" s="581"/>
      <c r="I6" s="582"/>
    </row>
    <row r="7" spans="2:9" x14ac:dyDescent="0.2">
      <c r="B7" s="67" t="s">
        <v>187</v>
      </c>
      <c r="C7" s="68"/>
      <c r="D7" s="592"/>
      <c r="E7" s="592"/>
      <c r="F7" s="592"/>
      <c r="G7" s="592"/>
      <c r="H7" s="592"/>
      <c r="I7" s="593"/>
    </row>
    <row r="8" spans="2:9" x14ac:dyDescent="0.2">
      <c r="B8" s="588" t="s">
        <v>188</v>
      </c>
      <c r="C8" s="589"/>
      <c r="D8" s="96" t="s">
        <v>189</v>
      </c>
      <c r="E8" s="134" t="s">
        <v>190</v>
      </c>
      <c r="F8" s="111" t="s">
        <v>191</v>
      </c>
      <c r="G8" s="110" t="s">
        <v>192</v>
      </c>
      <c r="H8" s="112"/>
      <c r="I8" s="100" t="s">
        <v>193</v>
      </c>
    </row>
    <row r="9" spans="2:9" x14ac:dyDescent="0.2">
      <c r="B9" s="594" t="s">
        <v>194</v>
      </c>
      <c r="C9" s="595"/>
      <c r="D9" s="91" t="s">
        <v>195</v>
      </c>
      <c r="E9" s="135">
        <v>5</v>
      </c>
      <c r="F9" s="135">
        <f>SUM(I35)</f>
        <v>1671</v>
      </c>
      <c r="G9" s="116">
        <f>SUM(F9*5%)</f>
        <v>83.550000000000011</v>
      </c>
      <c r="H9" s="69"/>
      <c r="I9" s="596"/>
    </row>
    <row r="10" spans="2:9" x14ac:dyDescent="0.2">
      <c r="B10" s="598" t="s">
        <v>196</v>
      </c>
      <c r="C10" s="599"/>
      <c r="D10" s="91" t="s">
        <v>195</v>
      </c>
      <c r="E10" s="135">
        <v>1.5</v>
      </c>
      <c r="F10" s="135">
        <f>SUM(I35)</f>
        <v>1671</v>
      </c>
      <c r="G10" s="116">
        <f>SUM(F10*1.5%)</f>
        <v>25.064999999999998</v>
      </c>
      <c r="H10" s="70"/>
      <c r="I10" s="597"/>
    </row>
    <row r="11" spans="2:9" x14ac:dyDescent="0.2">
      <c r="B11" s="600"/>
      <c r="C11" s="601"/>
      <c r="D11" s="91"/>
      <c r="E11" s="104"/>
      <c r="F11" s="104"/>
      <c r="G11" s="88">
        <f>SUM(E11*F11)</f>
        <v>0</v>
      </c>
      <c r="H11" s="70"/>
      <c r="I11" s="597"/>
    </row>
    <row r="12" spans="2:9" x14ac:dyDescent="0.2">
      <c r="B12" s="587"/>
      <c r="C12" s="585"/>
      <c r="D12" s="585"/>
      <c r="E12" s="585"/>
      <c r="F12" s="71"/>
      <c r="G12" s="72" t="s">
        <v>197</v>
      </c>
      <c r="H12" s="72"/>
      <c r="I12" s="94">
        <f>SUM(G9:G11)</f>
        <v>108.61500000000001</v>
      </c>
    </row>
    <row r="13" spans="2:9" x14ac:dyDescent="0.2">
      <c r="B13" s="73" t="s">
        <v>198</v>
      </c>
      <c r="C13" s="74"/>
      <c r="D13" s="75"/>
      <c r="E13" s="76"/>
      <c r="F13" s="77"/>
      <c r="G13" s="76"/>
      <c r="H13" s="76"/>
      <c r="I13" s="78"/>
    </row>
    <row r="14" spans="2:9" x14ac:dyDescent="0.2">
      <c r="B14" s="588" t="s">
        <v>188</v>
      </c>
      <c r="C14" s="589"/>
      <c r="D14" s="96" t="s">
        <v>199</v>
      </c>
      <c r="E14" s="110" t="s">
        <v>137</v>
      </c>
      <c r="F14" s="111" t="s">
        <v>200</v>
      </c>
      <c r="G14" s="110" t="s">
        <v>201</v>
      </c>
      <c r="H14" s="112"/>
      <c r="I14" s="100" t="s">
        <v>193</v>
      </c>
    </row>
    <row r="15" spans="2:9" ht="12.75" customHeight="1" x14ac:dyDescent="0.2">
      <c r="B15" s="590" t="s">
        <v>323</v>
      </c>
      <c r="C15" s="591"/>
      <c r="D15" s="79" t="s">
        <v>153</v>
      </c>
      <c r="E15" s="80">
        <v>1</v>
      </c>
      <c r="F15" s="81">
        <v>2</v>
      </c>
      <c r="G15" s="82">
        <v>1500</v>
      </c>
      <c r="H15" s="83"/>
      <c r="I15" s="90">
        <f t="shared" ref="I15:I23" si="0">(E15*(1+F15/100)) * (G15*(1+H15/100))</f>
        <v>1530</v>
      </c>
    </row>
    <row r="16" spans="2:9" x14ac:dyDescent="0.2">
      <c r="B16" s="590"/>
      <c r="C16" s="591"/>
      <c r="D16" s="79"/>
      <c r="E16" s="80"/>
      <c r="F16" s="136"/>
      <c r="G16" s="82"/>
      <c r="H16" s="84"/>
      <c r="I16" s="90">
        <f t="shared" si="0"/>
        <v>0</v>
      </c>
    </row>
    <row r="17" spans="2:9" x14ac:dyDescent="0.2">
      <c r="B17" s="590"/>
      <c r="C17" s="591"/>
      <c r="D17" s="79"/>
      <c r="E17" s="80"/>
      <c r="F17" s="87"/>
      <c r="G17" s="82"/>
      <c r="H17" s="85"/>
      <c r="I17" s="90">
        <f t="shared" si="0"/>
        <v>0</v>
      </c>
    </row>
    <row r="18" spans="2:9" x14ac:dyDescent="0.2">
      <c r="B18" s="590"/>
      <c r="C18" s="591"/>
      <c r="D18" s="79"/>
      <c r="E18" s="80"/>
      <c r="F18" s="87"/>
      <c r="G18" s="82"/>
      <c r="H18" s="85"/>
      <c r="I18" s="90">
        <f t="shared" si="0"/>
        <v>0</v>
      </c>
    </row>
    <row r="19" spans="2:9" x14ac:dyDescent="0.2">
      <c r="B19" s="590"/>
      <c r="C19" s="591"/>
      <c r="D19" s="79"/>
      <c r="E19" s="80"/>
      <c r="F19" s="87"/>
      <c r="G19" s="82"/>
      <c r="H19" s="85"/>
      <c r="I19" s="90">
        <f t="shared" si="0"/>
        <v>0</v>
      </c>
    </row>
    <row r="20" spans="2:9" x14ac:dyDescent="0.2">
      <c r="B20" s="590"/>
      <c r="C20" s="591"/>
      <c r="D20" s="79"/>
      <c r="E20" s="80"/>
      <c r="F20" s="87"/>
      <c r="G20" s="82"/>
      <c r="H20" s="85"/>
      <c r="I20" s="90">
        <f t="shared" si="0"/>
        <v>0</v>
      </c>
    </row>
    <row r="21" spans="2:9" x14ac:dyDescent="0.2">
      <c r="B21" s="590"/>
      <c r="C21" s="591"/>
      <c r="D21" s="86"/>
      <c r="E21" s="80"/>
      <c r="F21" s="87"/>
      <c r="G21" s="82"/>
      <c r="H21" s="85"/>
      <c r="I21" s="90">
        <f t="shared" si="0"/>
        <v>0</v>
      </c>
    </row>
    <row r="22" spans="2:9" x14ac:dyDescent="0.2">
      <c r="B22" s="562"/>
      <c r="C22" s="563"/>
      <c r="D22" s="91"/>
      <c r="E22" s="80"/>
      <c r="F22" s="87"/>
      <c r="G22" s="88"/>
      <c r="H22" s="89"/>
      <c r="I22" s="90">
        <f t="shared" si="0"/>
        <v>0</v>
      </c>
    </row>
    <row r="23" spans="2:9" x14ac:dyDescent="0.2">
      <c r="B23" s="562"/>
      <c r="C23" s="563"/>
      <c r="D23" s="91"/>
      <c r="E23" s="80"/>
      <c r="F23" s="87"/>
      <c r="G23" s="88"/>
      <c r="H23" s="89"/>
      <c r="I23" s="90">
        <f t="shared" si="0"/>
        <v>0</v>
      </c>
    </row>
    <row r="24" spans="2:9" x14ac:dyDescent="0.2">
      <c r="B24" s="92"/>
      <c r="C24" s="76"/>
      <c r="D24" s="75"/>
      <c r="E24" s="76"/>
      <c r="F24" s="585" t="s">
        <v>202</v>
      </c>
      <c r="G24" s="586"/>
      <c r="H24" s="93"/>
      <c r="I24" s="94">
        <f>SUM(I15:I23)</f>
        <v>1530</v>
      </c>
    </row>
    <row r="25" spans="2:9" ht="14.25" x14ac:dyDescent="0.2">
      <c r="B25" s="73" t="s">
        <v>203</v>
      </c>
      <c r="C25" s="74"/>
      <c r="D25" s="75"/>
      <c r="E25" s="76"/>
      <c r="F25" s="77"/>
      <c r="G25" s="76"/>
      <c r="H25" s="76"/>
      <c r="I25" s="95"/>
    </row>
    <row r="26" spans="2:9" x14ac:dyDescent="0.2">
      <c r="B26" s="588" t="s">
        <v>188</v>
      </c>
      <c r="C26" s="589"/>
      <c r="D26" s="96" t="s">
        <v>204</v>
      </c>
      <c r="E26" s="97" t="s">
        <v>205</v>
      </c>
      <c r="F26" s="98" t="s">
        <v>206</v>
      </c>
      <c r="G26" s="97" t="s">
        <v>207</v>
      </c>
      <c r="H26" s="99"/>
      <c r="I26" s="100" t="s">
        <v>193</v>
      </c>
    </row>
    <row r="27" spans="2:9" x14ac:dyDescent="0.2">
      <c r="B27" s="623"/>
      <c r="C27" s="624"/>
      <c r="D27" s="91"/>
      <c r="E27" s="101"/>
      <c r="F27" s="102"/>
      <c r="G27" s="82">
        <f>SUM(E27*F27)</f>
        <v>0</v>
      </c>
      <c r="H27" s="83"/>
      <c r="I27" s="103"/>
    </row>
    <row r="28" spans="2:9" x14ac:dyDescent="0.2">
      <c r="B28" s="625"/>
      <c r="C28" s="626"/>
      <c r="D28" s="91"/>
      <c r="E28" s="101"/>
      <c r="F28" s="104"/>
      <c r="G28" s="88">
        <f>F28</f>
        <v>0</v>
      </c>
      <c r="H28" s="85"/>
      <c r="I28" s="103"/>
    </row>
    <row r="29" spans="2:9" x14ac:dyDescent="0.2">
      <c r="B29" s="105"/>
      <c r="C29" s="106"/>
      <c r="D29" s="75"/>
      <c r="E29" s="106"/>
      <c r="F29" s="107" t="s">
        <v>208</v>
      </c>
      <c r="G29" s="106"/>
      <c r="H29" s="108"/>
      <c r="I29" s="109">
        <f>SUM(G27:G28)</f>
        <v>0</v>
      </c>
    </row>
    <row r="30" spans="2:9" ht="14.25" x14ac:dyDescent="0.2">
      <c r="B30" s="73" t="s">
        <v>209</v>
      </c>
      <c r="C30" s="76"/>
      <c r="D30" s="75"/>
      <c r="E30" s="76"/>
      <c r="F30" s="77"/>
      <c r="G30" s="76"/>
      <c r="H30" s="76"/>
      <c r="I30" s="95"/>
    </row>
    <row r="31" spans="2:9" x14ac:dyDescent="0.2">
      <c r="B31" s="588" t="s">
        <v>188</v>
      </c>
      <c r="C31" s="589"/>
      <c r="D31" s="96" t="s">
        <v>136</v>
      </c>
      <c r="E31" s="110" t="s">
        <v>137</v>
      </c>
      <c r="F31" s="111" t="s">
        <v>201</v>
      </c>
      <c r="G31" s="112" t="s">
        <v>205</v>
      </c>
      <c r="H31" s="112"/>
      <c r="I31" s="100" t="s">
        <v>193</v>
      </c>
    </row>
    <row r="32" spans="2:9" ht="27.75" customHeight="1" x14ac:dyDescent="0.2">
      <c r="B32" s="590" t="s">
        <v>324</v>
      </c>
      <c r="C32" s="591"/>
      <c r="D32" s="91" t="s">
        <v>211</v>
      </c>
      <c r="E32" s="88">
        <v>1</v>
      </c>
      <c r="F32" s="104">
        <f>+(50000*2)*1.671</f>
        <v>167100</v>
      </c>
      <c r="G32" s="113">
        <v>0.01</v>
      </c>
      <c r="H32" s="114"/>
      <c r="I32" s="115">
        <f>SUM(F32*E32)*G32</f>
        <v>1671</v>
      </c>
    </row>
    <row r="33" spans="2:9" x14ac:dyDescent="0.2">
      <c r="B33" s="627"/>
      <c r="C33" s="617"/>
      <c r="D33" s="91"/>
      <c r="E33" s="116"/>
      <c r="F33" s="117"/>
      <c r="G33" s="114"/>
      <c r="H33" s="114"/>
      <c r="I33" s="94">
        <f>SUM(F33*E33)*G33</f>
        <v>0</v>
      </c>
    </row>
    <row r="34" spans="2:9" x14ac:dyDescent="0.2">
      <c r="B34" s="598"/>
      <c r="C34" s="599"/>
      <c r="D34" s="91"/>
      <c r="E34" s="118"/>
      <c r="F34" s="117"/>
      <c r="G34" s="114"/>
      <c r="H34" s="114"/>
      <c r="I34" s="94">
        <f>SUM(F34*E34)*G34</f>
        <v>0</v>
      </c>
    </row>
    <row r="35" spans="2:9" x14ac:dyDescent="0.2">
      <c r="B35" s="92"/>
      <c r="C35" s="76"/>
      <c r="D35" s="75"/>
      <c r="E35" s="76"/>
      <c r="F35" s="605" t="s">
        <v>212</v>
      </c>
      <c r="G35" s="605"/>
      <c r="H35" s="119"/>
      <c r="I35" s="94">
        <f>I32</f>
        <v>1671</v>
      </c>
    </row>
    <row r="36" spans="2:9" ht="13.5" thickBot="1" x14ac:dyDescent="0.25">
      <c r="B36" s="92"/>
      <c r="C36" s="76"/>
      <c r="D36" s="75"/>
      <c r="E36" s="76"/>
      <c r="F36" s="120"/>
      <c r="G36" s="119"/>
      <c r="H36" s="119"/>
      <c r="I36" s="78"/>
    </row>
    <row r="37" spans="2:9" ht="13.5" thickBot="1" x14ac:dyDescent="0.25">
      <c r="B37" s="92"/>
      <c r="C37" s="76"/>
      <c r="D37" s="75"/>
      <c r="E37" s="606" t="s">
        <v>213</v>
      </c>
      <c r="F37" s="606"/>
      <c r="G37" s="606"/>
      <c r="H37" s="121"/>
      <c r="I37" s="122">
        <f>ROUND(SUM(I12+I24+I29+I35),0)</f>
        <v>3310</v>
      </c>
    </row>
    <row r="38" spans="2:9" ht="15" thickBot="1" x14ac:dyDescent="0.25">
      <c r="B38" s="73" t="s">
        <v>214</v>
      </c>
      <c r="C38" s="76"/>
      <c r="D38" s="123"/>
      <c r="E38" s="124"/>
      <c r="F38" s="77"/>
      <c r="G38" s="76"/>
      <c r="H38" s="76"/>
      <c r="I38" s="78"/>
    </row>
    <row r="39" spans="2:9" x14ac:dyDescent="0.2">
      <c r="B39" s="607" t="s">
        <v>215</v>
      </c>
      <c r="C39" s="608"/>
      <c r="D39" s="613" t="s">
        <v>216</v>
      </c>
      <c r="E39" s="614"/>
      <c r="F39" s="125" t="s">
        <v>195</v>
      </c>
      <c r="G39" s="126" t="s">
        <v>217</v>
      </c>
      <c r="H39" s="127"/>
      <c r="I39" s="615"/>
    </row>
    <row r="40" spans="2:9" x14ac:dyDescent="0.2">
      <c r="B40" s="609"/>
      <c r="C40" s="610"/>
      <c r="D40" s="617" t="s">
        <v>218</v>
      </c>
      <c r="E40" s="618"/>
      <c r="F40" s="128">
        <v>25</v>
      </c>
      <c r="G40" s="116">
        <f>I37*20%</f>
        <v>662</v>
      </c>
      <c r="H40" s="129"/>
      <c r="I40" s="616"/>
    </row>
    <row r="41" spans="2:9" x14ac:dyDescent="0.2">
      <c r="B41" s="609"/>
      <c r="C41" s="610"/>
      <c r="D41" s="617" t="s">
        <v>168</v>
      </c>
      <c r="E41" s="618"/>
      <c r="F41" s="128">
        <v>5</v>
      </c>
      <c r="G41" s="116">
        <f>I37*5%</f>
        <v>165.5</v>
      </c>
      <c r="H41" s="129"/>
      <c r="I41" s="616"/>
    </row>
    <row r="42" spans="2:9" x14ac:dyDescent="0.2">
      <c r="B42" s="609"/>
      <c r="C42" s="610"/>
      <c r="D42" s="619" t="s">
        <v>219</v>
      </c>
      <c r="E42" s="617"/>
      <c r="F42" s="128">
        <f>SUM(F40:F41)</f>
        <v>30</v>
      </c>
      <c r="G42" s="116">
        <f>SUM(G40:G41)</f>
        <v>827.5</v>
      </c>
      <c r="H42" s="129"/>
      <c r="I42" s="616"/>
    </row>
    <row r="43" spans="2:9" ht="15" thickBot="1" x14ac:dyDescent="0.25">
      <c r="B43" s="609"/>
      <c r="C43" s="610"/>
      <c r="D43" s="130"/>
      <c r="E43" s="620" t="s">
        <v>220</v>
      </c>
      <c r="F43" s="621"/>
      <c r="G43" s="622"/>
      <c r="H43" s="38"/>
      <c r="I43" s="131">
        <f>SUM(G42:G42)</f>
        <v>827.5</v>
      </c>
    </row>
    <row r="44" spans="2:9" ht="16.5" thickBot="1" x14ac:dyDescent="0.3">
      <c r="B44" s="611"/>
      <c r="C44" s="612"/>
      <c r="D44" s="628" t="s">
        <v>221</v>
      </c>
      <c r="E44" s="629"/>
      <c r="F44" s="630"/>
      <c r="G44" s="602">
        <f>SUM(I37+I43)</f>
        <v>4137.5</v>
      </c>
      <c r="H44" s="603"/>
      <c r="I44" s="604"/>
    </row>
    <row r="45" spans="2:9" x14ac:dyDescent="0.2">
      <c r="D45" s="132"/>
      <c r="F45" s="133"/>
    </row>
    <row r="46" spans="2:9" ht="18.75" thickBot="1" x14ac:dyDescent="0.3">
      <c r="B46" s="564" t="s">
        <v>180</v>
      </c>
      <c r="C46" s="564"/>
      <c r="D46" s="564"/>
      <c r="E46" s="564"/>
      <c r="F46" s="564"/>
      <c r="G46" s="564"/>
      <c r="H46" s="564"/>
      <c r="I46" s="564"/>
    </row>
    <row r="47" spans="2:9" ht="15.75" thickBot="1" x14ac:dyDescent="0.3">
      <c r="B47" s="59" t="s">
        <v>181</v>
      </c>
      <c r="C47" s="565" t="s">
        <v>393</v>
      </c>
      <c r="D47" s="566"/>
      <c r="E47" s="566"/>
      <c r="F47" s="567"/>
      <c r="G47" s="60" t="s">
        <v>5</v>
      </c>
      <c r="H47" s="61"/>
      <c r="I47" s="62">
        <v>45373</v>
      </c>
    </row>
    <row r="48" spans="2:9" ht="13.5" thickBot="1" x14ac:dyDescent="0.25">
      <c r="B48" s="568" t="s">
        <v>182</v>
      </c>
      <c r="C48" s="569"/>
      <c r="D48" s="570"/>
      <c r="E48" s="568" t="s">
        <v>183</v>
      </c>
      <c r="F48" s="569"/>
      <c r="G48" s="569"/>
      <c r="H48" s="569"/>
      <c r="I48" s="570"/>
    </row>
    <row r="49" spans="2:9" ht="13.5" thickBot="1" x14ac:dyDescent="0.25">
      <c r="B49" s="571"/>
      <c r="C49" s="572"/>
      <c r="D49" s="573"/>
      <c r="E49" s="574" t="s">
        <v>36</v>
      </c>
      <c r="F49" s="575"/>
      <c r="G49" s="575"/>
      <c r="H49" s="575"/>
      <c r="I49" s="576"/>
    </row>
    <row r="50" spans="2:9" ht="13.5" thickBot="1" x14ac:dyDescent="0.25">
      <c r="B50" s="63" t="s">
        <v>184</v>
      </c>
      <c r="C50" s="64" t="s">
        <v>185</v>
      </c>
      <c r="D50" s="65" t="s">
        <v>43</v>
      </c>
      <c r="E50" s="577"/>
      <c r="F50" s="578"/>
      <c r="G50" s="578"/>
      <c r="H50" s="578"/>
      <c r="I50" s="579"/>
    </row>
    <row r="51" spans="2:9" ht="13.5" thickBot="1" x14ac:dyDescent="0.25">
      <c r="B51" s="583" t="s">
        <v>186</v>
      </c>
      <c r="C51" s="584"/>
      <c r="D51" s="66"/>
      <c r="E51" s="580"/>
      <c r="F51" s="581"/>
      <c r="G51" s="581"/>
      <c r="H51" s="581"/>
      <c r="I51" s="582"/>
    </row>
    <row r="52" spans="2:9" x14ac:dyDescent="0.2">
      <c r="B52" s="67" t="s">
        <v>187</v>
      </c>
      <c r="C52" s="68"/>
      <c r="D52" s="592"/>
      <c r="E52" s="592"/>
      <c r="F52" s="592"/>
      <c r="G52" s="592"/>
      <c r="H52" s="592"/>
      <c r="I52" s="593"/>
    </row>
    <row r="53" spans="2:9" x14ac:dyDescent="0.2">
      <c r="B53" s="588" t="s">
        <v>188</v>
      </c>
      <c r="C53" s="589"/>
      <c r="D53" s="96" t="s">
        <v>189</v>
      </c>
      <c r="E53" s="134" t="s">
        <v>190</v>
      </c>
      <c r="F53" s="111" t="s">
        <v>191</v>
      </c>
      <c r="G53" s="110" t="s">
        <v>192</v>
      </c>
      <c r="H53" s="112"/>
      <c r="I53" s="100" t="s">
        <v>193</v>
      </c>
    </row>
    <row r="54" spans="2:9" x14ac:dyDescent="0.2">
      <c r="B54" s="594" t="s">
        <v>194</v>
      </c>
      <c r="C54" s="595"/>
      <c r="D54" s="91" t="s">
        <v>195</v>
      </c>
      <c r="E54" s="135">
        <v>5</v>
      </c>
      <c r="F54" s="135">
        <f>SUM(I80)</f>
        <v>15039</v>
      </c>
      <c r="G54" s="116">
        <f>SUM(F54*5%)</f>
        <v>751.95</v>
      </c>
      <c r="H54" s="69"/>
      <c r="I54" s="596"/>
    </row>
    <row r="55" spans="2:9" x14ac:dyDescent="0.2">
      <c r="B55" s="598" t="s">
        <v>196</v>
      </c>
      <c r="C55" s="599"/>
      <c r="D55" s="91" t="s">
        <v>195</v>
      </c>
      <c r="E55" s="135">
        <v>1.5</v>
      </c>
      <c r="F55" s="135">
        <f>SUM(I80)</f>
        <v>15039</v>
      </c>
      <c r="G55" s="116">
        <f>SUM(F55*1.5%)</f>
        <v>225.58499999999998</v>
      </c>
      <c r="H55" s="70"/>
      <c r="I55" s="597"/>
    </row>
    <row r="56" spans="2:9" x14ac:dyDescent="0.2">
      <c r="B56" s="600"/>
      <c r="C56" s="601"/>
      <c r="D56" s="91"/>
      <c r="E56" s="104"/>
      <c r="F56" s="104"/>
      <c r="G56" s="88">
        <f>SUM(E56*F56)</f>
        <v>0</v>
      </c>
      <c r="H56" s="70"/>
      <c r="I56" s="597"/>
    </row>
    <row r="57" spans="2:9" x14ac:dyDescent="0.2">
      <c r="B57" s="587"/>
      <c r="C57" s="585"/>
      <c r="D57" s="585"/>
      <c r="E57" s="585"/>
      <c r="F57" s="71"/>
      <c r="G57" s="72" t="s">
        <v>197</v>
      </c>
      <c r="H57" s="72"/>
      <c r="I57" s="94">
        <f>SUM(G54:G56)</f>
        <v>977.53500000000008</v>
      </c>
    </row>
    <row r="58" spans="2:9" x14ac:dyDescent="0.2">
      <c r="B58" s="73" t="s">
        <v>198</v>
      </c>
      <c r="C58" s="74"/>
      <c r="D58" s="75"/>
      <c r="E58" s="76"/>
      <c r="F58" s="77"/>
      <c r="G58" s="76"/>
      <c r="H58" s="76"/>
      <c r="I58" s="78"/>
    </row>
    <row r="59" spans="2:9" x14ac:dyDescent="0.2">
      <c r="B59" s="588" t="s">
        <v>188</v>
      </c>
      <c r="C59" s="589"/>
      <c r="D59" s="96" t="s">
        <v>199</v>
      </c>
      <c r="E59" s="110" t="s">
        <v>137</v>
      </c>
      <c r="F59" s="111" t="s">
        <v>200</v>
      </c>
      <c r="G59" s="110" t="s">
        <v>201</v>
      </c>
      <c r="H59" s="112"/>
      <c r="I59" s="100" t="s">
        <v>193</v>
      </c>
    </row>
    <row r="60" spans="2:9" x14ac:dyDescent="0.2">
      <c r="B60" s="590"/>
      <c r="C60" s="591"/>
      <c r="D60" s="79"/>
      <c r="E60" s="80"/>
      <c r="F60" s="81"/>
      <c r="G60" s="82"/>
      <c r="H60" s="83"/>
      <c r="I60" s="90">
        <f t="shared" ref="I60:I68" si="1">(E60*(1+F60/100)) * (G60*(1+H60/100))</f>
        <v>0</v>
      </c>
    </row>
    <row r="61" spans="2:9" x14ac:dyDescent="0.2">
      <c r="B61" s="590"/>
      <c r="C61" s="591"/>
      <c r="D61" s="79"/>
      <c r="E61" s="80"/>
      <c r="F61" s="136"/>
      <c r="G61" s="82"/>
      <c r="H61" s="84"/>
      <c r="I61" s="90">
        <f t="shared" si="1"/>
        <v>0</v>
      </c>
    </row>
    <row r="62" spans="2:9" x14ac:dyDescent="0.2">
      <c r="B62" s="590"/>
      <c r="C62" s="591"/>
      <c r="D62" s="79"/>
      <c r="E62" s="80"/>
      <c r="F62" s="87"/>
      <c r="G62" s="82"/>
      <c r="H62" s="85"/>
      <c r="I62" s="90">
        <f t="shared" si="1"/>
        <v>0</v>
      </c>
    </row>
    <row r="63" spans="2:9" x14ac:dyDescent="0.2">
      <c r="B63" s="590"/>
      <c r="C63" s="591"/>
      <c r="D63" s="79"/>
      <c r="E63" s="80"/>
      <c r="F63" s="87"/>
      <c r="G63" s="82"/>
      <c r="H63" s="85"/>
      <c r="I63" s="90">
        <f t="shared" si="1"/>
        <v>0</v>
      </c>
    </row>
    <row r="64" spans="2:9" x14ac:dyDescent="0.2">
      <c r="B64" s="590"/>
      <c r="C64" s="591"/>
      <c r="D64" s="79"/>
      <c r="E64" s="80"/>
      <c r="F64" s="87"/>
      <c r="G64" s="82"/>
      <c r="H64" s="85"/>
      <c r="I64" s="90">
        <f t="shared" si="1"/>
        <v>0</v>
      </c>
    </row>
    <row r="65" spans="2:9" x14ac:dyDescent="0.2">
      <c r="B65" s="590"/>
      <c r="C65" s="591"/>
      <c r="D65" s="79"/>
      <c r="E65" s="80"/>
      <c r="F65" s="87"/>
      <c r="G65" s="82"/>
      <c r="H65" s="85"/>
      <c r="I65" s="90">
        <f t="shared" si="1"/>
        <v>0</v>
      </c>
    </row>
    <row r="66" spans="2:9" x14ac:dyDescent="0.2">
      <c r="B66" s="590"/>
      <c r="C66" s="591"/>
      <c r="D66" s="86"/>
      <c r="E66" s="80"/>
      <c r="F66" s="87"/>
      <c r="G66" s="82"/>
      <c r="H66" s="85"/>
      <c r="I66" s="90">
        <f t="shared" si="1"/>
        <v>0</v>
      </c>
    </row>
    <row r="67" spans="2:9" x14ac:dyDescent="0.2">
      <c r="B67" s="562"/>
      <c r="C67" s="563"/>
      <c r="D67" s="91"/>
      <c r="E67" s="80"/>
      <c r="F67" s="87"/>
      <c r="G67" s="88"/>
      <c r="H67" s="89"/>
      <c r="I67" s="90">
        <f t="shared" si="1"/>
        <v>0</v>
      </c>
    </row>
    <row r="68" spans="2:9" x14ac:dyDescent="0.2">
      <c r="B68" s="562"/>
      <c r="C68" s="563"/>
      <c r="D68" s="91"/>
      <c r="E68" s="80"/>
      <c r="F68" s="87"/>
      <c r="G68" s="88"/>
      <c r="H68" s="89"/>
      <c r="I68" s="90">
        <f t="shared" si="1"/>
        <v>0</v>
      </c>
    </row>
    <row r="69" spans="2:9" x14ac:dyDescent="0.2">
      <c r="B69" s="92"/>
      <c r="C69" s="76"/>
      <c r="D69" s="75"/>
      <c r="E69" s="76"/>
      <c r="F69" s="585" t="s">
        <v>202</v>
      </c>
      <c r="G69" s="586"/>
      <c r="H69" s="93"/>
      <c r="I69" s="94">
        <f>SUM(I60:I68)</f>
        <v>0</v>
      </c>
    </row>
    <row r="70" spans="2:9" ht="14.25" x14ac:dyDescent="0.2">
      <c r="B70" s="73" t="s">
        <v>203</v>
      </c>
      <c r="C70" s="74"/>
      <c r="D70" s="75"/>
      <c r="E70" s="76"/>
      <c r="F70" s="77"/>
      <c r="G70" s="76"/>
      <c r="H70" s="76"/>
      <c r="I70" s="95"/>
    </row>
    <row r="71" spans="2:9" x14ac:dyDescent="0.2">
      <c r="B71" s="588" t="s">
        <v>188</v>
      </c>
      <c r="C71" s="589"/>
      <c r="D71" s="96" t="s">
        <v>204</v>
      </c>
      <c r="E71" s="97" t="s">
        <v>205</v>
      </c>
      <c r="F71" s="98" t="s">
        <v>206</v>
      </c>
      <c r="G71" s="97" t="s">
        <v>207</v>
      </c>
      <c r="H71" s="99"/>
      <c r="I71" s="100" t="s">
        <v>193</v>
      </c>
    </row>
    <row r="72" spans="2:9" x14ac:dyDescent="0.2">
      <c r="B72" s="623" t="s">
        <v>222</v>
      </c>
      <c r="C72" s="624"/>
      <c r="D72" s="91"/>
      <c r="E72" s="101">
        <v>0.06</v>
      </c>
      <c r="F72" s="102">
        <v>150000</v>
      </c>
      <c r="G72" s="82">
        <f>SUM(E72*F72)</f>
        <v>9000</v>
      </c>
      <c r="H72" s="83"/>
      <c r="I72" s="103"/>
    </row>
    <row r="73" spans="2:9" x14ac:dyDescent="0.2">
      <c r="B73" s="625"/>
      <c r="C73" s="626"/>
      <c r="D73" s="91"/>
      <c r="E73" s="101"/>
      <c r="F73" s="104"/>
      <c r="G73" s="88">
        <f>F73</f>
        <v>0</v>
      </c>
      <c r="H73" s="85"/>
      <c r="I73" s="103"/>
    </row>
    <row r="74" spans="2:9" x14ac:dyDescent="0.2">
      <c r="B74" s="105"/>
      <c r="C74" s="106"/>
      <c r="D74" s="75"/>
      <c r="E74" s="106"/>
      <c r="F74" s="107" t="s">
        <v>208</v>
      </c>
      <c r="G74" s="106"/>
      <c r="H74" s="108"/>
      <c r="I74" s="109">
        <f>SUM(G72:G73)</f>
        <v>9000</v>
      </c>
    </row>
    <row r="75" spans="2:9" ht="14.25" x14ac:dyDescent="0.2">
      <c r="B75" s="73" t="s">
        <v>209</v>
      </c>
      <c r="C75" s="76"/>
      <c r="D75" s="75"/>
      <c r="E75" s="76"/>
      <c r="F75" s="77"/>
      <c r="G75" s="76"/>
      <c r="H75" s="76"/>
      <c r="I75" s="95"/>
    </row>
    <row r="76" spans="2:9" x14ac:dyDescent="0.2">
      <c r="B76" s="588" t="s">
        <v>188</v>
      </c>
      <c r="C76" s="589"/>
      <c r="D76" s="96" t="s">
        <v>136</v>
      </c>
      <c r="E76" s="110" t="s">
        <v>137</v>
      </c>
      <c r="F76" s="111" t="s">
        <v>201</v>
      </c>
      <c r="G76" s="112" t="s">
        <v>205</v>
      </c>
      <c r="H76" s="112"/>
      <c r="I76" s="100" t="s">
        <v>193</v>
      </c>
    </row>
    <row r="77" spans="2:9" x14ac:dyDescent="0.2">
      <c r="B77" s="590" t="s">
        <v>210</v>
      </c>
      <c r="C77" s="591"/>
      <c r="D77" s="91" t="s">
        <v>211</v>
      </c>
      <c r="E77" s="88">
        <v>1</v>
      </c>
      <c r="F77" s="104">
        <f>+(80000+50000*2)*1.671</f>
        <v>300780</v>
      </c>
      <c r="G77" s="113">
        <v>0.05</v>
      </c>
      <c r="H77" s="114"/>
      <c r="I77" s="115">
        <f>SUM(F77*E77)*G77</f>
        <v>15039</v>
      </c>
    </row>
    <row r="78" spans="2:9" x14ac:dyDescent="0.2">
      <c r="B78" s="627"/>
      <c r="C78" s="617"/>
      <c r="D78" s="91"/>
      <c r="E78" s="116"/>
      <c r="F78" s="117"/>
      <c r="G78" s="114"/>
      <c r="H78" s="114"/>
      <c r="I78" s="94">
        <f>SUM(F78*E78)*G78</f>
        <v>0</v>
      </c>
    </row>
    <row r="79" spans="2:9" x14ac:dyDescent="0.2">
      <c r="B79" s="598"/>
      <c r="C79" s="599"/>
      <c r="D79" s="91"/>
      <c r="E79" s="118"/>
      <c r="F79" s="117"/>
      <c r="G79" s="114"/>
      <c r="H79" s="114"/>
      <c r="I79" s="94">
        <f>SUM(F79*E79)*G79</f>
        <v>0</v>
      </c>
    </row>
    <row r="80" spans="2:9" x14ac:dyDescent="0.2">
      <c r="B80" s="92"/>
      <c r="C80" s="76"/>
      <c r="D80" s="75"/>
      <c r="E80" s="76"/>
      <c r="F80" s="605" t="s">
        <v>212</v>
      </c>
      <c r="G80" s="605"/>
      <c r="H80" s="119"/>
      <c r="I80" s="94">
        <f>I77</f>
        <v>15039</v>
      </c>
    </row>
    <row r="81" spans="2:9" ht="13.5" thickBot="1" x14ac:dyDescent="0.25">
      <c r="B81" s="92"/>
      <c r="C81" s="76"/>
      <c r="D81" s="75"/>
      <c r="E81" s="76"/>
      <c r="F81" s="120"/>
      <c r="G81" s="119"/>
      <c r="H81" s="119"/>
      <c r="I81" s="78"/>
    </row>
    <row r="82" spans="2:9" ht="13.5" thickBot="1" x14ac:dyDescent="0.25">
      <c r="B82" s="92"/>
      <c r="C82" s="76"/>
      <c r="D82" s="75"/>
      <c r="E82" s="606" t="s">
        <v>213</v>
      </c>
      <c r="F82" s="606"/>
      <c r="G82" s="606"/>
      <c r="H82" s="121"/>
      <c r="I82" s="122">
        <f>ROUND(SUM(I57+I69+I74+I80),0)</f>
        <v>25017</v>
      </c>
    </row>
    <row r="83" spans="2:9" ht="15" thickBot="1" x14ac:dyDescent="0.25">
      <c r="B83" s="73" t="s">
        <v>214</v>
      </c>
      <c r="C83" s="76"/>
      <c r="D83" s="123"/>
      <c r="E83" s="124"/>
      <c r="F83" s="77"/>
      <c r="G83" s="76"/>
      <c r="H83" s="76"/>
      <c r="I83" s="78"/>
    </row>
    <row r="84" spans="2:9" x14ac:dyDescent="0.2">
      <c r="B84" s="607" t="s">
        <v>215</v>
      </c>
      <c r="C84" s="608"/>
      <c r="D84" s="613" t="s">
        <v>216</v>
      </c>
      <c r="E84" s="614"/>
      <c r="F84" s="125" t="s">
        <v>195</v>
      </c>
      <c r="G84" s="126" t="s">
        <v>217</v>
      </c>
      <c r="H84" s="127"/>
      <c r="I84" s="615"/>
    </row>
    <row r="85" spans="2:9" x14ac:dyDescent="0.2">
      <c r="B85" s="609"/>
      <c r="C85" s="610"/>
      <c r="D85" s="617" t="s">
        <v>218</v>
      </c>
      <c r="E85" s="618"/>
      <c r="F85" s="128">
        <v>25</v>
      </c>
      <c r="G85" s="116">
        <f>I82*20%</f>
        <v>5003.4000000000005</v>
      </c>
      <c r="H85" s="129"/>
      <c r="I85" s="616"/>
    </row>
    <row r="86" spans="2:9" x14ac:dyDescent="0.2">
      <c r="B86" s="609"/>
      <c r="C86" s="610"/>
      <c r="D86" s="617" t="s">
        <v>168</v>
      </c>
      <c r="E86" s="618"/>
      <c r="F86" s="128">
        <v>5</v>
      </c>
      <c r="G86" s="116">
        <f>I82*5%</f>
        <v>1250.8500000000001</v>
      </c>
      <c r="H86" s="129"/>
      <c r="I86" s="616"/>
    </row>
    <row r="87" spans="2:9" x14ac:dyDescent="0.2">
      <c r="B87" s="609"/>
      <c r="C87" s="610"/>
      <c r="D87" s="619" t="s">
        <v>219</v>
      </c>
      <c r="E87" s="617"/>
      <c r="F87" s="128">
        <f>SUM(F85:F86)</f>
        <v>30</v>
      </c>
      <c r="G87" s="116">
        <f>SUM(G85:G86)</f>
        <v>6254.2500000000009</v>
      </c>
      <c r="H87" s="129"/>
      <c r="I87" s="616"/>
    </row>
    <row r="88" spans="2:9" ht="15" thickBot="1" x14ac:dyDescent="0.25">
      <c r="B88" s="609"/>
      <c r="C88" s="610"/>
      <c r="D88" s="130"/>
      <c r="E88" s="620" t="s">
        <v>220</v>
      </c>
      <c r="F88" s="621"/>
      <c r="G88" s="622"/>
      <c r="H88" s="38"/>
      <c r="I88" s="131">
        <f>SUM(G87:G87)</f>
        <v>6254.2500000000009</v>
      </c>
    </row>
    <row r="89" spans="2:9" ht="16.5" thickBot="1" x14ac:dyDescent="0.3">
      <c r="B89" s="611"/>
      <c r="C89" s="612"/>
      <c r="D89" s="628" t="s">
        <v>221</v>
      </c>
      <c r="E89" s="629"/>
      <c r="F89" s="630"/>
      <c r="G89" s="602">
        <f>SUM(I82+I88)</f>
        <v>31271.25</v>
      </c>
      <c r="H89" s="603"/>
      <c r="I89" s="604"/>
    </row>
    <row r="91" spans="2:9" ht="18.75" thickBot="1" x14ac:dyDescent="0.3">
      <c r="B91" s="564" t="s">
        <v>180</v>
      </c>
      <c r="C91" s="564"/>
      <c r="D91" s="564"/>
      <c r="E91" s="564"/>
      <c r="F91" s="564"/>
      <c r="G91" s="564"/>
      <c r="H91" s="564"/>
      <c r="I91" s="564"/>
    </row>
    <row r="92" spans="2:9" ht="15.75" thickBot="1" x14ac:dyDescent="0.3">
      <c r="B92" s="59" t="s">
        <v>181</v>
      </c>
      <c r="C92" s="565" t="s">
        <v>393</v>
      </c>
      <c r="D92" s="566"/>
      <c r="E92" s="566"/>
      <c r="F92" s="567"/>
      <c r="G92" s="60" t="s">
        <v>5</v>
      </c>
      <c r="H92" s="61"/>
      <c r="I92" s="62">
        <v>45373</v>
      </c>
    </row>
    <row r="93" spans="2:9" ht="13.5" thickBot="1" x14ac:dyDescent="0.25">
      <c r="B93" s="568" t="s">
        <v>182</v>
      </c>
      <c r="C93" s="569"/>
      <c r="D93" s="570"/>
      <c r="E93" s="568" t="s">
        <v>183</v>
      </c>
      <c r="F93" s="569"/>
      <c r="G93" s="569"/>
      <c r="H93" s="569"/>
      <c r="I93" s="570"/>
    </row>
    <row r="94" spans="2:9" ht="13.5" thickBot="1" x14ac:dyDescent="0.25">
      <c r="B94" s="571"/>
      <c r="C94" s="572"/>
      <c r="D94" s="573"/>
      <c r="E94" s="574" t="s">
        <v>34</v>
      </c>
      <c r="F94" s="575"/>
      <c r="G94" s="575"/>
      <c r="H94" s="575"/>
      <c r="I94" s="576"/>
    </row>
    <row r="95" spans="2:9" ht="13.5" thickBot="1" x14ac:dyDescent="0.25">
      <c r="B95" s="63" t="s">
        <v>184</v>
      </c>
      <c r="C95" s="64" t="s">
        <v>185</v>
      </c>
      <c r="D95" s="65" t="s">
        <v>42</v>
      </c>
      <c r="E95" s="577"/>
      <c r="F95" s="578"/>
      <c r="G95" s="578"/>
      <c r="H95" s="578"/>
      <c r="I95" s="579"/>
    </row>
    <row r="96" spans="2:9" ht="13.5" thickBot="1" x14ac:dyDescent="0.25">
      <c r="B96" s="583" t="s">
        <v>186</v>
      </c>
      <c r="C96" s="584"/>
      <c r="D96" s="66"/>
      <c r="E96" s="580"/>
      <c r="F96" s="581"/>
      <c r="G96" s="581"/>
      <c r="H96" s="581"/>
      <c r="I96" s="582"/>
    </row>
    <row r="97" spans="2:9" x14ac:dyDescent="0.2">
      <c r="B97" s="67" t="s">
        <v>187</v>
      </c>
      <c r="C97" s="68"/>
      <c r="D97" s="592"/>
      <c r="E97" s="592"/>
      <c r="F97" s="592"/>
      <c r="G97" s="592"/>
      <c r="H97" s="592"/>
      <c r="I97" s="593"/>
    </row>
    <row r="98" spans="2:9" x14ac:dyDescent="0.2">
      <c r="B98" s="588" t="s">
        <v>188</v>
      </c>
      <c r="C98" s="589"/>
      <c r="D98" s="96" t="s">
        <v>189</v>
      </c>
      <c r="E98" s="134" t="s">
        <v>190</v>
      </c>
      <c r="F98" s="111" t="s">
        <v>191</v>
      </c>
      <c r="G98" s="110" t="s">
        <v>192</v>
      </c>
      <c r="H98" s="112"/>
      <c r="I98" s="100" t="s">
        <v>193</v>
      </c>
    </row>
    <row r="99" spans="2:9" x14ac:dyDescent="0.2">
      <c r="B99" s="594" t="s">
        <v>194</v>
      </c>
      <c r="C99" s="595"/>
      <c r="D99" s="91" t="s">
        <v>195</v>
      </c>
      <c r="E99" s="135">
        <v>5</v>
      </c>
      <c r="F99" s="135">
        <f>SUM(I125)</f>
        <v>24062.400000000001</v>
      </c>
      <c r="G99" s="116">
        <f>SUM(F99*5%)</f>
        <v>1203.1200000000001</v>
      </c>
      <c r="H99" s="69"/>
      <c r="I99" s="596"/>
    </row>
    <row r="100" spans="2:9" x14ac:dyDescent="0.2">
      <c r="B100" s="598" t="s">
        <v>196</v>
      </c>
      <c r="C100" s="599"/>
      <c r="D100" s="91" t="s">
        <v>195</v>
      </c>
      <c r="E100" s="135">
        <v>1.5</v>
      </c>
      <c r="F100" s="135">
        <f>SUM(I125)</f>
        <v>24062.400000000001</v>
      </c>
      <c r="G100" s="116">
        <f>SUM(F100*1.5%)</f>
        <v>360.93600000000004</v>
      </c>
      <c r="H100" s="70"/>
      <c r="I100" s="597"/>
    </row>
    <row r="101" spans="2:9" x14ac:dyDescent="0.2">
      <c r="B101" s="600" t="s">
        <v>223</v>
      </c>
      <c r="C101" s="601"/>
      <c r="D101" s="91" t="s">
        <v>224</v>
      </c>
      <c r="E101" s="104">
        <v>0.5</v>
      </c>
      <c r="F101" s="104">
        <v>1010</v>
      </c>
      <c r="G101" s="88">
        <f>SUM(E101*F101)</f>
        <v>505</v>
      </c>
      <c r="H101" s="70"/>
      <c r="I101" s="597"/>
    </row>
    <row r="102" spans="2:9" x14ac:dyDescent="0.2">
      <c r="B102" s="587"/>
      <c r="C102" s="585"/>
      <c r="D102" s="585"/>
      <c r="E102" s="585"/>
      <c r="F102" s="71"/>
      <c r="G102" s="72" t="s">
        <v>197</v>
      </c>
      <c r="H102" s="72"/>
      <c r="I102" s="94">
        <f>SUM(G99:G101)</f>
        <v>2069.056</v>
      </c>
    </row>
    <row r="103" spans="2:9" x14ac:dyDescent="0.2">
      <c r="B103" s="73" t="s">
        <v>198</v>
      </c>
      <c r="C103" s="74"/>
      <c r="D103" s="75"/>
      <c r="E103" s="76"/>
      <c r="F103" s="77"/>
      <c r="G103" s="76"/>
      <c r="H103" s="76"/>
      <c r="I103" s="78"/>
    </row>
    <row r="104" spans="2:9" x14ac:dyDescent="0.2">
      <c r="B104" s="588" t="s">
        <v>188</v>
      </c>
      <c r="C104" s="589"/>
      <c r="D104" s="96" t="s">
        <v>199</v>
      </c>
      <c r="E104" s="110" t="s">
        <v>137</v>
      </c>
      <c r="F104" s="111" t="s">
        <v>200</v>
      </c>
      <c r="G104" s="110" t="s">
        <v>201</v>
      </c>
      <c r="H104" s="112"/>
      <c r="I104" s="100" t="s">
        <v>193</v>
      </c>
    </row>
    <row r="105" spans="2:9" x14ac:dyDescent="0.2">
      <c r="B105" s="590"/>
      <c r="C105" s="591"/>
      <c r="D105" s="79"/>
      <c r="E105" s="80"/>
      <c r="F105" s="81"/>
      <c r="G105" s="82"/>
      <c r="H105" s="83"/>
      <c r="I105" s="90">
        <f t="shared" ref="I105:I113" si="2">(E105*(1+F105/100)) * (G105*(1+H105/100))</f>
        <v>0</v>
      </c>
    </row>
    <row r="106" spans="2:9" x14ac:dyDescent="0.2">
      <c r="B106" s="590"/>
      <c r="C106" s="591"/>
      <c r="D106" s="79"/>
      <c r="E106" s="80"/>
      <c r="F106" s="136"/>
      <c r="G106" s="82"/>
      <c r="H106" s="84"/>
      <c r="I106" s="90">
        <f t="shared" si="2"/>
        <v>0</v>
      </c>
    </row>
    <row r="107" spans="2:9" x14ac:dyDescent="0.2">
      <c r="B107" s="590"/>
      <c r="C107" s="591"/>
      <c r="D107" s="79"/>
      <c r="E107" s="80"/>
      <c r="F107" s="87"/>
      <c r="G107" s="82"/>
      <c r="H107" s="85"/>
      <c r="I107" s="90">
        <f t="shared" si="2"/>
        <v>0</v>
      </c>
    </row>
    <row r="108" spans="2:9" x14ac:dyDescent="0.2">
      <c r="B108" s="590"/>
      <c r="C108" s="591"/>
      <c r="D108" s="79"/>
      <c r="E108" s="80"/>
      <c r="F108" s="87"/>
      <c r="G108" s="82"/>
      <c r="H108" s="85"/>
      <c r="I108" s="90">
        <f t="shared" si="2"/>
        <v>0</v>
      </c>
    </row>
    <row r="109" spans="2:9" x14ac:dyDescent="0.2">
      <c r="B109" s="590"/>
      <c r="C109" s="591"/>
      <c r="D109" s="79"/>
      <c r="E109" s="80"/>
      <c r="F109" s="87"/>
      <c r="G109" s="82"/>
      <c r="H109" s="85"/>
      <c r="I109" s="90">
        <f t="shared" si="2"/>
        <v>0</v>
      </c>
    </row>
    <row r="110" spans="2:9" x14ac:dyDescent="0.2">
      <c r="B110" s="590"/>
      <c r="C110" s="591"/>
      <c r="D110" s="79"/>
      <c r="E110" s="80"/>
      <c r="F110" s="87"/>
      <c r="G110" s="82"/>
      <c r="H110" s="85"/>
      <c r="I110" s="90">
        <f t="shared" si="2"/>
        <v>0</v>
      </c>
    </row>
    <row r="111" spans="2:9" x14ac:dyDescent="0.2">
      <c r="B111" s="590"/>
      <c r="C111" s="591"/>
      <c r="D111" s="86"/>
      <c r="E111" s="80"/>
      <c r="F111" s="87"/>
      <c r="G111" s="82"/>
      <c r="H111" s="85"/>
      <c r="I111" s="90">
        <f t="shared" si="2"/>
        <v>0</v>
      </c>
    </row>
    <row r="112" spans="2:9" x14ac:dyDescent="0.2">
      <c r="B112" s="562"/>
      <c r="C112" s="563"/>
      <c r="D112" s="91"/>
      <c r="E112" s="80"/>
      <c r="F112" s="87"/>
      <c r="G112" s="88"/>
      <c r="H112" s="89"/>
      <c r="I112" s="90">
        <f t="shared" si="2"/>
        <v>0</v>
      </c>
    </row>
    <row r="113" spans="2:9" x14ac:dyDescent="0.2">
      <c r="B113" s="562"/>
      <c r="C113" s="563"/>
      <c r="D113" s="91"/>
      <c r="E113" s="80"/>
      <c r="F113" s="87"/>
      <c r="G113" s="88"/>
      <c r="H113" s="89"/>
      <c r="I113" s="90">
        <f t="shared" si="2"/>
        <v>0</v>
      </c>
    </row>
    <row r="114" spans="2:9" x14ac:dyDescent="0.2">
      <c r="B114" s="92"/>
      <c r="C114" s="76"/>
      <c r="D114" s="75"/>
      <c r="E114" s="76"/>
      <c r="F114" s="585" t="s">
        <v>202</v>
      </c>
      <c r="G114" s="586"/>
      <c r="H114" s="93"/>
      <c r="I114" s="94">
        <f>SUM(I105:I113)</f>
        <v>0</v>
      </c>
    </row>
    <row r="115" spans="2:9" ht="14.25" x14ac:dyDescent="0.2">
      <c r="B115" s="73" t="s">
        <v>203</v>
      </c>
      <c r="C115" s="74"/>
      <c r="D115" s="75"/>
      <c r="E115" s="76"/>
      <c r="F115" s="77"/>
      <c r="G115" s="76"/>
      <c r="H115" s="76"/>
      <c r="I115" s="95"/>
    </row>
    <row r="116" spans="2:9" x14ac:dyDescent="0.2">
      <c r="B116" s="588" t="s">
        <v>188</v>
      </c>
      <c r="C116" s="589"/>
      <c r="D116" s="96" t="s">
        <v>204</v>
      </c>
      <c r="E116" s="97" t="s">
        <v>205</v>
      </c>
      <c r="F116" s="98" t="s">
        <v>206</v>
      </c>
      <c r="G116" s="97" t="s">
        <v>207</v>
      </c>
      <c r="H116" s="99"/>
      <c r="I116" s="100" t="s">
        <v>193</v>
      </c>
    </row>
    <row r="117" spans="2:9" x14ac:dyDescent="0.2">
      <c r="B117" s="623" t="s">
        <v>222</v>
      </c>
      <c r="C117" s="624"/>
      <c r="D117" s="91"/>
      <c r="E117" s="101">
        <v>1.4999999999999999E-2</v>
      </c>
      <c r="F117" s="102">
        <v>150000</v>
      </c>
      <c r="G117" s="82">
        <f>SUM(E117*F117)</f>
        <v>2250</v>
      </c>
      <c r="H117" s="83"/>
      <c r="I117" s="103"/>
    </row>
    <row r="118" spans="2:9" x14ac:dyDescent="0.2">
      <c r="B118" s="625"/>
      <c r="C118" s="626"/>
      <c r="D118" s="91"/>
      <c r="E118" s="101"/>
      <c r="F118" s="104"/>
      <c r="G118" s="88">
        <f>F118</f>
        <v>0</v>
      </c>
      <c r="H118" s="85"/>
      <c r="I118" s="103"/>
    </row>
    <row r="119" spans="2:9" x14ac:dyDescent="0.2">
      <c r="B119" s="105"/>
      <c r="C119" s="106"/>
      <c r="D119" s="75"/>
      <c r="E119" s="106"/>
      <c r="F119" s="107" t="s">
        <v>208</v>
      </c>
      <c r="G119" s="106"/>
      <c r="H119" s="108"/>
      <c r="I119" s="109">
        <f>SUM(G117:G118)</f>
        <v>2250</v>
      </c>
    </row>
    <row r="120" spans="2:9" ht="14.25" x14ac:dyDescent="0.2">
      <c r="B120" s="73" t="s">
        <v>209</v>
      </c>
      <c r="C120" s="76"/>
      <c r="D120" s="75"/>
      <c r="E120" s="76"/>
      <c r="F120" s="77"/>
      <c r="G120" s="76"/>
      <c r="H120" s="76"/>
      <c r="I120" s="95"/>
    </row>
    <row r="121" spans="2:9" x14ac:dyDescent="0.2">
      <c r="B121" s="588" t="s">
        <v>188</v>
      </c>
      <c r="C121" s="589"/>
      <c r="D121" s="96" t="s">
        <v>136</v>
      </c>
      <c r="E121" s="110" t="s">
        <v>137</v>
      </c>
      <c r="F121" s="111" t="s">
        <v>201</v>
      </c>
      <c r="G121" s="112" t="s">
        <v>205</v>
      </c>
      <c r="H121" s="112"/>
      <c r="I121" s="100" t="s">
        <v>193</v>
      </c>
    </row>
    <row r="122" spans="2:9" x14ac:dyDescent="0.2">
      <c r="B122" s="590" t="s">
        <v>210</v>
      </c>
      <c r="C122" s="591"/>
      <c r="D122" s="91" t="s">
        <v>211</v>
      </c>
      <c r="E122" s="88">
        <v>1</v>
      </c>
      <c r="F122" s="104">
        <f>+(80000+50000*2)*1.671</f>
        <v>300780</v>
      </c>
      <c r="G122" s="113">
        <v>0.08</v>
      </c>
      <c r="H122" s="114"/>
      <c r="I122" s="115">
        <f>SUM(F122*E122)*G122</f>
        <v>24062.400000000001</v>
      </c>
    </row>
    <row r="123" spans="2:9" x14ac:dyDescent="0.2">
      <c r="B123" s="627"/>
      <c r="C123" s="617"/>
      <c r="D123" s="91"/>
      <c r="E123" s="116"/>
      <c r="F123" s="117"/>
      <c r="G123" s="114"/>
      <c r="H123" s="114"/>
      <c r="I123" s="94">
        <f>SUM(F123*E123)*G123</f>
        <v>0</v>
      </c>
    </row>
    <row r="124" spans="2:9" x14ac:dyDescent="0.2">
      <c r="B124" s="598"/>
      <c r="C124" s="599"/>
      <c r="D124" s="91"/>
      <c r="E124" s="118"/>
      <c r="F124" s="117"/>
      <c r="G124" s="114"/>
      <c r="H124" s="114"/>
      <c r="I124" s="94">
        <f>SUM(F124*E124)*G124</f>
        <v>0</v>
      </c>
    </row>
    <row r="125" spans="2:9" x14ac:dyDescent="0.2">
      <c r="B125" s="92"/>
      <c r="C125" s="76"/>
      <c r="D125" s="75"/>
      <c r="E125" s="76"/>
      <c r="F125" s="605" t="s">
        <v>212</v>
      </c>
      <c r="G125" s="605"/>
      <c r="H125" s="119"/>
      <c r="I125" s="94">
        <f>I122</f>
        <v>24062.400000000001</v>
      </c>
    </row>
    <row r="126" spans="2:9" ht="13.5" thickBot="1" x14ac:dyDescent="0.25">
      <c r="B126" s="92"/>
      <c r="C126" s="76"/>
      <c r="D126" s="75"/>
      <c r="E126" s="76"/>
      <c r="F126" s="120"/>
      <c r="G126" s="119"/>
      <c r="H126" s="119"/>
      <c r="I126" s="78"/>
    </row>
    <row r="127" spans="2:9" ht="13.5" thickBot="1" x14ac:dyDescent="0.25">
      <c r="B127" s="92"/>
      <c r="C127" s="76"/>
      <c r="D127" s="75"/>
      <c r="E127" s="606" t="s">
        <v>213</v>
      </c>
      <c r="F127" s="606"/>
      <c r="G127" s="606"/>
      <c r="H127" s="121"/>
      <c r="I127" s="122">
        <f>ROUND(SUM(I102+I114+I119+I125),0)</f>
        <v>28381</v>
      </c>
    </row>
    <row r="128" spans="2:9" ht="15" thickBot="1" x14ac:dyDescent="0.25">
      <c r="B128" s="73" t="s">
        <v>214</v>
      </c>
      <c r="C128" s="76"/>
      <c r="D128" s="123"/>
      <c r="E128" s="124"/>
      <c r="F128" s="77"/>
      <c r="G128" s="76"/>
      <c r="H128" s="76"/>
      <c r="I128" s="78"/>
    </row>
    <row r="129" spans="2:9" x14ac:dyDescent="0.2">
      <c r="B129" s="607" t="s">
        <v>215</v>
      </c>
      <c r="C129" s="608"/>
      <c r="D129" s="613" t="s">
        <v>216</v>
      </c>
      <c r="E129" s="614"/>
      <c r="F129" s="125" t="s">
        <v>195</v>
      </c>
      <c r="G129" s="126" t="s">
        <v>217</v>
      </c>
      <c r="H129" s="127"/>
      <c r="I129" s="615"/>
    </row>
    <row r="130" spans="2:9" x14ac:dyDescent="0.2">
      <c r="B130" s="609"/>
      <c r="C130" s="610"/>
      <c r="D130" s="617" t="s">
        <v>218</v>
      </c>
      <c r="E130" s="618"/>
      <c r="F130" s="128">
        <v>25</v>
      </c>
      <c r="G130" s="116">
        <f>I127*20%</f>
        <v>5676.2000000000007</v>
      </c>
      <c r="H130" s="129"/>
      <c r="I130" s="616"/>
    </row>
    <row r="131" spans="2:9" x14ac:dyDescent="0.2">
      <c r="B131" s="609"/>
      <c r="C131" s="610"/>
      <c r="D131" s="617" t="s">
        <v>168</v>
      </c>
      <c r="E131" s="618"/>
      <c r="F131" s="128">
        <v>5</v>
      </c>
      <c r="G131" s="116">
        <f>I127*5%</f>
        <v>1419.0500000000002</v>
      </c>
      <c r="H131" s="129"/>
      <c r="I131" s="616"/>
    </row>
    <row r="132" spans="2:9" x14ac:dyDescent="0.2">
      <c r="B132" s="609"/>
      <c r="C132" s="610"/>
      <c r="D132" s="619" t="s">
        <v>219</v>
      </c>
      <c r="E132" s="617"/>
      <c r="F132" s="128">
        <f>SUM(F130:F131)</f>
        <v>30</v>
      </c>
      <c r="G132" s="116">
        <f>SUM(G130:G131)</f>
        <v>7095.2500000000009</v>
      </c>
      <c r="H132" s="129"/>
      <c r="I132" s="616"/>
    </row>
    <row r="133" spans="2:9" ht="15" thickBot="1" x14ac:dyDescent="0.25">
      <c r="B133" s="609"/>
      <c r="C133" s="610"/>
      <c r="D133" s="130"/>
      <c r="E133" s="620" t="s">
        <v>220</v>
      </c>
      <c r="F133" s="621"/>
      <c r="G133" s="622"/>
      <c r="H133" s="38"/>
      <c r="I133" s="131">
        <f>SUM(G132:G132)</f>
        <v>7095.2500000000009</v>
      </c>
    </row>
    <row r="134" spans="2:9" ht="16.5" thickBot="1" x14ac:dyDescent="0.3">
      <c r="B134" s="611"/>
      <c r="C134" s="612"/>
      <c r="D134" s="628" t="s">
        <v>221</v>
      </c>
      <c r="E134" s="629"/>
      <c r="F134" s="630"/>
      <c r="G134" s="602">
        <f>SUM(I127+I133)</f>
        <v>35476.25</v>
      </c>
      <c r="H134" s="603"/>
      <c r="I134" s="604"/>
    </row>
  </sheetData>
  <mergeCells count="129">
    <mergeCell ref="D134:F134"/>
    <mergeCell ref="G134:I134"/>
    <mergeCell ref="B124:C124"/>
    <mergeCell ref="F125:G125"/>
    <mergeCell ref="E127:G127"/>
    <mergeCell ref="B129:C134"/>
    <mergeCell ref="D129:E129"/>
    <mergeCell ref="I129:I132"/>
    <mergeCell ref="D130:E130"/>
    <mergeCell ref="D131:E131"/>
    <mergeCell ref="D132:E132"/>
    <mergeCell ref="E133:G133"/>
    <mergeCell ref="B116:C116"/>
    <mergeCell ref="B117:C117"/>
    <mergeCell ref="B118:C118"/>
    <mergeCell ref="B121:C121"/>
    <mergeCell ref="B122:C122"/>
    <mergeCell ref="B123:C123"/>
    <mergeCell ref="B109:C109"/>
    <mergeCell ref="B110:C110"/>
    <mergeCell ref="B111:C111"/>
    <mergeCell ref="B112:C112"/>
    <mergeCell ref="B113:C113"/>
    <mergeCell ref="F114:G114"/>
    <mergeCell ref="B102:E102"/>
    <mergeCell ref="B104:C104"/>
    <mergeCell ref="B105:C105"/>
    <mergeCell ref="B106:C106"/>
    <mergeCell ref="B107:C107"/>
    <mergeCell ref="B108:C108"/>
    <mergeCell ref="B94:D94"/>
    <mergeCell ref="E94:I96"/>
    <mergeCell ref="B96:C96"/>
    <mergeCell ref="D97:I97"/>
    <mergeCell ref="B98:C98"/>
    <mergeCell ref="B99:C99"/>
    <mergeCell ref="I99:I101"/>
    <mergeCell ref="B100:C100"/>
    <mergeCell ref="B101:C101"/>
    <mergeCell ref="D89:F89"/>
    <mergeCell ref="G89:I89"/>
    <mergeCell ref="B91:I91"/>
    <mergeCell ref="C92:F92"/>
    <mergeCell ref="B93:D93"/>
    <mergeCell ref="E93:I93"/>
    <mergeCell ref="B79:C79"/>
    <mergeCell ref="F80:G80"/>
    <mergeCell ref="E82:G82"/>
    <mergeCell ref="B84:C89"/>
    <mergeCell ref="D84:E84"/>
    <mergeCell ref="I84:I87"/>
    <mergeCell ref="D85:E85"/>
    <mergeCell ref="D86:E86"/>
    <mergeCell ref="D87:E87"/>
    <mergeCell ref="E88:G88"/>
    <mergeCell ref="B71:C71"/>
    <mergeCell ref="B72:C72"/>
    <mergeCell ref="B73:C73"/>
    <mergeCell ref="B76:C76"/>
    <mergeCell ref="B77:C77"/>
    <mergeCell ref="B78:C78"/>
    <mergeCell ref="B64:C64"/>
    <mergeCell ref="B65:C65"/>
    <mergeCell ref="B66:C66"/>
    <mergeCell ref="B67:C67"/>
    <mergeCell ref="B68:C68"/>
    <mergeCell ref="F69:G69"/>
    <mergeCell ref="B57:E57"/>
    <mergeCell ref="B59:C59"/>
    <mergeCell ref="B60:C60"/>
    <mergeCell ref="B61:C61"/>
    <mergeCell ref="B62:C62"/>
    <mergeCell ref="B63:C63"/>
    <mergeCell ref="B49:D49"/>
    <mergeCell ref="E49:I51"/>
    <mergeCell ref="B51:C51"/>
    <mergeCell ref="D52:I52"/>
    <mergeCell ref="B53:C53"/>
    <mergeCell ref="B54:C54"/>
    <mergeCell ref="I54:I56"/>
    <mergeCell ref="B55:C55"/>
    <mergeCell ref="B56:C56"/>
    <mergeCell ref="D44:F44"/>
    <mergeCell ref="G44:I44"/>
    <mergeCell ref="B46:I46"/>
    <mergeCell ref="C47:F47"/>
    <mergeCell ref="B48:D48"/>
    <mergeCell ref="E48:I48"/>
    <mergeCell ref="B34:C34"/>
    <mergeCell ref="F35:G35"/>
    <mergeCell ref="E37:G37"/>
    <mergeCell ref="B39:C44"/>
    <mergeCell ref="D39:E39"/>
    <mergeCell ref="I39:I42"/>
    <mergeCell ref="D40:E40"/>
    <mergeCell ref="D41:E41"/>
    <mergeCell ref="D42:E42"/>
    <mergeCell ref="E43:G43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1:I1"/>
    <mergeCell ref="C2:F2"/>
    <mergeCell ref="B3:D3"/>
    <mergeCell ref="E3:I3"/>
    <mergeCell ref="B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</mergeCells>
  <printOptions horizontalCentered="1"/>
  <pageMargins left="0.39370078740157483" right="0.39370078740157483" top="0.74803149606299213" bottom="0.74803149606299213" header="0.31496062992125984" footer="0.31496062992125984"/>
  <pageSetup paperSize="122" fitToHeight="0" orientation="portrait" r:id="rId1"/>
  <rowBreaks count="2" manualBreakCount="2">
    <brk id="45" min="1" max="8" man="1"/>
    <brk id="90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63</vt:i4>
      </vt:variant>
      <vt:variant>
        <vt:lpstr>Rangos con nombre</vt:lpstr>
      </vt:variant>
      <vt:variant>
        <vt:i4>64</vt:i4>
      </vt:variant>
    </vt:vector>
  </HeadingPairs>
  <TitlesOfParts>
    <vt:vector size="127" baseType="lpstr">
      <vt:lpstr>P. Adecuación</vt:lpstr>
      <vt:lpstr>P. Interventoria</vt:lpstr>
      <vt:lpstr>CRONOGRAMA</vt:lpstr>
      <vt:lpstr>1.1</vt:lpstr>
      <vt:lpstr>1.2</vt:lpstr>
      <vt:lpstr>1.3</vt:lpstr>
      <vt:lpstr>1.4</vt:lpstr>
      <vt:lpstr>1.5</vt:lpstr>
      <vt:lpstr>2.1</vt:lpstr>
      <vt:lpstr>3.1</vt:lpstr>
      <vt:lpstr>3.2</vt:lpstr>
      <vt:lpstr>3.3</vt:lpstr>
      <vt:lpstr>7.5</vt:lpstr>
      <vt:lpstr>4.1</vt:lpstr>
      <vt:lpstr>4.2</vt:lpstr>
      <vt:lpstr>4.3</vt:lpstr>
      <vt:lpstr>4.4</vt:lpstr>
      <vt:lpstr>4.5</vt:lpstr>
      <vt:lpstr>5.1</vt:lpstr>
      <vt:lpstr>5.2</vt:lpstr>
      <vt:lpstr>5.3</vt:lpstr>
      <vt:lpstr>5.4</vt:lpstr>
      <vt:lpstr>5.5</vt:lpstr>
      <vt:lpstr>6.1</vt:lpstr>
      <vt:lpstr>6.2</vt:lpstr>
      <vt:lpstr>6.3</vt:lpstr>
      <vt:lpstr>6.4</vt:lpstr>
      <vt:lpstr>6.5</vt:lpstr>
      <vt:lpstr>6.6</vt:lpstr>
      <vt:lpstr>6.7</vt:lpstr>
      <vt:lpstr>7.1</vt:lpstr>
      <vt:lpstr>7.2</vt:lpstr>
      <vt:lpstr>7.3</vt:lpstr>
      <vt:lpstr>7.4</vt:lpstr>
      <vt:lpstr>8.1</vt:lpstr>
      <vt:lpstr>8.2</vt:lpstr>
      <vt:lpstr>8.3</vt:lpstr>
      <vt:lpstr>8.4</vt:lpstr>
      <vt:lpstr>8.5</vt:lpstr>
      <vt:lpstr>8.6</vt:lpstr>
      <vt:lpstr>9.1</vt:lpstr>
      <vt:lpstr>9.2</vt:lpstr>
      <vt:lpstr>9.3</vt:lpstr>
      <vt:lpstr>9.4</vt:lpstr>
      <vt:lpstr>9.5</vt:lpstr>
      <vt:lpstr>9.6</vt:lpstr>
      <vt:lpstr>9.7</vt:lpstr>
      <vt:lpstr>9.8</vt:lpstr>
      <vt:lpstr>9.9</vt:lpstr>
      <vt:lpstr>10.1</vt:lpstr>
      <vt:lpstr>10.2</vt:lpstr>
      <vt:lpstr>11.1</vt:lpstr>
      <vt:lpstr>1. PRELIMINARES</vt:lpstr>
      <vt:lpstr>2. URBANISMO</vt:lpstr>
      <vt:lpstr>3. CUBIERTA</vt:lpstr>
      <vt:lpstr>4. MAMPOSTERIA</vt:lpstr>
      <vt:lpstr>5. PISOS</vt:lpstr>
      <vt:lpstr>6. BAÑOS</vt:lpstr>
      <vt:lpstr>7. CARPINTERIA</vt:lpstr>
      <vt:lpstr>8. ELECTRICO</vt:lpstr>
      <vt:lpstr>9. HIDROSANITARIAS</vt:lpstr>
      <vt:lpstr>10. EQUIPOS</vt:lpstr>
      <vt:lpstr>11. ASEO</vt:lpstr>
      <vt:lpstr>'1. PRELIMINARES'!Área_de_impresión</vt:lpstr>
      <vt:lpstr>'1.1'!Área_de_impresión</vt:lpstr>
      <vt:lpstr>'1.2'!Área_de_impresión</vt:lpstr>
      <vt:lpstr>'1.3'!Área_de_impresión</vt:lpstr>
      <vt:lpstr>'1.4'!Área_de_impresión</vt:lpstr>
      <vt:lpstr>'1.5'!Área_de_impresión</vt:lpstr>
      <vt:lpstr>'10. EQUIPOS'!Área_de_impresión</vt:lpstr>
      <vt:lpstr>'10.1'!Área_de_impresión</vt:lpstr>
      <vt:lpstr>'10.2'!Área_de_impresión</vt:lpstr>
      <vt:lpstr>'11. ASEO'!Área_de_impresión</vt:lpstr>
      <vt:lpstr>'11.1'!Área_de_impresión</vt:lpstr>
      <vt:lpstr>'2. URBANISMO'!Área_de_impresión</vt:lpstr>
      <vt:lpstr>'2.1'!Área_de_impresión</vt:lpstr>
      <vt:lpstr>'3. CUBIERTA'!Área_de_impresión</vt:lpstr>
      <vt:lpstr>'3.1'!Área_de_impresión</vt:lpstr>
      <vt:lpstr>'3.2'!Área_de_impresión</vt:lpstr>
      <vt:lpstr>'3.3'!Área_de_impresión</vt:lpstr>
      <vt:lpstr>'4. MAMPOSTERIA'!Área_de_impresión</vt:lpstr>
      <vt:lpstr>'4.1'!Área_de_impresión</vt:lpstr>
      <vt:lpstr>'4.2'!Área_de_impresión</vt:lpstr>
      <vt:lpstr>'4.3'!Área_de_impresión</vt:lpstr>
      <vt:lpstr>'4.4'!Área_de_impresión</vt:lpstr>
      <vt:lpstr>'4.5'!Área_de_impresión</vt:lpstr>
      <vt:lpstr>'5. PISOS'!Área_de_impresión</vt:lpstr>
      <vt:lpstr>'5.1'!Área_de_impresión</vt:lpstr>
      <vt:lpstr>'5.2'!Área_de_impresión</vt:lpstr>
      <vt:lpstr>'5.3'!Área_de_impresión</vt:lpstr>
      <vt:lpstr>'5.4'!Área_de_impresión</vt:lpstr>
      <vt:lpstr>'5.5'!Área_de_impresión</vt:lpstr>
      <vt:lpstr>'6. BAÑOS'!Área_de_impresión</vt:lpstr>
      <vt:lpstr>'6.1'!Área_de_impresión</vt:lpstr>
      <vt:lpstr>'6.2'!Área_de_impresión</vt:lpstr>
      <vt:lpstr>'6.3'!Área_de_impresión</vt:lpstr>
      <vt:lpstr>'6.4'!Área_de_impresión</vt:lpstr>
      <vt:lpstr>'6.5'!Área_de_impresión</vt:lpstr>
      <vt:lpstr>'6.6'!Área_de_impresión</vt:lpstr>
      <vt:lpstr>'6.7'!Área_de_impresión</vt:lpstr>
      <vt:lpstr>'7. CARPINTERIA'!Área_de_impresión</vt:lpstr>
      <vt:lpstr>'7.1'!Área_de_impresión</vt:lpstr>
      <vt:lpstr>'7.2'!Área_de_impresión</vt:lpstr>
      <vt:lpstr>'7.3'!Área_de_impresión</vt:lpstr>
      <vt:lpstr>'7.4'!Área_de_impresión</vt:lpstr>
      <vt:lpstr>'7.5'!Área_de_impresión</vt:lpstr>
      <vt:lpstr>'8. ELECTRICO'!Área_de_impresión</vt:lpstr>
      <vt:lpstr>'8.1'!Área_de_impresión</vt:lpstr>
      <vt:lpstr>'8.2'!Área_de_impresión</vt:lpstr>
      <vt:lpstr>'8.3'!Área_de_impresión</vt:lpstr>
      <vt:lpstr>'8.4'!Área_de_impresión</vt:lpstr>
      <vt:lpstr>'8.5'!Área_de_impresión</vt:lpstr>
      <vt:lpstr>'8.6'!Área_de_impresión</vt:lpstr>
      <vt:lpstr>'9. HIDROSANITARIAS'!Área_de_impresión</vt:lpstr>
      <vt:lpstr>'9.1'!Área_de_impresión</vt:lpstr>
      <vt:lpstr>'9.2'!Área_de_impresión</vt:lpstr>
      <vt:lpstr>'9.3'!Área_de_impresión</vt:lpstr>
      <vt:lpstr>'9.4'!Área_de_impresión</vt:lpstr>
      <vt:lpstr>'9.5'!Área_de_impresión</vt:lpstr>
      <vt:lpstr>'9.6'!Área_de_impresión</vt:lpstr>
      <vt:lpstr>'9.7'!Área_de_impresión</vt:lpstr>
      <vt:lpstr>'9.8'!Área_de_impresión</vt:lpstr>
      <vt:lpstr>'9.9'!Área_de_impresión</vt:lpstr>
      <vt:lpstr>'P. Adecuación'!Área_de_impresión</vt:lpstr>
      <vt:lpstr>'P. Interventoria'!Área_de_impresión</vt:lpstr>
      <vt:lpstr>CRONOGRAMA!Títulos_a_imprimir</vt:lpstr>
      <vt:lpstr>'P. Adecuación'!Títulos_a_imprimir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Tatiana Reyes</dc:creator>
  <cp:lastModifiedBy>ASUS</cp:lastModifiedBy>
  <cp:lastPrinted>2024-06-26T20:48:20Z</cp:lastPrinted>
  <dcterms:created xsi:type="dcterms:W3CDTF">2020-08-26T13:55:04Z</dcterms:created>
  <dcterms:modified xsi:type="dcterms:W3CDTF">2024-06-28T16:25:16Z</dcterms:modified>
</cp:coreProperties>
</file>