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19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contratacionsed_educacionbogota_gov_co/Documents/010.ESTRUCTURACIÓN/01.REVISIÓN PROCESOS/01.2025/41_Interventoria_Vigilancia/Proyecto_Pliegos_SED_CM_A_DSA_032_2025/"/>
    </mc:Choice>
  </mc:AlternateContent>
  <xr:revisionPtr revIDLastSave="53" documentId="8_{A4957B2A-37F9-4865-8EA8-CF5CF61059E7}" xr6:coauthVersionLast="47" xr6:coauthVersionMax="47" xr10:uidLastSave="{89A0D361-9189-4D8C-BA81-75503B1A9D53}"/>
  <bookViews>
    <workbookView xWindow="-120" yWindow="-120" windowWidth="20730" windowHeight="11160" firstSheet="2" activeTab="2" xr2:uid="{00000000-000D-0000-FFFF-FFFF00000000}"/>
  </bookViews>
  <sheets>
    <sheet name="02. ANÁLISIS FINAL" sheetId="10" state="hidden" r:id="rId1"/>
    <sheet name="02. ANÁLISIS FINAL (2)" sheetId="15" state="hidden" r:id="rId2"/>
    <sheet name="ESTUDIO_MERCADO_FINAL" sheetId="22" r:id="rId3"/>
    <sheet name="02. ANÁLISIS FINAL OAPRE" sheetId="17" state="hidden" r:id="rId4"/>
    <sheet name="Propuesta Economica 2024" sheetId="18" r:id="rId5"/>
    <sheet name="HOMO_TH" sheetId="21" r:id="rId6"/>
    <sheet name="Hoja2" sheetId="23" state="hidden" r:id="rId7"/>
    <sheet name="Hoja1" sheetId="16" state="hidden" r:id="rId8"/>
    <sheet name="01. ANÁLISIS INICIAL" sheetId="9" state="hidden" r:id="rId9"/>
    <sheet name="3" sheetId="11" state="hidden" r:id="rId10"/>
    <sheet name="3 (2)" sheetId="13" state="hidden" r:id="rId11"/>
    <sheet name="3 (3)" sheetId="14" state="hidden" r:id="rId12"/>
  </sheets>
  <definedNames>
    <definedName name="______xlnm._FilterDatabase">"#REF!"</definedName>
    <definedName name="____xlnm._FilterDatabase">"#REF!"</definedName>
    <definedName name="___INDEX_SHEET___ASAP_Utilities">#REF!</definedName>
    <definedName name="___xlnm._FilterDatabase">#N/A</definedName>
    <definedName name="__xlnm._FilterDatabase_1">#REF!</definedName>
    <definedName name="_1__123Graph_Aｸﾞﾗﾌ_7" hidden="1">#REF!</definedName>
    <definedName name="_1__123Graph_Aｸﾞﾗﾌ_7_1">#REF!</definedName>
    <definedName name="_1111" hidden="1">#REF!</definedName>
    <definedName name="_112233" hidden="1">#REF!</definedName>
    <definedName name="_112233_1">#REF!</definedName>
    <definedName name="_112277" hidden="1">#REF!</definedName>
    <definedName name="_112277_1">#REF!</definedName>
    <definedName name="_12__123Graph_BCHART_5" hidden="1">#REF!</definedName>
    <definedName name="_12__123Graph_BCHART_5_1">"[.#REF!1]mex95ib!#ref!"</definedName>
    <definedName name="_1222" hidden="1">#REF!</definedName>
    <definedName name="_1222_1">#REF!</definedName>
    <definedName name="_13__123Graph_Bｸﾞﾗﾌ_7" hidden="1">#REF!</definedName>
    <definedName name="_13__123Graph_Bｸﾞﾗﾌ_7_1">#REF!</definedName>
    <definedName name="_14__123Graph_Cｸﾞﾗﾌ_7" hidden="1">#REF!</definedName>
    <definedName name="_14__123Graph_Cｸﾞﾗﾌ_7_1">#REF!</definedName>
    <definedName name="_15__123Graph_Dｸﾞﾗﾌ_7" hidden="1">#REF!</definedName>
    <definedName name="_15__123Graph_Dｸﾞﾗﾌ_7_1">#REF!</definedName>
    <definedName name="_16__123Graph_Eｸﾞﾗﾌ_7" hidden="1">#REF!</definedName>
    <definedName name="_16__123Graph_Eｸﾞﾗﾌ_7_1">#REF!</definedName>
    <definedName name="_17__123Graph_Fｸﾞﾗﾌ_7" hidden="1">#REF!</definedName>
    <definedName name="_17__123Graph_Fｸﾞﾗﾌ_7_1">#REF!</definedName>
    <definedName name="_21" hidden="1">#REF!</definedName>
    <definedName name="_21_1">#REF!</definedName>
    <definedName name="_25" hidden="1">#REF!</definedName>
    <definedName name="_25_1">#REF!</definedName>
    <definedName name="_29" hidden="1">#REF!</definedName>
    <definedName name="_29_1">#REF!</definedName>
    <definedName name="_456" localSheetId="5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456_1">"{0;#n/a,FALSE,0;0,#n/a,FALSE,0;0,#n/a,FALSE,0;0,#n/a,FALSE,0;0,#n/a,FALSE,0;0,#n/a,FALSE,0}"</definedName>
    <definedName name="_AMAZONAS">#REF!</definedName>
    <definedName name="_amazonas_">#REF!</definedName>
    <definedName name="_ANTIOQUIA">#REF!</definedName>
    <definedName name="_ARAUCA">#REF!</definedName>
    <definedName name="_ATLANTICO">#REF!</definedName>
    <definedName name="_BOGOTADC">#REF!</definedName>
    <definedName name="_BOLIVAR">#REF!</definedName>
    <definedName name="_BOYACA">#REF!</definedName>
    <definedName name="_CALDAS">#REF!</definedName>
    <definedName name="_CAQUETA">#REF!</definedName>
    <definedName name="_CASANARE">#REF!</definedName>
    <definedName name="_CAUCA">#REF!</definedName>
    <definedName name="_CESAR">#REF!</definedName>
    <definedName name="_CHOCO">#REF!</definedName>
    <definedName name="_CORDOBA">#REF!</definedName>
    <definedName name="_CUNDINAMARCA">#REF!</definedName>
    <definedName name="_Fill" hidden="1">#REF!</definedName>
    <definedName name="_Fill_1">#REF!</definedName>
    <definedName name="_xlnm._FilterDatabase" hidden="1">#REF!</definedName>
    <definedName name="_FilterDatabase_1">"'info experiencia'!#ref!"</definedName>
    <definedName name="_FilterDatabase_3">#REF!</definedName>
    <definedName name="_ftn1">"'formato cotización'!#ref!"</definedName>
    <definedName name="_ftn2">"'formato cotización'!#ref!"</definedName>
    <definedName name="_ftn3">"'formato cotización'!#ref!"</definedName>
    <definedName name="_ftnref1">"'formato cotización'!#ref!"</definedName>
    <definedName name="_ftnref2">"'formato cotización'!#ref!"</definedName>
    <definedName name="_ftnref3">"'formato cotización'!#ref!"</definedName>
    <definedName name="_GUAINIA">#REF!</definedName>
    <definedName name="_GUAVIARE">#REF!</definedName>
    <definedName name="_HUILA">#REF!</definedName>
    <definedName name="_LAGUAJIRA">#REF!</definedName>
    <definedName name="_MAGDALENA">#REF!</definedName>
    <definedName name="_META">#REF!</definedName>
    <definedName name="_NARIÑO">#REF!</definedName>
    <definedName name="_NDC1" localSheetId="5" hidden="1">{"'内訳表'!$B$2:$N$64"}</definedName>
    <definedName name="_NDC1" hidden="1">{"'内訳表'!$B$2:$N$64"}</definedName>
    <definedName name="_NORTEDESANTANDER">#REF!</definedName>
    <definedName name="_Order1" hidden="1">0</definedName>
    <definedName name="_Order2" hidden="1">255</definedName>
    <definedName name="_PUTUMAYO">#REF!</definedName>
    <definedName name="_QUINDIO">#REF!</definedName>
    <definedName name="_r3d" localSheetId="5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_RISARALDA">#REF!</definedName>
    <definedName name="_SANANDRES">#REF!</definedName>
    <definedName name="_SANTANDER">#REF!</definedName>
    <definedName name="_SUCRE">#REF!</definedName>
    <definedName name="_TOLIMA">#REF!</definedName>
    <definedName name="_UDS3">#REF!</definedName>
    <definedName name="_VALLEDELCAUCA">#REF!</definedName>
    <definedName name="_VAUPES">#REF!</definedName>
    <definedName name="_VICHADA">#REF!</definedName>
    <definedName name="´p" hidden="1">#REF!</definedName>
    <definedName name="¿Quiénes_están_inscritos_dentro_del_sistema__incluye_desinscr___">#REF!</definedName>
    <definedName name="A">#REF!</definedName>
    <definedName name="A_IMPRESIÓN_IM">#REF!</definedName>
    <definedName name="a1_Y1">#REF!</definedName>
    <definedName name="a1_Y1_1">"[.#REF!3]$#REF!.$D$17"</definedName>
    <definedName name="a1_Y2">#REF!</definedName>
    <definedName name="a1_Y2_1">"[.#REF!3]$#REF!.$E$17"</definedName>
    <definedName name="a10_Y10">#REF!</definedName>
    <definedName name="a10_Y10_1">"[.#REF!3]$#REF!.$M$26"</definedName>
    <definedName name="a10_Y11">#REF!</definedName>
    <definedName name="a10_Y11_1">"[.#REF!3]$#REF!.$N$26"</definedName>
    <definedName name="a2_Y2">#REF!</definedName>
    <definedName name="a2_Y2_1">"[.#REF!3]$#REF!.$E$18"</definedName>
    <definedName name="a2_Y3">#REF!</definedName>
    <definedName name="a2_Y3_1">"[.#REF!3]$#REF!.$F$18"</definedName>
    <definedName name="a3_Y3">#REF!</definedName>
    <definedName name="a3_Y3_1">"[.#REF!3]$#REF!.$F$19"</definedName>
    <definedName name="a3_Y4">#REF!</definedName>
    <definedName name="a3_Y4_1">"[.#REF!3]$#REF!.$G$19"</definedName>
    <definedName name="a4_Y4">#REF!</definedName>
    <definedName name="a4_Y4_1">"[.#REF!3]$#REF!.$G$20"</definedName>
    <definedName name="a4_Y5">#REF!</definedName>
    <definedName name="a4_Y5_1">"[.#REF!3]$#REF!.$H$20"</definedName>
    <definedName name="a5_Y5">#REF!</definedName>
    <definedName name="a5_Y5_1">"[.#REF!3]$#REF!.$H$21"</definedName>
    <definedName name="a5_Y6">#REF!</definedName>
    <definedName name="a5_Y6_1">"[.#REF!3]$#REF!.$I$21"</definedName>
    <definedName name="a6_Y6">#REF!</definedName>
    <definedName name="a6_Y6_1">"[.#REF!3]$#REF!.$I$22"</definedName>
    <definedName name="a6_Y7">#REF!</definedName>
    <definedName name="a6_Y7_1">"[.#REF!3]$#REF!.$J$22"</definedName>
    <definedName name="a7_Y7">#REF!</definedName>
    <definedName name="a7_Y7_1">"[.#REF!3]$#REF!.$J$23"</definedName>
    <definedName name="a7_Y8">#REF!</definedName>
    <definedName name="a7_Y8_1">"[.#REF!3]$#REF!.$K$23"</definedName>
    <definedName name="a8_Y8">#REF!</definedName>
    <definedName name="a8_Y8_1">"[.#REF!3]$#REF!.$K$24"</definedName>
    <definedName name="a8_Y9">#REF!</definedName>
    <definedName name="a8_Y9_1">"[.#REF!3]$#REF!.$L$24"</definedName>
    <definedName name="a9_Y10">#REF!</definedName>
    <definedName name="a9_Y10_1">"[.#REF!3]$#REF!.$M$25"</definedName>
    <definedName name="a9_Y9">#REF!</definedName>
    <definedName name="a9_Y9_1">"[.#REF!3]$#REF!.$L$25"</definedName>
    <definedName name="aaaa" hidden="1">#REF!</definedName>
    <definedName name="aaaa_1">#REF!</definedName>
    <definedName name="aaaaa">#REF!</definedName>
    <definedName name="ABF" hidden="1">#REF!</definedName>
    <definedName name="ABF_1">#REF!</definedName>
    <definedName name="AccessDatabase" hidden="1">"C:\My Documents\New MMR\INPUT.mdb"</definedName>
    <definedName name="ACCV" hidden="1">#REF!</definedName>
    <definedName name="ACCV_1">#REF!</definedName>
    <definedName name="Acompañantes">#REF!</definedName>
    <definedName name="ActividadRE">#REF!</definedName>
    <definedName name="ADSF" hidden="1">#REF!</definedName>
    <definedName name="ADSF_1">#REF!</definedName>
    <definedName name="afdgbva" localSheetId="5" hidden="1">{#N/A,#N/A,TRUE,"Report"}</definedName>
    <definedName name="afdgbva" hidden="1">{#N/A,#N/A,TRUE,"Report"}</definedName>
    <definedName name="afdgbva_1">"{#n/a,#n/a,TRUE,""Report""}"</definedName>
    <definedName name="aga" localSheetId="5" hidden="1">{#N/A,#N/A,TRUE,"Report"}</definedName>
    <definedName name="aga" hidden="1">{#N/A,#N/A,TRUE,"Report"}</definedName>
    <definedName name="aga_1">"{#n/a,#n/a,TRUE,""Report""}"</definedName>
    <definedName name="AGE">#REF!</definedName>
    <definedName name="AGHFD" hidden="1">#REF!</definedName>
    <definedName name="AGHFD_1">#REF!</definedName>
    <definedName name="Agua">#N/A</definedName>
    <definedName name="alejo" hidden="1">#REF!</definedName>
    <definedName name="ALM_COM">#REF!</definedName>
    <definedName name="ALMUERZO">#REF!</definedName>
    <definedName name="almuerzocena">#REF!</definedName>
    <definedName name="AMAZ">#REF!</definedName>
    <definedName name="AMAZONAS">#REF!</definedName>
    <definedName name="AMAZONAS1">#REF!</definedName>
    <definedName name="año1">#REF!</definedName>
    <definedName name="año1_1">"[.#REF!3]$#REF!.$F$9"</definedName>
    <definedName name="ANTI">#REF!</definedName>
    <definedName name="ANTIOQUIA">#REF!</definedName>
    <definedName name="APLICA">#REF!</definedName>
    <definedName name="APLICA.">#REF!</definedName>
    <definedName name="ARAU">#REF!</definedName>
    <definedName name="ARAUCA">#REF!</definedName>
    <definedName name="ASIGNACIÓN">#REF!</definedName>
    <definedName name="ASS">#REF!</definedName>
    <definedName name="ass2wq2" hidden="1">#REF!</definedName>
    <definedName name="ATGHH" hidden="1">#REF!</definedName>
    <definedName name="ATGHH_1">#REF!</definedName>
    <definedName name="ATLA">#REF!</definedName>
    <definedName name="ATLANTICO">#REF!</definedName>
    <definedName name="AVBC" hidden="1">#REF!</definedName>
    <definedName name="AVBC_1">#REF!</definedName>
    <definedName name="AXCC" hidden="1">#REF!</definedName>
    <definedName name="AXCC_1">#REF!</definedName>
    <definedName name="AXX" hidden="1">#REF!</definedName>
    <definedName name="AXX_1">#REF!</definedName>
    <definedName name="Aグラフ" hidden="1">#REF!</definedName>
    <definedName name="Aグラフ_1">#REF!</definedName>
    <definedName name="b">#REF!</definedName>
    <definedName name="badb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BAS">#REF!</definedName>
    <definedName name="BASE">#REF!</definedName>
    <definedName name="_xlnm.Database">#REF!</definedName>
    <definedName name="BASETD">OFFSET(#REF!,0,0,COUNTA(#REF!),6)</definedName>
    <definedName name="bbb">#REF!</definedName>
    <definedName name="bbbb">#REF!</definedName>
    <definedName name="BKLZXX">#REF!</definedName>
    <definedName name="bn" localSheetId="5" hidden="1">{"'内訳表'!$B$2:$N$64"}</definedName>
    <definedName name="bn" hidden="1">{"'内訳表'!$B$2:$N$64"}</definedName>
    <definedName name="BOGOTA">#REF!</definedName>
    <definedName name="BOGOTA_DC">#REF!</definedName>
    <definedName name="BOGOTADC">#REF!</definedName>
    <definedName name="BOLI">#REF!</definedName>
    <definedName name="BOLIVAR">#REF!</definedName>
    <definedName name="Borrar">#REF!</definedName>
    <definedName name="Botiquin" hidden="1">#REF!</definedName>
    <definedName name="BOYA">#REF!</definedName>
    <definedName name="BOYACA">#REF!</definedName>
    <definedName name="BuiltIn_Consolidate_Area">NA()</definedName>
    <definedName name="BuiltIn_Consolidate_Area___0">NA()</definedName>
    <definedName name="BuiltIn_Consolidate_Area___0___0">NA()</definedName>
    <definedName name="BuiltIn_Consolidate_Area___0___0___0">NA()</definedName>
    <definedName name="BuiltIn_Consolidate_Area___0___0___0___0">NA()</definedName>
    <definedName name="BuiltIn_Print_Area___0">"$"</definedName>
    <definedName name="BuiltIn_Print_Area___0___0">0</definedName>
    <definedName name="BuiltIn_Print_Titles">NA()</definedName>
    <definedName name="BuiltIn_Print_Titles___0">NA()</definedName>
    <definedName name="BuiltIn_Print_Titles___0___0">0</definedName>
    <definedName name="Ｂグラフ" hidden="1">#REF!</definedName>
    <definedName name="Ｂグラフ_1">#REF!</definedName>
    <definedName name="CajaDespacho">#REF!</definedName>
    <definedName name="CALDAS">#REF!</definedName>
    <definedName name="CALENDARIO">#REF!</definedName>
    <definedName name="CALENDARIO_1">"['file://172.16.9.31/archivosicbf/Desarrollo_Negocio/_Ofertas/ICBF/2015_09_GT/Modelo%20de%20Costes/2015_09_ICBF_GT_v.3-20_meses.xlsm'#$CALENDARIO.$B$6:.$H$161]"</definedName>
    <definedName name="Calidad">#REF!</definedName>
    <definedName name="Calidad_1">"['file://172.16.9.31/ArchivosICBF/DIRECCION%20TECNICA%20ICBF/Archivos%20FONADE/COSTEO%20DIAGNOSTICOS.xlsm'#$PERSONAL.$P$58]"</definedName>
    <definedName name="Campamento">#REF!</definedName>
    <definedName name="Campamento_1">"['file://172.16.9.31/ArchivosICBF/DIRECCION%20TECNICA%20ICBF/Archivos%20FONADE/COSTEO%20DIAGNOSTICOS.xlsm'#$PERSONAL.$P$122]"</definedName>
    <definedName name="Cantidad">#REF!</definedName>
    <definedName name="Cantidad_de_profesionales">#REF!</definedName>
    <definedName name="Cantidad_de_técnicos">#REF!</definedName>
    <definedName name="Cantidad_persona_no_fact">#REF!</definedName>
    <definedName name="CAPITALES2">#REF!</definedName>
    <definedName name="CAQU">#REF!</definedName>
    <definedName name="CAQUETA">#REF!</definedName>
    <definedName name="CAQUETÁ">#REF!</definedName>
    <definedName name="CARNE">#REF!</definedName>
    <definedName name="CASANARE">#REF!</definedName>
    <definedName name="CAUCA">#REF!</definedName>
    <definedName name="CdadCalidades">#REF!</definedName>
    <definedName name="CdadNoFacturables">#REF!</definedName>
    <definedName name="CdadProfesionales">#REF!</definedName>
    <definedName name="CdadTecnicos">#REF!</definedName>
    <definedName name="CDC_TRANSPORTE">#REF!</definedName>
    <definedName name="CENSO">#REF!</definedName>
    <definedName name="CentroZonal">#REF!</definedName>
    <definedName name="CESAR">#REF!</definedName>
    <definedName name="CHOC">#REF!</definedName>
    <definedName name="CHOCO">#REF!</definedName>
    <definedName name="CIENCIA_Y_TECNOLOGIA">#REF!</definedName>
    <definedName name="CIENCIA_Y_TECNOLOGÍA">#REF!</definedName>
    <definedName name="CIUDADANIA_Y_DEMOCRACIA">#REF!</definedName>
    <definedName name="CIUDADANÍA_Y_DEMOCRACIA">#REF!</definedName>
    <definedName name="CIUDADES">#REF!</definedName>
    <definedName name="CLASE">#REF!</definedName>
    <definedName name="CODIGO">#REF!</definedName>
    <definedName name="Comercio">#REF!</definedName>
    <definedName name="COMPETITIVIDAD_REGIONAL">#REF!</definedName>
    <definedName name="CON">#REF!</definedName>
    <definedName name="CONFITERIA">#REF!</definedName>
    <definedName name="CONSOLIDADO" hidden="1">#REF!</definedName>
    <definedName name="Consulta1">#REF!</definedName>
    <definedName name="CONT">#REF!</definedName>
    <definedName name="CONTRATO">#REF!</definedName>
    <definedName name="CORD">#REF!</definedName>
    <definedName name="CORDOBA">#REF!</definedName>
    <definedName name="CÓRDOBA">#REF!</definedName>
    <definedName name="CostoDirectoObra">#REF!</definedName>
    <definedName name="COSTOTIPO1">#REF!</definedName>
    <definedName name="COSTOTIPO2">#REF!</definedName>
    <definedName name="COT">#REF!</definedName>
    <definedName name="CPOSNEITNOC" localSheetId="2">[0]!BASE DE #REF!</definedName>
    <definedName name="CPOSNEITNOC" localSheetId="5">BASE DE #REF!</definedName>
    <definedName name="CPOSNEITNOC">BASE DE #REF!</definedName>
    <definedName name="CPYC">#REF!</definedName>
    <definedName name="CuantostieneEdSuperior">#REF!</definedName>
    <definedName name="CUND">#REF!</definedName>
    <definedName name="CUNDINAMARCA">#REF!</definedName>
    <definedName name="CUPOS">#REF!</definedName>
    <definedName name="CURSO">#REF!</definedName>
    <definedName name="CZVZVZV">#REF!</definedName>
    <definedName name="Ｃグラフ" hidden="1">#REF!</definedName>
    <definedName name="Ｃグラフ_1">#REF!</definedName>
    <definedName name="D">#REF!</definedName>
    <definedName name="DANE">#REF!</definedName>
    <definedName name="DANGER">#REF!</definedName>
    <definedName name="dasd" hidden="1">#REF!</definedName>
    <definedName name="dasd_1">#REF!</definedName>
    <definedName name="datos">#REF!</definedName>
    <definedName name="dbo_trmunici">#REF!</definedName>
    <definedName name="DCAERDA">#REF!</definedName>
    <definedName name="DCLODG">#REF!</definedName>
    <definedName name="DCMIE">#REF!</definedName>
    <definedName name="DCPD">#REF!</definedName>
    <definedName name="Decision">#REF!</definedName>
    <definedName name="Decision_1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2">"['file://172.16.9.31/ArchivosICBF/Users/Engree.Duica/AppData/Local/Microsoft/Windows/Temporary%20Internet%20Files/Content.Outlook/E4EMGSL4/EQUIPOS%20DE%20METROLOGIA/EQUIPOS%20METROLOGIA%20-%20SDI%20020713.xlsx'#$lista.$A$6:.$A$7]"</definedName>
    <definedName name="Decision_3">"['file://172.16.9.31/ArchivosICBF/Users/Engree.Duica/AppData/Local/Microsoft/Windows/Temporary%20Internet%20Files/Content.Outlook/E4EMGSL4/EQUIPOS%20DE%20METROLOGIA/EQUIPOS%20METROLOGIA%20-%20SDI%20020713.xlsx'#$lista.$A$6:.$A$7]"</definedName>
    <definedName name="Dedicacion">#REF!</definedName>
    <definedName name="DEPA">#REF!</definedName>
    <definedName name="DEPARTAMENTO">#REF!</definedName>
    <definedName name="DEPARTAMENTOS">#REF!</definedName>
    <definedName name="dependencia">#REF!</definedName>
    <definedName name="DEPTO">#REF!</definedName>
    <definedName name="DEPTOS">#REF!</definedName>
    <definedName name="DEPTOSS">#REF!</definedName>
    <definedName name="DEPTOSSS">#REF!</definedName>
    <definedName name="DEPTOSSSSS">#REF!</definedName>
    <definedName name="DEPTOSSSSSSS">#REF!</definedName>
    <definedName name="DESARROLLO_DE_PROVEEDORES">#REF!</definedName>
    <definedName name="DESARROLLO_TERRITORIAL">#REF!</definedName>
    <definedName name="desayuno">#REF!</definedName>
    <definedName name="DESAYUNOS">#REF!</definedName>
    <definedName name="DeseanCapacitacionEn">#REF!</definedName>
    <definedName name="DESINSCRITOS">#REF!</definedName>
    <definedName name="DFG" hidden="1">#REF!</definedName>
    <definedName name="DFG_1">#REF!</definedName>
    <definedName name="dfgd56" localSheetId="5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d56_1">"{0;#n/a,FALSE,0;0,#n/a,FALSE,0;0,#n/a,FALSE,0;0,#n/a,FALSE,0;0,#n/a,FALSE,0;0,#n/a,FALSE,0}"</definedName>
    <definedName name="DFGH" hidden="1">#REF!</definedName>
    <definedName name="DFGH_1">#REF!</definedName>
    <definedName name="dfhdf" hidden="1">#REF!</definedName>
    <definedName name="DFSG" hidden="1">#REF!</definedName>
    <definedName name="DFSG_1">#REF!</definedName>
    <definedName name="dgb" localSheetId="5" hidden="1">{"'内訳表'!$B$2:$N$64"}</definedName>
    <definedName name="dgb" hidden="1">{"'内訳表'!$B$2:$N$64"}</definedName>
    <definedName name="dhb" localSheetId="5" hidden="1">{"'内訳表'!$B$2:$N$64"}</definedName>
    <definedName name="dhb" hidden="1">{"'内訳表'!$B$2:$N$64"}</definedName>
    <definedName name="DIAS">#REF!</definedName>
    <definedName name="DIASPRESTACION">#REF!</definedName>
    <definedName name="DISTRIBUCIONPORTIPOCONTRATO">#REF!</definedName>
    <definedName name="dos">#REF!</definedName>
    <definedName name="dszgre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dxhm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Ｄグラフ" hidden="1">#REF!</definedName>
    <definedName name="Ｄグラフ_1">#REF!</definedName>
    <definedName name="E">#REF!</definedName>
    <definedName name="eagrbve" localSheetId="5" hidden="1">{"'内訳表'!$B$2:$N$64"}</definedName>
    <definedName name="eagrbve" hidden="1">{"'内訳表'!$B$2:$N$64"}</definedName>
    <definedName name="eargbwrg" localSheetId="5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A">#REF!</definedName>
    <definedName name="EdSuperior2">#REF!</definedName>
    <definedName name="EdSuperior3">#REF!</definedName>
    <definedName name="EDUCACION_Y_CULTURA">#REF!</definedName>
    <definedName name="EDUCACIÓN_Y_CULTURA">#REF!</definedName>
    <definedName name="EE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LEMENTOS">#REF!</definedName>
    <definedName name="Empresa">#REF!</definedName>
    <definedName name="enero">#REF!</definedName>
    <definedName name="Ensayos">#REF!</definedName>
    <definedName name="Ensayos_1">"['file://172.16.9.31/ArchivosICBF/DIRECCION%20TECNICA%20ICBF/Archivos%20FONADE/COSTEO%20DIAGNOSTICOS.xlsm'#$PERSONAL.$P$100]"</definedName>
    <definedName name="EQCOC">#REF!</definedName>
    <definedName name="Equipos">#REF!</definedName>
    <definedName name="ESPACIOS">#REF!</definedName>
    <definedName name="ESTADO">#REF!</definedName>
    <definedName name="ESTADO.">#REF!</definedName>
    <definedName name="EstadoMadCabFamilia">#REF!</definedName>
    <definedName name="Estrategia">#REF!</definedName>
    <definedName name="ET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ETAPA">#REF!</definedName>
    <definedName name="EUR">#REF!</definedName>
    <definedName name="Excel_BuiltIn__FilterDatabase">#REF!</definedName>
    <definedName name="Ｅグラフ" hidden="1">#REF!</definedName>
    <definedName name="Ｅグラフ_1">#REF!</definedName>
    <definedName name="FACT_ALIMENTOS">#REF!</definedName>
    <definedName name="Factor_multiplicador_Calculado">#REF!</definedName>
    <definedName name="FactorMultFinal">#REF!</definedName>
    <definedName name="FactorMultiplicaCalculado">#REF!</definedName>
    <definedName name="fbvdv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fd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DG" hidden="1">#REF!</definedName>
    <definedName name="FDG_1">#REF!</definedName>
    <definedName name="fecha_fin_servicio">#REF!</definedName>
    <definedName name="fecha_fin_servicio_1">"[.#REF!3]$#REF!.$C$10"</definedName>
    <definedName name="fecha_inicio_servicio">#REF!</definedName>
    <definedName name="fecha_inicio_servicio_1">"[.#REF!3]$#REF!.$C$9"</definedName>
    <definedName name="ff" localSheetId="5" hidden="1">{#N/A,#N/A,TRUE,"Report"}</definedName>
    <definedName name="ff" hidden="1">{#N/A,#N/A,TRUE,"Report"}</definedName>
    <definedName name="ff_1">"{#n/a,#n/a,TRUE,""Report""}"</definedName>
    <definedName name="FFF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g">#REF!</definedName>
    <definedName name="fgsznzfd" localSheetId="5" hidden="1">{"'内訳表'!$B$2:$N$64"}</definedName>
    <definedName name="fgsznzfd" hidden="1">{"'内訳表'!$B$2:$N$64"}</definedName>
    <definedName name="fgxnbf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OCALIZADAS">OFFSET(#REF!,0,0,COUNTA(#REF!),26)</definedName>
    <definedName name="FORMATO2">OFFSET(#REF!,0,0,COUNTA(#REF!),COUNTA(#REF!))</definedName>
    <definedName name="FRE">#REF!</definedName>
    <definedName name="frutas">#REF!</definedName>
    <definedName name="FSDFSD" localSheetId="5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DFSD_1">"{0;#n/a,FALSE,0;0,#n/a,FALSE,0;0,#n/a,FALSE,0;0,#n/a,FALSE,0;0,#n/a,FALSE,0;0,#n/a,FALSE,0}"</definedName>
    <definedName name="fsmnfs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Fuente">#REF!</definedName>
    <definedName name="FUENTES">#REF!</definedName>
    <definedName name="Funcionario">#REF!</definedName>
    <definedName name="Ｆグラフ" hidden="1">#REF!</definedName>
    <definedName name="Ｆグラフ_1">#REF!</definedName>
    <definedName name="gbvREDSAb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eral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GESTIÓN_DE_IMPACTOS">#REF!</definedName>
    <definedName name="GESTIÓN_DE_RIESGOS">#REF!</definedName>
    <definedName name="GFH" hidden="1">#REF!</definedName>
    <definedName name="GFH_1">#REF!</definedName>
    <definedName name="gfhh">#REF!</definedName>
    <definedName name="GiasCertificado">#REF!</definedName>
    <definedName name="GRADO">#REF!</definedName>
    <definedName name="GRUPO">#REF!</definedName>
    <definedName name="GruporUPS">#REF!</definedName>
    <definedName name="GUAI">#REF!</definedName>
    <definedName name="GUAINIA">#REF!</definedName>
    <definedName name="GUAINÍA">#REF!</definedName>
    <definedName name="GUAV">#REF!</definedName>
    <definedName name="GUAVIARE">#REF!</definedName>
    <definedName name="H" hidden="1">#REF!</definedName>
    <definedName name="HA">#N/A</definedName>
    <definedName name="HCB_FAMI">#N/A</definedName>
    <definedName name="HFGHGFH3">#REF!</definedName>
    <definedName name="hhjn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jgmyjk" localSheetId="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5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hjmhg" localSheetId="5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hmstj" localSheetId="5" hidden="1">{#N/A,#N/A,TRUE,"Report"}</definedName>
    <definedName name="hmstj" hidden="1">{#N/A,#N/A,TRUE,"Report"}</definedName>
    <definedName name="hmstj_1">"{#n/a,#n/a,TRUE,""Report""}"</definedName>
    <definedName name="hnfg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Ho">#REF!</definedName>
    <definedName name="HOLA" hidden="1">#REF!</definedName>
    <definedName name="HOLA11">#REF!</definedName>
    <definedName name="HOLA12">#REF!</definedName>
    <definedName name="HOLA13" hidden="1">#REF!</definedName>
    <definedName name="HOLA14">#REF!</definedName>
    <definedName name="HOLA16">#REF!</definedName>
    <definedName name="HOLA17">#REF!</definedName>
    <definedName name="HOLA2" hidden="1">#REF!</definedName>
    <definedName name="HOLA3" localSheetId="5" hidden="1">{"'内訳表'!$B$2:$N$64"}</definedName>
    <definedName name="HOLA3" hidden="1">{"'内訳表'!$B$2:$N$64"}</definedName>
    <definedName name="HOLA4" localSheetId="5" hidden="1">{#N/A,#N/A,FALSE,"POLONNA 8";#N/A,#N/A,FALSE,"POLONNA 7";#N/A,#N/A,FALSE,"POLONNA 6";#N/A,#N/A,FALSE,"POLONNA 5 ";#N/A,#N/A,FALSE,"POLONNA 3";#N/A,#N/A,FALSE,"POLONNA 4";#N/A,#N/A,FALSE,"POLONNA 2";#N/A,#N/A,FALSE,"POLONNA 1"}</definedName>
    <definedName name="HOLA4" hidden="1">{#N/A,#N/A,FALSE,"POLONNA 8";#N/A,#N/A,FALSE,"POLONNA 7";#N/A,#N/A,FALSE,"POLONNA 6";#N/A,#N/A,FALSE,"POLONNA 5 ";#N/A,#N/A,FALSE,"POLONNA 3";#N/A,#N/A,FALSE,"POLONNA 4";#N/A,#N/A,FALSE,"POLONNA 2";#N/A,#N/A,FALSE,"POLONNA 1"}</definedName>
    <definedName name="HOLA5" localSheetId="5" hidden="1">{#N/A,#N/A,TRUE,"Report"}</definedName>
    <definedName name="HOLA5" hidden="1">{#N/A,#N/A,TRUE,"Report"}</definedName>
    <definedName name="HOLA6" localSheetId="5" hidden="1">{#N/A,#N/A,TRUE,"Report"}</definedName>
    <definedName name="HOLA6" hidden="1">{#N/A,#N/A,TRUE,"Report"}</definedName>
    <definedName name="HOLA7">#REF!</definedName>
    <definedName name="HOLA8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LA8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LA9" localSheetId="5" hidden="1">{"'内訳表'!$B$2:$N$64"}</definedName>
    <definedName name="HOLA9" hidden="1">{"'内訳表'!$B$2:$N$64"}</definedName>
    <definedName name="HonoraProfesionales">#REF!</definedName>
    <definedName name="Honorarios">#REF!</definedName>
    <definedName name="HonoraTecnicos">#REF!</definedName>
    <definedName name="Horas">#REF!</definedName>
    <definedName name="horas_jornada">#REF!</definedName>
    <definedName name="horas_jornada_1">"[.#REF!3]$#REF!.$C$12"</definedName>
    <definedName name="horas_ubicacion1">#REF!</definedName>
    <definedName name="horas_ubicacion1_1">"[.#REF!3]$#REF!.$C$47"</definedName>
    <definedName name="horas_ubicacion2">#REF!</definedName>
    <definedName name="horas_ubicacion2_1">"[.#REF!3]$#REF!.$C$48"</definedName>
    <definedName name="horas_ubicacion3">#REF!</definedName>
    <definedName name="horas_ubicacion3_1">"[.#REF!3]$#REF!.$C$49"</definedName>
    <definedName name="horas_ubicacion4">#REF!</definedName>
    <definedName name="horas_ubicacion4_1">"[.#REF!3]$#REF!.$C$50"</definedName>
    <definedName name="horas_ubicacion5">#REF!</definedName>
    <definedName name="horas_ubicacion5_1">"[.#REF!3]$#REF!.$C$51"</definedName>
    <definedName name="horas_ubicacion6">#REF!</definedName>
    <definedName name="horas_ubicacion6_1">"[.#REF!3]$#REF!.$C$52"</definedName>
    <definedName name="horas_ubicacion7">#REF!</definedName>
    <definedName name="horas_ubicacion7_1">"[.#REF!3]$#REF!.$C$53"</definedName>
    <definedName name="HQ1_">#REF!</definedName>
    <definedName name="HQ1PMY1">#REF!</definedName>
    <definedName name="HQ1PMY2">#REF!</definedName>
    <definedName name="HQ1PMY3">#REF!</definedName>
    <definedName name="HQ1PMY4">#REF!</definedName>
    <definedName name="HQ1PMY5">#REF!</definedName>
    <definedName name="HQ2_">#REF!</definedName>
    <definedName name="HQ2PMY1">#REF!</definedName>
    <definedName name="HQ2PMY2">#REF!</definedName>
    <definedName name="HQ2PMY3">#REF!</definedName>
    <definedName name="HQ2PMY4">#REF!</definedName>
    <definedName name="HQ2PMY5">#REF!</definedName>
    <definedName name="HQ3_">#REF!</definedName>
    <definedName name="HQ3PMY1">#REF!</definedName>
    <definedName name="HQ3PMY2">#REF!</definedName>
    <definedName name="HQ3PMY3">#REF!</definedName>
    <definedName name="HQ3PMY4">#REF!</definedName>
    <definedName name="HQ3PMY5">#REF!</definedName>
    <definedName name="HQ4_">#REF!</definedName>
    <definedName name="HQ4PMY1">#REF!</definedName>
    <definedName name="HQ4PMY2">#REF!</definedName>
    <definedName name="HQ4PMY3">#REF!</definedName>
    <definedName name="HQ4PMY4">#REF!</definedName>
    <definedName name="HQ4PMY5">#REF!</definedName>
    <definedName name="HQ5_">#REF!</definedName>
    <definedName name="HQ5PMY1">#REF!</definedName>
    <definedName name="HQ5PMY2">#REF!</definedName>
    <definedName name="HQ5PMY3">#REF!</definedName>
    <definedName name="HQ5PMY4">#REF!</definedName>
    <definedName name="HQ5PMY5">#REF!</definedName>
    <definedName name="HQ6_">#REF!</definedName>
    <definedName name="HQ6PMY1">#REF!</definedName>
    <definedName name="HQ6PMY2">#REF!</definedName>
    <definedName name="HQ6PMY3">#REF!</definedName>
    <definedName name="HQ6PMY4">#REF!</definedName>
    <definedName name="HQ6PMY5">#REF!</definedName>
    <definedName name="HQ7_">#REF!</definedName>
    <definedName name="HQ7PMY1">#REF!</definedName>
    <definedName name="HQ7PMY2">#REF!</definedName>
    <definedName name="HQ7PMY3">#REF!</definedName>
    <definedName name="HQ7PMY4">#REF!</definedName>
    <definedName name="HQ7PMY5">#REF!</definedName>
    <definedName name="HQ8_">#REF!</definedName>
    <definedName name="HQ8PMY1">#REF!</definedName>
    <definedName name="HQ8PMY2">#REF!</definedName>
    <definedName name="HQ8PMY3">#REF!</definedName>
    <definedName name="HQ8PMY4">#REF!</definedName>
    <definedName name="HQ8PMY5">#REF!</definedName>
    <definedName name="HQINTFR">#REF!</definedName>
    <definedName name="HQLODGAY1">#REF!</definedName>
    <definedName name="HQLODGAY2">#REF!</definedName>
    <definedName name="HQLODGAY3">#REF!</definedName>
    <definedName name="HQLODGAY4">#REF!</definedName>
    <definedName name="HQLODGAY5">#REF!</definedName>
    <definedName name="HQLODGCY1">#REF!</definedName>
    <definedName name="HQLODGCY2">#REF!</definedName>
    <definedName name="HQLODGCY3">#REF!</definedName>
    <definedName name="HQLODGCY4">#REF!</definedName>
    <definedName name="HQLODGCY5">#REF!</definedName>
    <definedName name="HQLODGDY1">#REF!</definedName>
    <definedName name="HQLODGDY2">#REF!</definedName>
    <definedName name="HQLODGDY3">#REF!</definedName>
    <definedName name="HQLODGDY4">#REF!</definedName>
    <definedName name="HQLODGDY5">#REF!</definedName>
    <definedName name="HQMIEAY1">#REF!</definedName>
    <definedName name="HQMIEAY2">#REF!</definedName>
    <definedName name="HQMIEAY3">#REF!</definedName>
    <definedName name="HQMIEAY4">#REF!</definedName>
    <definedName name="HQMIEAY5">#REF!</definedName>
    <definedName name="HQMIECY1">#REF!</definedName>
    <definedName name="HQMIECY2">#REF!</definedName>
    <definedName name="HQMIECY3">#REF!</definedName>
    <definedName name="HQMIECY4">#REF!</definedName>
    <definedName name="HQMIECY5">#REF!</definedName>
    <definedName name="HQMIEDY1">#REF!</definedName>
    <definedName name="HQMIEDY2">#REF!</definedName>
    <definedName name="HQMIEDY3">#REF!</definedName>
    <definedName name="HQMIEDY4">#REF!</definedName>
    <definedName name="HQMIEDY5">#REF!</definedName>
    <definedName name="hrgc">#REF!</definedName>
    <definedName name="hsf" localSheetId="5" hidden="1">{"'内訳表'!$B$2:$N$64"}</definedName>
    <definedName name="hsf" hidden="1">{"'内訳表'!$B$2:$N$64"}</definedName>
    <definedName name="HTML_CodePage" hidden="1">932</definedName>
    <definedName name="HTML_CodePage_1">932</definedName>
    <definedName name="HTML_Control" localSheetId="5" hidden="1">{"'内訳表'!$B$2:$N$64"}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Header_1">"""内訳表"""</definedName>
    <definedName name="HTML_LastUpdate" hidden="1">"99/12/27"</definedName>
    <definedName name="HTML_LastUpdate_1">"""99/12/27"""</definedName>
    <definedName name="HTML_LineAfter" hidden="1">FALSE</definedName>
    <definedName name="HTML_LineBefore" hidden="1">FALSE</definedName>
    <definedName name="HTML_Name" hidden="1">"Kenji Fujimori"</definedName>
    <definedName name="HTML_Name_1">"""Kenji Fujimori"""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HTML_Title_1">"""BT21Rev4"""</definedName>
    <definedName name="HUILA">#REF!</definedName>
    <definedName name="I">#REF!</definedName>
    <definedName name="IA">#REF!</definedName>
    <definedName name="ii" localSheetId="5" hidden="1">{"'内訳表'!$B$2:$N$64"}</definedName>
    <definedName name="ii" hidden="1">{"'内訳表'!$B$2:$N$64"}</definedName>
    <definedName name="IMPACTO">#REF!</definedName>
    <definedName name="IN">#REF!</definedName>
    <definedName name="Incre">#REF!</definedName>
    <definedName name="INCREMENTO">#REF!</definedName>
    <definedName name="INCREMENTOS">#REF!</definedName>
    <definedName name="Indemnizacion">#REF!</definedName>
    <definedName name="Index_Sheet_Kutools">#REF!</definedName>
    <definedName name="INDIRECTO">#REF!</definedName>
    <definedName name="InfLaboral">#REF!</definedName>
    <definedName name="InfLabrl">#REF!</definedName>
    <definedName name="INFLATION">#REF!</definedName>
    <definedName name="Info_Prazo_do_contrato">#REF!</definedName>
    <definedName name="Info_Prazo_do_contrato_1">"['file://172.16.9.31/archivosicbf/BK_CRM/ICBF/2015/Outsourcing/Oferta/Servicios%20de%20Outsourcing%20ICBF%20v2.0%2007092015%20_%2020%20meses.xlsm'#$Seletor.$C$13]"</definedName>
    <definedName name="INL">#REF!</definedName>
    <definedName name="INODC">#REF!</definedName>
    <definedName name="Ins">#REF!</definedName>
    <definedName name="InsEnt">#REF!</definedName>
    <definedName name="InsFisMag">#REF!</definedName>
    <definedName name="INT1LODG">#REF!</definedName>
    <definedName name="INT1MIE">#REF!</definedName>
    <definedName name="INT1PD">#REF!</definedName>
    <definedName name="INT2LODG">#REF!</definedName>
    <definedName name="INT2MIE">#REF!</definedName>
    <definedName name="INT2PD">#REF!</definedName>
    <definedName name="INTERCAMBIOS">#REF!</definedName>
    <definedName name="INTERNACIONAL">#REF!</definedName>
    <definedName name="INTFARE">#REF!</definedName>
    <definedName name="INTLODG">#REF!</definedName>
    <definedName name="INTPDLODG">#REF!</definedName>
    <definedName name="ipc_BASE_2008">#REF!</definedName>
    <definedName name="IVASobreUtilidad">#REF!</definedName>
    <definedName name="IVASobreUtilidad_1">"['file://172.16.9.31/ArchivosICBF/DIRECCION%20TECNICA%20ICBF/Archivos%20FONADE/COSTEO%20DIAGNOSTICOS.xlsm'#$IMPUESTOS.$E$16]"</definedName>
    <definedName name="j" hidden="1">#REF!</definedName>
    <definedName name="JARDIN_COMUNIT_DESAYUNO">#REF!</definedName>
    <definedName name="JGJ" localSheetId="5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JGJ_1">"{0;#n/a,FALSE,0;0,#n/a,FALSE,0;0,#n/a,FALSE,0;0,#n/a,FALSE,0;0,#n/a,FALSE,0;0,#n/a,FALSE,0}"</definedName>
    <definedName name="l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LA_GUAJIRA">#REF!</definedName>
    <definedName name="LEO">#REF!</definedName>
    <definedName name="LimitacionAuditiva">#REF!</definedName>
    <definedName name="LimitacionFisicaOMental">#REF!</definedName>
    <definedName name="LimitacionVisual">#REF!</definedName>
    <definedName name="LÍNEAS">#REF!</definedName>
    <definedName name="LISTA_1">#REF!</definedName>
    <definedName name="LISTA_2">#REF!</definedName>
    <definedName name="lista_hnp">#REF!</definedName>
    <definedName name="lista_lineas_reparto">#REF!</definedName>
    <definedName name="lista_localizaciones">#REF!</definedName>
    <definedName name="lista_localizaciones_1">"[.#REF!3]$#REF!.$B$47:$B$53"</definedName>
    <definedName name="lista_paises">#REF!</definedName>
    <definedName name="lista_perfiles_esp">#REF!</definedName>
    <definedName name="lista_perfiles_esp_1">"['file://172.16.9.31/archivosicbf/Desarrollo_Negocio/_Ofertas/ICBF/2015_09_GT/Modelo%20de%20Costes/2015_09_ICBF_GT_v.3-20_meses.xlsm'#$TASAS.$D$7:.$D$198]"</definedName>
    <definedName name="lista_perfiles_resto">#REF!</definedName>
    <definedName name="lista_perfiles_resto_1">"['file://172.16.9.31/archivosicbf/Desarrollo_Negocio/_Ofertas/ICBF/2015_09_GT/Modelo%20de%20Costes/2015_09_ICBF_GT_v.3-20_meses.xlsm'#$TASAS.$B$330:.$B$450]"</definedName>
    <definedName name="LISTA_PROM">#REF!</definedName>
    <definedName name="LISTA_TASAS">#REF!</definedName>
    <definedName name="LLT10PMY1">#REF!</definedName>
    <definedName name="LLT10PMY2">#REF!</definedName>
    <definedName name="LLT10PMY3">#REF!</definedName>
    <definedName name="LLT10PMY4">#REF!</definedName>
    <definedName name="LLT10PMY5">#REF!</definedName>
    <definedName name="LLT11PMY1">#REF!</definedName>
    <definedName name="LLT11PMY2">#REF!</definedName>
    <definedName name="LLT11PMY3">#REF!</definedName>
    <definedName name="LLT11PMY4">#REF!</definedName>
    <definedName name="LLT11PMY5">#REF!</definedName>
    <definedName name="LLT12PMY1">#REF!</definedName>
    <definedName name="LLT12PMY2">#REF!</definedName>
    <definedName name="LLT12PMY3">#REF!</definedName>
    <definedName name="LLT12PMY4">#REF!</definedName>
    <definedName name="LLT12PMY5">#REF!</definedName>
    <definedName name="LLT1PMY1">#REF!</definedName>
    <definedName name="LLT1PMY2">#REF!</definedName>
    <definedName name="LLT1PMY3">#REF!</definedName>
    <definedName name="LLT1PMY4">#REF!</definedName>
    <definedName name="LLT1PMY5">#REF!</definedName>
    <definedName name="LLT2PMY1">#REF!</definedName>
    <definedName name="LLT2PMY2">#REF!</definedName>
    <definedName name="LLT2PMY3">#REF!</definedName>
    <definedName name="LLT2PMY4">#REF!</definedName>
    <definedName name="LLT2PMY5">#REF!</definedName>
    <definedName name="LLT3PMY1">#REF!</definedName>
    <definedName name="LLT3PMY2">#REF!</definedName>
    <definedName name="LLT3PMY3">#REF!</definedName>
    <definedName name="LLT3PMY4">#REF!</definedName>
    <definedName name="LLT3PMY5">#REF!</definedName>
    <definedName name="LLT4PMY1">#REF!</definedName>
    <definedName name="LLT4PMY2">#REF!</definedName>
    <definedName name="LLT4PMY3">#REF!</definedName>
    <definedName name="LLT4PMY4">#REF!</definedName>
    <definedName name="LLT4PMY5">#REF!</definedName>
    <definedName name="LLT5PMY1">#REF!</definedName>
    <definedName name="LLT5PMY2">#REF!</definedName>
    <definedName name="LLT5PMY3">#REF!</definedName>
    <definedName name="LLT5PMY4">#REF!</definedName>
    <definedName name="LLT5PMY5">#REF!</definedName>
    <definedName name="LLT6PMY1">#REF!</definedName>
    <definedName name="LLT6PMY2">#REF!</definedName>
    <definedName name="LLT6PMY3">#REF!</definedName>
    <definedName name="LLT6PMY4">#REF!</definedName>
    <definedName name="LLT6PMY5">#REF!</definedName>
    <definedName name="LLT7PMY1">#REF!</definedName>
    <definedName name="LLT7PMY2">#REF!</definedName>
    <definedName name="LLT7PMY3">#REF!</definedName>
    <definedName name="LLT7PMY4">#REF!</definedName>
    <definedName name="LLT7PMY5">#REF!</definedName>
    <definedName name="LLT8PMY1">#REF!</definedName>
    <definedName name="LLT8PMY2">#REF!</definedName>
    <definedName name="LLT8PMY3">#REF!</definedName>
    <definedName name="LLT8PMY4">#REF!</definedName>
    <definedName name="LLT8PMY5">#REF!</definedName>
    <definedName name="LLT9PMY1">#REF!</definedName>
    <definedName name="LLT9PMY2">#REF!</definedName>
    <definedName name="LLT9PMY3">#REF!</definedName>
    <definedName name="LLT9PMY4">#REF!</definedName>
    <definedName name="LLT9PMY5">#REF!</definedName>
    <definedName name="LLTLODGBY1">#REF!</definedName>
    <definedName name="LLTLODGBY2">#REF!</definedName>
    <definedName name="LLTLODGBY3">#REF!</definedName>
    <definedName name="LLTLODGBY4">#REF!</definedName>
    <definedName name="LLTLODGBY5">#REF!</definedName>
    <definedName name="LLTLODGDY1">#REF!</definedName>
    <definedName name="LLTLODGDY2">#REF!</definedName>
    <definedName name="LLTLODGDY3">#REF!</definedName>
    <definedName name="LLTLODGDY4">#REF!</definedName>
    <definedName name="LLTLODGDY5">#REF!</definedName>
    <definedName name="LLTMIEBY1">#REF!</definedName>
    <definedName name="LLTMIEBY2">#REF!</definedName>
    <definedName name="LLTMIEBY3">#REF!</definedName>
    <definedName name="LLTMIEBY4">#REF!</definedName>
    <definedName name="LLTMIEBY5">#REF!</definedName>
    <definedName name="LLTMIEDY1">#REF!</definedName>
    <definedName name="LLTMIEDY2">#REF!</definedName>
    <definedName name="LLTMIEDY3">#REF!</definedName>
    <definedName name="LLTMIEDY4">#REF!</definedName>
    <definedName name="LLTMIEDY5">#REF!</definedName>
    <definedName name="LOCFARE">#REF!</definedName>
    <definedName name="LOE__P_MS_YR_">#REF!</definedName>
    <definedName name="LST1PMY1">#REF!</definedName>
    <definedName name="LST1PMY2">#REF!</definedName>
    <definedName name="LST1PMY3">#REF!</definedName>
    <definedName name="LST1PMY4">#REF!</definedName>
    <definedName name="LST1PMY5">#REF!</definedName>
    <definedName name="LST2PMY1">#REF!</definedName>
    <definedName name="LST2PMY2">#REF!</definedName>
    <definedName name="LST2PMY3">#REF!</definedName>
    <definedName name="LST2PMY4">#REF!</definedName>
    <definedName name="LST2PMY5">#REF!</definedName>
    <definedName name="LST3PMY1">#REF!</definedName>
    <definedName name="LST3PMY2">#REF!</definedName>
    <definedName name="LST3PMY3">#REF!</definedName>
    <definedName name="LST3PMY4">#REF!</definedName>
    <definedName name="LST3PMY5">#REF!</definedName>
    <definedName name="LST4PMY1">#REF!</definedName>
    <definedName name="LST4PMY2">#REF!</definedName>
    <definedName name="LST4PMY3">#REF!</definedName>
    <definedName name="LST4PMY4">#REF!</definedName>
    <definedName name="LST4PMY5">#REF!</definedName>
    <definedName name="LST5PMY1">#REF!</definedName>
    <definedName name="LST5PMY2">#REF!</definedName>
    <definedName name="LST5PMY3">#REF!</definedName>
    <definedName name="LST5PMY4">#REF!</definedName>
    <definedName name="LST5PMY5">#REF!</definedName>
    <definedName name="lstCapacidadDiscoDuro">#REF!</definedName>
    <definedName name="lstCapacidadDiscoDuroTableta">#REF!</definedName>
    <definedName name="LSTLODGCY1">#REF!</definedName>
    <definedName name="LSTLODGCY2">#REF!</definedName>
    <definedName name="LSTLODGCY3">#REF!</definedName>
    <definedName name="LSTLODGCY4">#REF!</definedName>
    <definedName name="LSTLODGCY5">#REF!</definedName>
    <definedName name="LSTLODGDY1">#REF!</definedName>
    <definedName name="LSTLODGDY2">#REF!</definedName>
    <definedName name="LSTLODGDY3">#REF!</definedName>
    <definedName name="LSTLODGDY4">#REF!</definedName>
    <definedName name="LSTLODGDY5">#REF!</definedName>
    <definedName name="LSTMIECY1">#REF!</definedName>
    <definedName name="LSTMIECY2">#REF!</definedName>
    <definedName name="LSTMIECY3">#REF!</definedName>
    <definedName name="LSTMIECY4">#REF!</definedName>
    <definedName name="LSTMIECY5">#REF!</definedName>
    <definedName name="LSTMIEDY1">#REF!</definedName>
    <definedName name="LSTMIEDY2">#REF!</definedName>
    <definedName name="LSTMIEDY3">#REF!</definedName>
    <definedName name="LSTMIEDY4">#REF!</definedName>
    <definedName name="LSTMIEDY5">#REF!</definedName>
    <definedName name="lstNucleosProcesadorTableta">#REF!</definedName>
    <definedName name="lstRAM">#REF!</definedName>
    <definedName name="lstRAMTableta">#REF!</definedName>
    <definedName name="lstRJ45">#REF!</definedName>
    <definedName name="lstTamañoTableta">#REF!</definedName>
    <definedName name="lstTecnologíaPantalla">#REF!</definedName>
    <definedName name="lstTipoDiscoDuro">#REF!</definedName>
    <definedName name="lstTipoPortátil">#REF!</definedName>
    <definedName name="lstUSB2.0">#REF!</definedName>
    <definedName name="lstUSB2.0Tableta">#REF!</definedName>
    <definedName name="lstUSB3.0">#REF!</definedName>
    <definedName name="lstUSB3.1Tableta">#REF!</definedName>
    <definedName name="lstVelocidadProcesadorTableta">#REF!</definedName>
    <definedName name="LT1PMY1">#REF!</definedName>
    <definedName name="LT1PMY2">#REF!</definedName>
    <definedName name="LT1PMY3">#REF!</definedName>
    <definedName name="LT1PMY4">#REF!</definedName>
    <definedName name="LT1PMY5">#REF!</definedName>
    <definedName name="LT2PMY1">#REF!</definedName>
    <definedName name="LT2PMY2">#REF!</definedName>
    <definedName name="LT2PMY3">#REF!</definedName>
    <definedName name="LT2PMY4">#REF!</definedName>
    <definedName name="LT2PMY5">#REF!</definedName>
    <definedName name="LT3PMY1">#REF!</definedName>
    <definedName name="LT3PMY2">#REF!</definedName>
    <definedName name="LT3PMY3">#REF!</definedName>
    <definedName name="LT3PMY4">#REF!</definedName>
    <definedName name="LT3PMY5">#REF!</definedName>
    <definedName name="LT4PMY1">#REF!</definedName>
    <definedName name="LT4PMY2">#REF!</definedName>
    <definedName name="LT4PMY3">#REF!</definedName>
    <definedName name="LT4PMY4">#REF!</definedName>
    <definedName name="LT4PMY5">#REF!</definedName>
    <definedName name="LTLODGAY1">#REF!</definedName>
    <definedName name="LTLODGAY2">#REF!</definedName>
    <definedName name="LTLODGAY3">#REF!</definedName>
    <definedName name="LTLODGAY4">#REF!</definedName>
    <definedName name="LTLODGAY5">#REF!</definedName>
    <definedName name="LTLODGBY1">#REF!</definedName>
    <definedName name="LTLODGBY2">#REF!</definedName>
    <definedName name="LTLODGBY3">#REF!</definedName>
    <definedName name="LTLODGBY4">#REF!</definedName>
    <definedName name="LTLODGBY5">#REF!</definedName>
    <definedName name="LTLODGCY1">#REF!</definedName>
    <definedName name="LTLODGCY2">#REF!</definedName>
    <definedName name="LTLODGCY3">#REF!</definedName>
    <definedName name="LTLODGCY4">#REF!</definedName>
    <definedName name="LTLODGCY5">#REF!</definedName>
    <definedName name="LTLODGDY1">#REF!</definedName>
    <definedName name="LTLODGDY2">#REF!</definedName>
    <definedName name="LTLODGDY3">#REF!</definedName>
    <definedName name="LTLODGDY4">#REF!</definedName>
    <definedName name="LTLODGDY5">#REF!</definedName>
    <definedName name="LTMIEAY1">#REF!</definedName>
    <definedName name="LTMIEAY2">#REF!</definedName>
    <definedName name="LTMIEAY3">#REF!</definedName>
    <definedName name="LTMIEAY4">#REF!</definedName>
    <definedName name="LTMIEAY5">#REF!</definedName>
    <definedName name="LTMIEBY1">#REF!</definedName>
    <definedName name="LTMIEBY2">#REF!</definedName>
    <definedName name="LTMIEBY3">#REF!</definedName>
    <definedName name="LTMIEBY4">#REF!</definedName>
    <definedName name="LTMIEBY5">#REF!</definedName>
    <definedName name="LTMIECY1">#REF!</definedName>
    <definedName name="LTMIECY2">#REF!</definedName>
    <definedName name="LTMIECY3">#REF!</definedName>
    <definedName name="LTMIECY4">#REF!</definedName>
    <definedName name="LTMIECY5">#REF!</definedName>
    <definedName name="LTMIEDY1">#REF!</definedName>
    <definedName name="LTMIEDY2">#REF!</definedName>
    <definedName name="LTMIEDY3">#REF!</definedName>
    <definedName name="LTMIEDY4">#REF!</definedName>
    <definedName name="LTMIEDY5">#REF!</definedName>
    <definedName name="M">#REF!</definedName>
    <definedName name="M.AMAZONAS">#REF!</definedName>
    <definedName name="M.ANTIOQUIA">#REF!</definedName>
    <definedName name="M.ARAUCA">#REF!</definedName>
    <definedName name="M.ATLANTICO">#REF!</definedName>
    <definedName name="M.BOGOTA">#REF!</definedName>
    <definedName name="M.BOLIVAR">#REF!</definedName>
    <definedName name="M.BOYACA">#REF!</definedName>
    <definedName name="M.CALDAS">#REF!</definedName>
    <definedName name="M.CAQUETÁ">#REF!</definedName>
    <definedName name="M.CASANARE">#REF!</definedName>
    <definedName name="M.CAUCA">#REF!</definedName>
    <definedName name="M.CESAR">#REF!</definedName>
    <definedName name="M.CHOCÓ">#REF!</definedName>
    <definedName name="M.CÓRDOBA">#REF!</definedName>
    <definedName name="M.CUNDINAMARCA">#REF!</definedName>
    <definedName name="M.GUAINIA">#REF!</definedName>
    <definedName name="M.GUAVIARE">#REF!</definedName>
    <definedName name="M.HUILA">#REF!</definedName>
    <definedName name="M.LA.GUAJIRA">#REF!</definedName>
    <definedName name="M.MAGDALENA">#REF!</definedName>
    <definedName name="M.META">#REF!</definedName>
    <definedName name="M.N.DE.SANTANDER">#REF!</definedName>
    <definedName name="M.NARIÑO">#REF!</definedName>
    <definedName name="M.PUTUMAYO">#REF!</definedName>
    <definedName name="M.QUINDIO">#REF!</definedName>
    <definedName name="M.RISARALDA">#REF!</definedName>
    <definedName name="M.SAN.ANDRES">#REF!</definedName>
    <definedName name="M.SANTANDER">#REF!</definedName>
    <definedName name="M.SUCRE">#REF!</definedName>
    <definedName name="M.TOLIMA">#REF!</definedName>
    <definedName name="M.VALLE.DEL.CAUCA">#REF!</definedName>
    <definedName name="M.VAUPÉS">#REF!</definedName>
    <definedName name="M.VICHADA">#REF!</definedName>
    <definedName name="macro" hidden="1">#REF!</definedName>
    <definedName name="MadreCabezaFamilia">#REF!</definedName>
    <definedName name="MAGDALENA">#REF!</definedName>
    <definedName name="Manufacturero">#REF!</definedName>
    <definedName name="margen">#REF!</definedName>
    <definedName name="markup_infra">#REF!</definedName>
    <definedName name="markup_infra_1">"['file://172.16.9.31/archivosicbf/Desarrollo_Negocio/_Ofertas/ICBF/2015_09_GT/Modelo%20de%20Costes/2015_09_ICBF_GT_v.3-20_meses.xlsm'#$DASHBOARD.$D$20]"</definedName>
    <definedName name="Mas_Bajo_Adminstración">#REF!</definedName>
    <definedName name="Mas_Bajo_Imprevistos">#REF!</definedName>
    <definedName name="matriz">#REF!</definedName>
    <definedName name="mdgh" localSheetId="5" hidden="1">{"'内訳表'!$B$2:$N$64"}</definedName>
    <definedName name="mdgh" hidden="1">{"'内訳表'!$B$2:$N$64"}</definedName>
    <definedName name="MENCOC">#REF!</definedName>
    <definedName name="MENU1_3">"$#REF!.$E$8:$M$94"</definedName>
    <definedName name="MENU16">"$"</definedName>
    <definedName name="MENU17">"$"</definedName>
    <definedName name="MENU18">"$"</definedName>
    <definedName name="MENU19">"$"</definedName>
    <definedName name="MENU2_3">"$#REF!.$#REF!$#REF!:$#REF!$#REF!"</definedName>
    <definedName name="MENU20">"$"</definedName>
    <definedName name="MENU3_3">"$#REF!.$#REF!$#REF!:$#REF!$#REF!"</definedName>
    <definedName name="MENU4_3">"$#REF!.$#REF!$#REF!:$#REF!$#REF!"</definedName>
    <definedName name="MENU5_3">"$#REF!.$#REF!$#REF!:$#REF!$#REF!"</definedName>
    <definedName name="mercado">#REF!</definedName>
    <definedName name="mes_inicio_servicio">MONTH(#REF!)</definedName>
    <definedName name="mes_inicio_servicio_1">"MONTH([.#REF!3]$#REF!.$C$9)"</definedName>
    <definedName name="MESES">#REF!</definedName>
    <definedName name="meses_a1">#REF!</definedName>
    <definedName name="meses_a1_1">"[.#REF!3]$#REF!.$D$29"</definedName>
    <definedName name="meses_a10">#REF!</definedName>
    <definedName name="meses_a10_1">"[.#REF!3]$#REF!.$M$29"</definedName>
    <definedName name="meses_a11">#REF!</definedName>
    <definedName name="meses_a11_1">"[.#REF!3]$#REF!.$N$29"</definedName>
    <definedName name="meses_a2">#REF!</definedName>
    <definedName name="meses_a2_1">"[.#REF!3]$#REF!.$E$29"</definedName>
    <definedName name="meses_a3">#REF!</definedName>
    <definedName name="meses_a3_1">"[.#REF!3]$#REF!.$F$29"</definedName>
    <definedName name="meses_a4">#REF!</definedName>
    <definedName name="meses_a4_1">"[.#REF!3]$#REF!.$G$29"</definedName>
    <definedName name="meses_a5">#REF!</definedName>
    <definedName name="meses_a5_1">"[.#REF!3]$#REF!.$H$29"</definedName>
    <definedName name="meses_a6">#REF!</definedName>
    <definedName name="meses_a6_1">"[.#REF!3]$#REF!.$I$29"</definedName>
    <definedName name="meses_a7">#REF!</definedName>
    <definedName name="meses_a7_1">"[.#REF!3]$#REF!.$J$29"</definedName>
    <definedName name="meses_a8">#REF!</definedName>
    <definedName name="meses_a8_1">"[.#REF!3]$#REF!.$K$29"</definedName>
    <definedName name="meses_a9">#REF!</definedName>
    <definedName name="meses_a9_1">"[.#REF!3]$#REF!.$L$29"</definedName>
    <definedName name="meses_servicio">#REF!</definedName>
    <definedName name="meses_servicio_1">"[.#REF!3]$#REF!.$C$8"</definedName>
    <definedName name="META">#REF!</definedName>
    <definedName name="mfhjgjhg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">#REF!</definedName>
    <definedName name="MmExcelLinker_A12B55A7_9F67_4A31_8ABE_1C1F4218B5AF" localSheetId="2">[0]!BASE DE #REF!</definedName>
    <definedName name="MmExcelLinker_A12B55A7_9F67_4A31_8ABE_1C1F4218B5AF" localSheetId="5">BASE DE #REF!</definedName>
    <definedName name="MmExcelLinker_A12B55A7_9F67_4A31_8ABE_1C1F4218B5AF">BASE DE #REF!</definedName>
    <definedName name="mmm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nhgd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MTC">#REF!</definedName>
    <definedName name="MUNI">#REF!</definedName>
    <definedName name="MUNI2">#REF!</definedName>
    <definedName name="Municipio">#REF!</definedName>
    <definedName name="ñ">#REF!</definedName>
    <definedName name="Ñ21">#REF!</definedName>
    <definedName name="NARI">#REF!</definedName>
    <definedName name="NARIÑO">#REF!</definedName>
    <definedName name="ndc" localSheetId="5" hidden="1">{"'内訳表'!$B$2:$N$64"}</definedName>
    <definedName name="ndc" hidden="1">{"'内訳表'!$B$2:$N$64"}</definedName>
    <definedName name="NEW_Centro_Acogida_Dllo">#N/A</definedName>
    <definedName name="Ninos">#REF!</definedName>
    <definedName name="NIVEL">#REF!</definedName>
    <definedName name="NivelEducacionBasica">#REF!</definedName>
    <definedName name="NIVELEDUCACIONSUP">#REF!</definedName>
    <definedName name="NivelEducacionSuperior">#REF!</definedName>
    <definedName name="nn">#N/A</definedName>
    <definedName name="NNN">#REF!</definedName>
    <definedName name="NO">#REF!</definedName>
    <definedName name="NO_APLICA">#REF!</definedName>
    <definedName name="NoFacturable">#REF!</definedName>
    <definedName name="NoFacturable_1">"['file://172.16.9.31/ArchivosICBF/DIRECCION%20TECNICA%20ICBF/Archivos%20FONADE/COSTEO%20DIAGNOSTICOS.xlsm'#$PERSONAL.$P$46]"</definedName>
    <definedName name="nombre">#REF!</definedName>
    <definedName name="NoNOInscritos">#REF!</definedName>
    <definedName name="normal" hidden="1">#REF!</definedName>
    <definedName name="normal_1">#REF!</definedName>
    <definedName name="normal2" hidden="1">#REF!</definedName>
    <definedName name="normal2_1">#REF!</definedName>
    <definedName name="normal3" hidden="1">#REF!</definedName>
    <definedName name="normal3_1">#REF!</definedName>
    <definedName name="normal4" hidden="1">#REF!</definedName>
    <definedName name="normal4_1">#REF!</definedName>
    <definedName name="normal5" hidden="1">#REF!</definedName>
    <definedName name="normal5_1">#REF!</definedName>
    <definedName name="normal6" hidden="1">#REF!</definedName>
    <definedName name="normal6_1">#REF!</definedName>
    <definedName name="NORTE_DE_SANTANDER">#REF!</definedName>
    <definedName name="NRegional">#REF!</definedName>
    <definedName name="NSANTANDER">#REF!</definedName>
    <definedName name="nueva">#REF!</definedName>
    <definedName name="nuevos">#REF!</definedName>
    <definedName name="NUMERO">#REF!</definedName>
    <definedName name="nutri">NA()</definedName>
    <definedName name="O">#REF!</definedName>
    <definedName name="Objetivos">#REF!</definedName>
    <definedName name="Oficina">#REF!</definedName>
    <definedName name="Oficina_1">"['file://172.16.9.31/ArchivosICBF/DIRECCION%20TECNICA%20ICBF/Archivos%20FONADE/COSTEO%20DIAGNOSTICOS.xlsm'#$PERSONAL.$P$69]"</definedName>
    <definedName name="oo" localSheetId="5" hidden="1">{"'内訳表'!$B$2:$N$64"}</definedName>
    <definedName name="oo" hidden="1">{"'内訳表'!$B$2:$N$64"}</definedName>
    <definedName name="OP">#REF!</definedName>
    <definedName name="opciones">#REF!</definedName>
    <definedName name="OPERACIÓN_RESPONSABLE">#REF!</definedName>
    <definedName name="Operador">#REF!</definedName>
    <definedName name="oui">#REF!</definedName>
    <definedName name="P">#REF!</definedName>
    <definedName name="P_ALIME">#REF!</definedName>
    <definedName name="PagoRE">#REF!</definedName>
    <definedName name="PAL">#REF!</definedName>
    <definedName name="papa">#REF!</definedName>
    <definedName name="PAPELEXX">"[5]lista!$a$11:[.$A$13]"</definedName>
    <definedName name="PARTICIPACION">#REF!</definedName>
    <definedName name="PARTICIPACION_1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2">"['file://172.16.9.31/ArchivosICBF/Users/Engree.Duica/AppData/Local/Microsoft/Windows/Temporary%20Internet%20Files/Content.Outlook/E4EMGSL4/EQUIPOS%20DE%20METROLOGIA/EQUIPOS%20METROLOGIA%20-%20SDI%20020713.xlsx'#$lista.$A$15:.$A$17]"</definedName>
    <definedName name="PARTICIPACION_3">"['file://172.16.9.31/ArchivosICBF/Users/Engree.Duica/AppData/Local/Microsoft/Windows/Temporary%20Internet%20Files/Content.Outlook/E4EMGSL4/EQUIPOS%20DE%20METROLOGIA/EQUIPOS%20METROLOGIA%20-%20SDI%20020713.xlsx'#$lista.$A$15:.$A$17]"</definedName>
    <definedName name="pejis" hidden="1">#REF!</definedName>
    <definedName name="penal_1">#REF!</definedName>
    <definedName name="penal_1_1">"[.#REF!3]$#REF!.$C$70"</definedName>
    <definedName name="penal_10">#REF!</definedName>
    <definedName name="penal_10_1">"[.#REF!3]$#REF!.$C$79"</definedName>
    <definedName name="penal_2">#REF!</definedName>
    <definedName name="penal_2_1">"[.#REF!3]$#REF!.$C$71"</definedName>
    <definedName name="penal_3">#REF!</definedName>
    <definedName name="penal_3_1">"[.#REF!3]$#REF!.$C$72"</definedName>
    <definedName name="penal_4">#REF!</definedName>
    <definedName name="penal_4_1">"[.#REF!3]$#REF!.$C$73"</definedName>
    <definedName name="penal_5">#REF!</definedName>
    <definedName name="penal_5_1">"[.#REF!3]$#REF!.$C$74"</definedName>
    <definedName name="penal_6">#REF!</definedName>
    <definedName name="penal_6_1">"[.#REF!3]$#REF!.$C$75"</definedName>
    <definedName name="penal_7">#REF!</definedName>
    <definedName name="penal_7_1">"[.#REF!3]$#REF!.$C$76"</definedName>
    <definedName name="penal_8">#REF!</definedName>
    <definedName name="penal_8_1">"[.#REF!3]$#REF!.$C$77"</definedName>
    <definedName name="penal_9">#REF!</definedName>
    <definedName name="penal_9_1">"[.#REF!3]$#REF!.$C$78"</definedName>
    <definedName name="penal_global">#REF!</definedName>
    <definedName name="penal_global_1">"[.#REF!3]$#REF!.$D$80"</definedName>
    <definedName name="perfil">#REF!</definedName>
    <definedName name="perfiles">#REF!</definedName>
    <definedName name="PERIODICIDAD">#REF!</definedName>
    <definedName name="pilares">#REF!</definedName>
    <definedName name="Plazo_en_meses">#REF!</definedName>
    <definedName name="PlazoEnMeses">#REF!</definedName>
    <definedName name="PMCL">#REF!</definedName>
    <definedName name="POSTAVELODG">#REF!</definedName>
    <definedName name="POSTAVEMIE">#REF!</definedName>
    <definedName name="POSTAVEPD">#REF!</definedName>
    <definedName name="POSTCITYLODG">#REF!</definedName>
    <definedName name="POSTCITYMIE">#REF!</definedName>
    <definedName name="POSTCITYPD">#REF!</definedName>
    <definedName name="POSTDIF">#REF!</definedName>
    <definedName name="POSTLOCLODG">#REF!</definedName>
    <definedName name="POSTLOCMIE">#REF!</definedName>
    <definedName name="POSTLOCPD">#REF!</definedName>
    <definedName name="PPTO">#REF!</definedName>
    <definedName name="PRECIOS">"$"</definedName>
    <definedName name="preparaciones">#REF!</definedName>
    <definedName name="Print_Titles_MI">#REF!</definedName>
    <definedName name="PROBABILIDAD">#REF!</definedName>
    <definedName name="Procedencia">#REF!</definedName>
    <definedName name="Procedencia_1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2">"['file://172.16.9.31/ArchivosICBF/Users/Engree.Duica/AppData/Local/Microsoft/Windows/Temporary%20Internet%20Files/Content.Outlook/E4EMGSL4/EQUIPOS%20DE%20METROLOGIA/EQUIPOS%20METROLOGIA%20-%20SDI%20020713.xlsx'#$lista.$A$2:.$A$3]"</definedName>
    <definedName name="Procedencia_3">"['file://172.16.9.31/ArchivosICBF/Users/Engree.Duica/AppData/Local/Microsoft/Windows/Temporary%20Internet%20Files/Content.Outlook/E4EMGSL4/EQUIPOS%20DE%20METROLOGIA/EQUIPOS%20METROLOGIA%20-%20SDI%20020713.xlsx'#$lista.$A$2:.$A$3]"</definedName>
    <definedName name="Producto">#REF!</definedName>
    <definedName name="PRODUCTOS">#REF!</definedName>
    <definedName name="Productos_Lacteos">#REF!</definedName>
    <definedName name="productosdef">#REF!</definedName>
    <definedName name="Profesional">#REF!</definedName>
    <definedName name="Profesional_1">"['file://172.16.9.31/ArchivosICBF/DIRECCION%20TECNICA%20ICBF/Archivos%20FONADE/COSTEO%20DIAGNOSTICOS.xlsm'#$PERSONAL.$P$12]"</definedName>
    <definedName name="PROGRAMA">#REF!</definedName>
    <definedName name="PROGRAMA_">#REF!</definedName>
    <definedName name="Promd_Administración">#REF!</definedName>
    <definedName name="Promd_Adnimistración">#REF!</definedName>
    <definedName name="Promd_Imprevistos">#REF!</definedName>
    <definedName name="Promd_Utilidad">#REF!</definedName>
    <definedName name="promedios">#REF!</definedName>
    <definedName name="Proporcionalidad">#REF!</definedName>
    <definedName name="proveedores">#REF!</definedName>
    <definedName name="ProximoPension">#REF!</definedName>
    <definedName name="prueba">#REF!</definedName>
    <definedName name="PRUEBA1">#REF!,#REF!,#REF!,#REF!,#REF!,#REF!,#REF!,#REF!,#REF!,#REF!,#REF!,#REF!,#REF!</definedName>
    <definedName name="PUTU">#REF!</definedName>
    <definedName name="putumay">#REF!</definedName>
    <definedName name="PUTUMAYO">#REF!</definedName>
    <definedName name="q">#REF!</definedName>
    <definedName name="QUIN">#REF!</definedName>
    <definedName name="QUINDIO">#REF!</definedName>
    <definedName name="QUINDÍO">#REF!</definedName>
    <definedName name="RANGO">#REF!</definedName>
    <definedName name="reahgbaerg" localSheetId="5" hidden="1">{"'内訳表'!$B$2:$N$64"}</definedName>
    <definedName name="reahgbaerg" hidden="1">{"'内訳表'!$B$2:$N$64"}</definedName>
    <definedName name="RECapacitacion">#REF!</definedName>
    <definedName name="REContPrivada">#REF!</definedName>
    <definedName name="REEXPEDIDO">#REF!</definedName>
    <definedName name="Reg">#REF!</definedName>
    <definedName name="Regional">#REF!</definedName>
    <definedName name="REGIONAL1">#REF!</definedName>
    <definedName name="REGIONALCZ">#REF!</definedName>
    <definedName name="REGIONALES">#REF!</definedName>
    <definedName name="RegSeccional">#REF!</definedName>
    <definedName name="res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ESPUESTAS">#REF!</definedName>
    <definedName name="RESPUESTAS_1">#REF!</definedName>
    <definedName name="rggvs" localSheetId="5" hidden="1">{"'内訳表'!$B$2:$N$64"}</definedName>
    <definedName name="rggvs" hidden="1">{"'内訳表'!$B$2:$N$64"}</definedName>
    <definedName name="RISA">#REF!</definedName>
    <definedName name="RISARALDA">#REF!</definedName>
    <definedName name="rnrsy" localSheetId="5" hidden="1">{#N/A,#N/A,TRUE,"Report"}</definedName>
    <definedName name="rnrsy" hidden="1">{#N/A,#N/A,TRUE,"Report"}</definedName>
    <definedName name="rnrsy_1">"{#n/a,#n/a,TRUE,""Report""}"</definedName>
    <definedName name="RRFARE">#REF!</definedName>
    <definedName name="rrr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RURAL">#REF!</definedName>
    <definedName name="rutas">#REF!</definedName>
    <definedName name="RY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" localSheetId="5">{0,#N/A,FALSE,0;0,#N/A,FALSE,0;0,#N/A,FALSE,0;0,#N/A,FALSE,0;0,#N/A,FALSE,0;0,#N/A,FALSE,0}</definedName>
    <definedName name="S">{0,#N/A,FALSE,0;0,#N/A,FALSE,0;0,#N/A,FALSE,0;0,#N/A,FALSE,0;0,#N/A,FALSE,0;0,#N/A,FALSE,0}</definedName>
    <definedName name="sakflksa">#REF!</definedName>
    <definedName name="Salarios_Profesionales">#REF!</definedName>
    <definedName name="Salarios_Técnicos">#REF!</definedName>
    <definedName name="salariosref">#REF!</definedName>
    <definedName name="SalarioSuperora3SMLVMyProfesionalidad">#REF!</definedName>
    <definedName name="saldos">#REF!</definedName>
    <definedName name="SAN">#REF!</definedName>
    <definedName name="SAN_ANDRES">#REF!</definedName>
    <definedName name="SANANDRÉS">#REF!</definedName>
    <definedName name="sanitario">#REF!</definedName>
    <definedName name="SANT">#REF!</definedName>
    <definedName name="SANTADER">#REF!</definedName>
    <definedName name="SANTANDER">#REF!</definedName>
    <definedName name="SAPO" hidden="1">#REF!</definedName>
    <definedName name="SD">#REF!</definedName>
    <definedName name="SDC_DIFICULTAD_ACCESO" localSheetId="2">[0]!BASE DE #REF!</definedName>
    <definedName name="SDC_DIFICULTAD_ACCESO" localSheetId="5">BASE DE #REF!</definedName>
    <definedName name="SDC_DIFICULTAD_ACCESO">BASE DE #REF!</definedName>
    <definedName name="sdf" localSheetId="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#REF!</definedName>
    <definedName name="SDFGFH_1">"[.#REF!1]mex95ib!#ref!"</definedName>
    <definedName name="SDFSDF">#REF!</definedName>
    <definedName name="sdgf">#REF!</definedName>
    <definedName name="Seguimiento">#REF!</definedName>
    <definedName name="SEGURIDAD_FISICA">#REF!</definedName>
    <definedName name="SEGURIDAD_FÍSICA">#REF!</definedName>
    <definedName name="seleccione">#REF!</definedName>
    <definedName name="Semiinternado_Discapacidad_Mental_Psic">#REF!</definedName>
    <definedName name="sencount" hidden="1">2</definedName>
    <definedName name="Servicio">#REF!</definedName>
    <definedName name="servicios">#REF!</definedName>
    <definedName name="Sexo">#REF!</definedName>
    <definedName name="sfgm" localSheetId="5" hidden="1">{#N/A,#N/A,TRUE,"Report"}</definedName>
    <definedName name="sfgm" hidden="1">{#N/A,#N/A,TRUE,"Report"}</definedName>
    <definedName name="sfgm_1">"{#n/a,#n/a,TRUE,""Report""}"</definedName>
    <definedName name="sin_aporte_nutricional">#REF!</definedName>
    <definedName name="sininteres">#REF!</definedName>
    <definedName name="Sinnombre">"$"</definedName>
    <definedName name="Sinnombre___0">"$"</definedName>
    <definedName name="SINO">#REF!</definedName>
    <definedName name="SSD" hidden="1">#REF!</definedName>
    <definedName name="SSS">#REF!</definedName>
    <definedName name="SSSS">#REF!</definedName>
    <definedName name="STX1LODGAY1">#REF!</definedName>
    <definedName name="STX1LODGAY2">#REF!</definedName>
    <definedName name="STX1LODGAY3">#REF!</definedName>
    <definedName name="STX1LODGAY4">#REF!</definedName>
    <definedName name="STX1LODGAY5">#REF!</definedName>
    <definedName name="STX1LODGBY1">#REF!</definedName>
    <definedName name="STX1LODGBY2">#REF!</definedName>
    <definedName name="STX1LODGBY3">#REF!</definedName>
    <definedName name="STX1LODGBY4">#REF!</definedName>
    <definedName name="STX1LODGBY5">#REF!</definedName>
    <definedName name="STX1LODGCY1">#REF!</definedName>
    <definedName name="STX1LODGCY2">#REF!</definedName>
    <definedName name="STX1LODGCY3">#REF!</definedName>
    <definedName name="STX1LODGCY4">#REF!</definedName>
    <definedName name="STX1LODGCY5">#REF!</definedName>
    <definedName name="STX1LODGDY1">#REF!</definedName>
    <definedName name="STX1LODGDY2">#REF!</definedName>
    <definedName name="STX1LODGDY3">#REF!</definedName>
    <definedName name="STX1LODGDY4">#REF!</definedName>
    <definedName name="STX1LODGDY5">#REF!</definedName>
    <definedName name="STX1MIEAY1">#REF!</definedName>
    <definedName name="STX1MIEAY2">#REF!</definedName>
    <definedName name="STX1MIEAY3">#REF!</definedName>
    <definedName name="STX1MIEAY4">#REF!</definedName>
    <definedName name="STX1MIEAY5">#REF!</definedName>
    <definedName name="STX1MIEBY1">#REF!</definedName>
    <definedName name="STX1MIEBY2">#REF!</definedName>
    <definedName name="STX1MIEBY3">#REF!</definedName>
    <definedName name="STX1MIEBY4">#REF!</definedName>
    <definedName name="STX1MIEBY5">#REF!</definedName>
    <definedName name="STX1MIECY1">#REF!</definedName>
    <definedName name="STX1MIECY2">#REF!</definedName>
    <definedName name="STX1MIECY3">#REF!</definedName>
    <definedName name="STX1MIECY4">#REF!</definedName>
    <definedName name="STX1MIECY5">#REF!</definedName>
    <definedName name="STX1MIEDY1">#REF!</definedName>
    <definedName name="STX1MIEDY2">#REF!</definedName>
    <definedName name="STX1MIEDY3">#REF!</definedName>
    <definedName name="STX1MIEDY4">#REF!</definedName>
    <definedName name="STX1MIEDY5">#REF!</definedName>
    <definedName name="STX1PMY1">#REF!</definedName>
    <definedName name="STX1PMY2">#REF!</definedName>
    <definedName name="STX1PMY3">#REF!</definedName>
    <definedName name="STX1PMY4">#REF!</definedName>
    <definedName name="STX1PMY5">#REF!</definedName>
    <definedName name="STX2LODGAY1">#REF!</definedName>
    <definedName name="STX2LODGAY2">#REF!</definedName>
    <definedName name="STX2LODGAY3">#REF!</definedName>
    <definedName name="STX2LODGAY4">#REF!</definedName>
    <definedName name="STX2LODGAY5">#REF!</definedName>
    <definedName name="STX2LODGBY1">#REF!</definedName>
    <definedName name="STX2LODGBY2">#REF!</definedName>
    <definedName name="STX2LODGBY3">#REF!</definedName>
    <definedName name="STX2LODGBY4">#REF!</definedName>
    <definedName name="STX2LODGBY5">#REF!</definedName>
    <definedName name="STX2LODGCY1">#REF!</definedName>
    <definedName name="STX2LODGCY2">#REF!</definedName>
    <definedName name="STX2LODGCY3">#REF!</definedName>
    <definedName name="STX2LODGCY4">#REF!</definedName>
    <definedName name="STX2LODGCY5">#REF!</definedName>
    <definedName name="STX2LODGDY1">#REF!</definedName>
    <definedName name="STX2LODGDY2">#REF!</definedName>
    <definedName name="STX2LODGDY3">#REF!</definedName>
    <definedName name="STX2LODGDY4">#REF!</definedName>
    <definedName name="STX2LODGDY5">#REF!</definedName>
    <definedName name="STX2MIEAY1">#REF!</definedName>
    <definedName name="STX2MIEAY2">#REF!</definedName>
    <definedName name="STX2MIEAY3">#REF!</definedName>
    <definedName name="STX2MIEAY4">#REF!</definedName>
    <definedName name="STX2MIEAY5">#REF!</definedName>
    <definedName name="STX2MIEBY1">#REF!</definedName>
    <definedName name="STX2MIEBY2">#REF!</definedName>
    <definedName name="STX2MIEBY3">#REF!</definedName>
    <definedName name="STX2MIEBY4">#REF!</definedName>
    <definedName name="STX2MIEBY5">#REF!</definedName>
    <definedName name="STX2MIECY1">#REF!</definedName>
    <definedName name="STX2MIECY2">#REF!</definedName>
    <definedName name="STX2MIECY3">#REF!</definedName>
    <definedName name="STX2MIECY4">#REF!</definedName>
    <definedName name="STX2MIECY5">#REF!</definedName>
    <definedName name="STX2MIEDY1">#REF!</definedName>
    <definedName name="STX2MIEDY2">#REF!</definedName>
    <definedName name="STX2MIEDY3">#REF!</definedName>
    <definedName name="STX2MIEDY4">#REF!</definedName>
    <definedName name="STX2MIEDY5">#REF!</definedName>
    <definedName name="STX2PMY1">#REF!</definedName>
    <definedName name="STX2PMY2">#REF!</definedName>
    <definedName name="STX2PMY3">#REF!</definedName>
    <definedName name="STX2PMY4">#REF!</definedName>
    <definedName name="STX2PMY5">#REF!</definedName>
    <definedName name="STX3LODGAY1">#REF!</definedName>
    <definedName name="STX3LODGAY2">#REF!</definedName>
    <definedName name="STX3LODGAY3">#REF!</definedName>
    <definedName name="STX3LODGAY4">#REF!</definedName>
    <definedName name="STX3LODGAY5">#REF!</definedName>
    <definedName name="STX3LODGBY1">#REF!</definedName>
    <definedName name="STX3LODGBY2">#REF!</definedName>
    <definedName name="STX3LODGBY3">#REF!</definedName>
    <definedName name="STX3LODGBY4">#REF!</definedName>
    <definedName name="STX3LODGBY5">#REF!</definedName>
    <definedName name="STX3LODGCY1">#REF!</definedName>
    <definedName name="STX3LODGCY2">#REF!</definedName>
    <definedName name="STX3LODGCY3">#REF!</definedName>
    <definedName name="STX3LODGCY4">#REF!</definedName>
    <definedName name="STX3LODGCY5">#REF!</definedName>
    <definedName name="STX3LODGDY1">#REF!</definedName>
    <definedName name="STX3LODGDY2">#REF!</definedName>
    <definedName name="STX3LODGDY3">#REF!</definedName>
    <definedName name="STX3LODGDY4">#REF!</definedName>
    <definedName name="STX3LODGDY5">#REF!</definedName>
    <definedName name="STX3MIEAY1">#REF!</definedName>
    <definedName name="STX3MIEAY2">#REF!</definedName>
    <definedName name="STX3MIEAY3">#REF!</definedName>
    <definedName name="STX3MIEAY4">#REF!</definedName>
    <definedName name="STX3MIEAY5">#REF!</definedName>
    <definedName name="STX3MIEBY1">#REF!</definedName>
    <definedName name="STX3MIEBY2">#REF!</definedName>
    <definedName name="STX3MIEBY3">#REF!</definedName>
    <definedName name="STX3MIEBY4">#REF!</definedName>
    <definedName name="STX3MIEBY5">#REF!</definedName>
    <definedName name="STX3MIECY1">#REF!</definedName>
    <definedName name="STX3MIECY2">#REF!</definedName>
    <definedName name="STX3MIECY3">#REF!</definedName>
    <definedName name="STX3MIECY4">#REF!</definedName>
    <definedName name="STX3MIECY5">#REF!</definedName>
    <definedName name="STX3MIEDY1">#REF!</definedName>
    <definedName name="STX3MIEDY2">#REF!</definedName>
    <definedName name="STX3MIEDY3">#REF!</definedName>
    <definedName name="STX3MIEDY4">#REF!</definedName>
    <definedName name="STX3MIEDY5">#REF!</definedName>
    <definedName name="STX3PMY1">#REF!</definedName>
    <definedName name="STX3PMY2">#REF!</definedName>
    <definedName name="STX3PMY3">#REF!</definedName>
    <definedName name="STX3PMY4">#REF!</definedName>
    <definedName name="STX3PMY5">#REF!</definedName>
    <definedName name="STX4LODGAY1">#REF!</definedName>
    <definedName name="STX4LODGAY2">#REF!</definedName>
    <definedName name="STX4LODGAY3">#REF!</definedName>
    <definedName name="STX4LODGAY4">#REF!</definedName>
    <definedName name="STX4LODGAY5">#REF!</definedName>
    <definedName name="STX4LODGBY1">#REF!</definedName>
    <definedName name="STX4LODGBY2">#REF!</definedName>
    <definedName name="STX4LODGBY3">#REF!</definedName>
    <definedName name="STX4LODGBY4">#REF!</definedName>
    <definedName name="STX4LODGBY5">#REF!</definedName>
    <definedName name="STX4LODGCY1">#REF!</definedName>
    <definedName name="STX4LODGCY2">#REF!</definedName>
    <definedName name="STX4LODGCY3">#REF!</definedName>
    <definedName name="STX4LODGCY4">#REF!</definedName>
    <definedName name="STX4LODGCY5">#REF!</definedName>
    <definedName name="STX4LODGDY1">#REF!</definedName>
    <definedName name="STX4LODGDY2">#REF!</definedName>
    <definedName name="STX4LODGDY3">#REF!</definedName>
    <definedName name="STX4LODGDY4">#REF!</definedName>
    <definedName name="STX4LODGDY5">#REF!</definedName>
    <definedName name="STX4MIEAY1">#REF!</definedName>
    <definedName name="STX4MIEAY2">#REF!</definedName>
    <definedName name="STX4MIEAY3">#REF!</definedName>
    <definedName name="STX4MIEAY4">#REF!</definedName>
    <definedName name="STX4MIEAY5">#REF!</definedName>
    <definedName name="STX4MIEBY1">#REF!</definedName>
    <definedName name="STX4MIEBY2">#REF!</definedName>
    <definedName name="STX4MIEBY3">#REF!</definedName>
    <definedName name="STX4MIEBY4">#REF!</definedName>
    <definedName name="STX4MIEBY5">#REF!</definedName>
    <definedName name="STX4MIECY1">#REF!</definedName>
    <definedName name="STX4MIECY2">#REF!</definedName>
    <definedName name="STX4MIECY3">#REF!</definedName>
    <definedName name="STX4MIECY4">#REF!</definedName>
    <definedName name="STX4MIECY5">#REF!</definedName>
    <definedName name="STX4MIEDY1">#REF!</definedName>
    <definedName name="STX4MIEDY2">#REF!</definedName>
    <definedName name="STX4MIEDY3">#REF!</definedName>
    <definedName name="STX4MIEDY4">#REF!</definedName>
    <definedName name="STX4MIEDY5">#REF!</definedName>
    <definedName name="STX4PMY1">#REF!</definedName>
    <definedName name="STX4PMY2">#REF!</definedName>
    <definedName name="STX4PMY3">#REF!</definedName>
    <definedName name="STX4PMY4">#REF!</definedName>
    <definedName name="STX4PMY5">#REF!</definedName>
    <definedName name="STX5LODGAY1">#REF!</definedName>
    <definedName name="STX5LODGAY2">#REF!</definedName>
    <definedName name="STX5LODGAY3">#REF!</definedName>
    <definedName name="STX5LODGAY4">#REF!</definedName>
    <definedName name="STX5LODGAY5">#REF!</definedName>
    <definedName name="STX5LODGBY1">#REF!</definedName>
    <definedName name="STX5LODGBY2">#REF!</definedName>
    <definedName name="STX5LODGBY3">#REF!</definedName>
    <definedName name="STX5LODGBY4">#REF!</definedName>
    <definedName name="STX5LODGBY5">#REF!</definedName>
    <definedName name="STX5LODGCY1">#REF!</definedName>
    <definedName name="STX5LODGCY2">#REF!</definedName>
    <definedName name="STX5LODGCY3">#REF!</definedName>
    <definedName name="STX5LODGCY4">#REF!</definedName>
    <definedName name="STX5LODGCY5">#REF!</definedName>
    <definedName name="STX5LODGDY1">#REF!</definedName>
    <definedName name="STX5LODGDY2">#REF!</definedName>
    <definedName name="STX5LODGDY3">#REF!</definedName>
    <definedName name="STX5LODGDY4">#REF!</definedName>
    <definedName name="STX5LODGDY5">#REF!</definedName>
    <definedName name="STX5MIEAY1">#REF!</definedName>
    <definedName name="STX5MIEAY2">#REF!</definedName>
    <definedName name="STX5MIEAY3">#REF!</definedName>
    <definedName name="STX5MIEAY4">#REF!</definedName>
    <definedName name="STX5MIEAY5">#REF!</definedName>
    <definedName name="STX5MIEBY1">#REF!</definedName>
    <definedName name="STX5MIEBY2">#REF!</definedName>
    <definedName name="STX5MIEBY3">#REF!</definedName>
    <definedName name="STX5MIEBY4">#REF!</definedName>
    <definedName name="STX5MIEBY5">#REF!</definedName>
    <definedName name="STX5MIECY1">#REF!</definedName>
    <definedName name="STX5MIECY2">#REF!</definedName>
    <definedName name="STX5MIECY3">#REF!</definedName>
    <definedName name="STX5MIECY4">#REF!</definedName>
    <definedName name="STX5MIECY5">#REF!</definedName>
    <definedName name="STX5MIEDY1">#REF!</definedName>
    <definedName name="STX5MIEDY2">#REF!</definedName>
    <definedName name="STX5MIEDY3">#REF!</definedName>
    <definedName name="STX5MIEDY4">#REF!</definedName>
    <definedName name="STX5MIEDY5">#REF!</definedName>
    <definedName name="STX5PMY1">#REF!</definedName>
    <definedName name="STX5PMY2">#REF!</definedName>
    <definedName name="STX5PMY3">#REF!</definedName>
    <definedName name="STX5PMY4">#REF!</definedName>
    <definedName name="STX5PMY5">#REF!</definedName>
    <definedName name="STXLODGAY1">#REF!</definedName>
    <definedName name="STXLODGAY2">#REF!</definedName>
    <definedName name="STXLODGAY3">#REF!</definedName>
    <definedName name="STXLODGAY4">#REF!</definedName>
    <definedName name="STXLODGAY5">#REF!</definedName>
    <definedName name="STXLODGBY1">#REF!</definedName>
    <definedName name="STXLODGBY2">#REF!</definedName>
    <definedName name="STXLODGBY3">#REF!</definedName>
    <definedName name="STXLODGBY4">#REF!</definedName>
    <definedName name="STXLODGBY5">#REF!</definedName>
    <definedName name="STXLODGCY1">#REF!</definedName>
    <definedName name="STXLODGCY2">#REF!</definedName>
    <definedName name="STXLODGCY3">#REF!</definedName>
    <definedName name="STXLODGCY4">#REF!</definedName>
    <definedName name="STXLODGCY5">#REF!</definedName>
    <definedName name="STXLODGDY1">#REF!</definedName>
    <definedName name="STXLODGDY2">#REF!</definedName>
    <definedName name="STXLODGDY3">#REF!</definedName>
    <definedName name="STXLODGDY4">#REF!</definedName>
    <definedName name="STXLODGDY5">#REF!</definedName>
    <definedName name="STXMIEAY1">#REF!</definedName>
    <definedName name="STXMIEAY2">#REF!</definedName>
    <definedName name="STXMIEAY3">#REF!</definedName>
    <definedName name="STXMIEAY4">#REF!</definedName>
    <definedName name="STXMIEAY5">#REF!</definedName>
    <definedName name="STXMIEBY1">#REF!</definedName>
    <definedName name="STXMIEBY2">#REF!</definedName>
    <definedName name="STXMIEBY3">#REF!</definedName>
    <definedName name="STXMIEBY4">#REF!</definedName>
    <definedName name="STXMIEBY5">#REF!</definedName>
    <definedName name="STXMIECY1">#REF!</definedName>
    <definedName name="STXMIECY2">#REF!</definedName>
    <definedName name="STXMIECY3">#REF!</definedName>
    <definedName name="STXMIECY4">#REF!</definedName>
    <definedName name="STXMIECY5">#REF!</definedName>
    <definedName name="STXMIEDY1">#REF!</definedName>
    <definedName name="STXMIEDY2">#REF!</definedName>
    <definedName name="STXMIEDY3">#REF!</definedName>
    <definedName name="STXMIEDY4">#REF!</definedName>
    <definedName name="STXMIEDY5">#REF!</definedName>
    <definedName name="su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SUCRE">#REF!</definedName>
    <definedName name="Sueldos">#REF!</definedName>
    <definedName name="sugiura" localSheetId="5" hidden="1">{"'内訳表'!$B$2:$N$64"}</definedName>
    <definedName name="sugiura" hidden="1">{"'内訳表'!$B$2:$N$64"}</definedName>
    <definedName name="SUMINIS">#REF!</definedName>
    <definedName name="T.CARRO">#REF!</definedName>
    <definedName name="T_TRANS">#REF!</definedName>
    <definedName name="tabla">#REF!</definedName>
    <definedName name="TABLA_AN_VEG">#REF!</definedName>
    <definedName name="TABLA1">#REF!</definedName>
    <definedName name="tablaICBF">#REF!</definedName>
    <definedName name="Tamaño">#REF!</definedName>
    <definedName name="TCAC_2018">#REF!</definedName>
    <definedName name="Tecnico">#REF!</definedName>
    <definedName name="Tecnico_1">"['file://172.16.9.31/ArchivosICBF/DIRECCION%20TECNICA%20ICBF/Archivos%20FONADE/COSTEO%20DIAGNOSTICOS.xlsm'#$PERSONAL.$P$34]"</definedName>
    <definedName name="Telefono">#REF!</definedName>
    <definedName name="TEMATICA">#REF!</definedName>
    <definedName name="TEMÁTICA">#REF!</definedName>
    <definedName name="tipo">#REF!</definedName>
    <definedName name="tipo_1">"['file://172.16.9.31/ArchivosICBF/Users/Engree.Duica/AppData/Local/Microsoft/Windows/Temporary%20Internet%20Files/Content.Outlook/E4EMGSL4/EQUIPOS%20DE%20METROLOGIA/EQUIPOS%20METROLOGIA%20-%20SDI%20020713.xlsx'#$lista.$A$11:.$A$13]"</definedName>
    <definedName name="tipo_2">"['file://172.16.9.31/ArchivosICBF/Users/Engree.Duica/AppData/Local/Microsoft/Windows/Temporary%20Internet%20Files/Content.Outlook/E4EMGSL4/EQUIPOS%20DE%20METROLOGIA/EQUIPOS%20METROLOGIA%20-%20SDI%20020713.xlsx'#$lista.$A$11:.$A$13]"</definedName>
    <definedName name="tipo_3">"['file://172.16.9.31/ArchivosICBF/Users/Engree.Duica/AppData/Local/Microsoft/Windows/Temporary%20Internet%20Files/Content.Outlook/E4EMGSL4/EQUIPOS%20DE%20METROLOGIA/EQUIPOS%20METROLOGIA%20-%20SDI%20020713.xlsx'#$lista.$A$11:.$A$13]"</definedName>
    <definedName name="tipo10">#REF!</definedName>
    <definedName name="tipo11">#REF!</definedName>
    <definedName name="tipo12">#REF!</definedName>
    <definedName name="tipo14">#REF!</definedName>
    <definedName name="tipo2">#REF!</definedName>
    <definedName name="tipo3">#REF!</definedName>
    <definedName name="tipo4">#REF!</definedName>
    <definedName name="tipo5">#REF!</definedName>
    <definedName name="tipo6">#REF!</definedName>
    <definedName name="tipo7">#REF!</definedName>
    <definedName name="tipo8">#REF!</definedName>
    <definedName name="tipo9">#REF!</definedName>
    <definedName name="TIPOA">#REF!</definedName>
    <definedName name="TIPOB">#REF!</definedName>
    <definedName name="tipob2">#REF!</definedName>
    <definedName name="TIPOCONT">#REF!</definedName>
    <definedName name="tipodeanalisis">#REF!</definedName>
    <definedName name="TipoEmpresa">#REF!</definedName>
    <definedName name="TIPOOPERADOR">#REF!</definedName>
    <definedName name="tipoproceso">#REF!</definedName>
    <definedName name="TIPOS">#REF!</definedName>
    <definedName name="TipoTarifa">#REF!</definedName>
    <definedName name="TipoTarifaManejo">#REF!</definedName>
    <definedName name="TOLI">#REF!</definedName>
    <definedName name="TOLIMA">#REF!</definedName>
    <definedName name="TOMATE">#REF!</definedName>
    <definedName name="TotalContratoSinIVA">#REF!</definedName>
    <definedName name="TotalImpuestosObra">#REF!</definedName>
    <definedName name="TotalImpuestosObra_1">"['file://172.16.9.31/ArchivosICBF/DIRECCION%20TECNICA%20ICBF/Archivos%20FONADE/COSTEO%20DIAGNOSTICOS.xlsm'#$IMPUESTOS.$F$10]"</definedName>
    <definedName name="TQA">#REF!</definedName>
    <definedName name="TQC">#REF!</definedName>
    <definedName name="TQX">#REF!</definedName>
    <definedName name="Tramite">#REF!</definedName>
    <definedName name="Tramite_1">"['file://172.16.9.31/ArchivosICBF/DIRECCION%20TECNICA%20ICBF/Archivos%20FONADE/COSTEO%20DIAGNOSTICOS.xlsm'#$PERSONAL.$P$88]"</definedName>
    <definedName name="TSERVICIOS">#REF!</definedName>
    <definedName name="tta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UNIDADMOBIL">#REF!</definedName>
    <definedName name="URBANA">#REF!</definedName>
    <definedName name="USD">#REF!</definedName>
    <definedName name="USFARE">#REF!</definedName>
    <definedName name="v" hidden="1">#REF!</definedName>
    <definedName name="v_1">#REF!</definedName>
    <definedName name="VALL">#REF!</definedName>
    <definedName name="VALLE_DEL_CAUCA">#REF!</definedName>
    <definedName name="VALLEDELCAUCA">#REF!</definedName>
    <definedName name="Valor_mes_No_facturable">#REF!</definedName>
    <definedName name="Valor_mes_Profesionales">#REF!</definedName>
    <definedName name="Valor_mes_técnico">#REF!</definedName>
    <definedName name="Valor_mes_Técnicos">#REF!</definedName>
    <definedName name="Valor_oficina">#REF!</definedName>
    <definedName name="Valor_personal_no">#REF!</definedName>
    <definedName name="Valor_personal_técnico">#REF!</definedName>
    <definedName name="VALOR_TOTAL">#REF!</definedName>
    <definedName name="Valor_total_profesionales">#REF!</definedName>
    <definedName name="VAUP">#REF!</definedName>
    <definedName name="VAUPES">#REF!</definedName>
    <definedName name="VAUPÉS">#REF!</definedName>
    <definedName name="venc">#REF!</definedName>
    <definedName name="verduras">#REF!</definedName>
    <definedName name="Viajes">#REF!</definedName>
    <definedName name="Viajes_1">"['file://172.16.9.31/ArchivosICBF/DIRECCION%20TECNICA%20ICBF/Archivos%20FONADE/COSTEO%20DIAGNOSTICOS.xlsm'#$PERSONAL.$P$93]"</definedName>
    <definedName name="VICH">#REF!</definedName>
    <definedName name="VICHADA">#REF!</definedName>
    <definedName name="Visita">#REF!</definedName>
    <definedName name="VOLLODGAY1">#REF!</definedName>
    <definedName name="VOLLODGAY2">#REF!</definedName>
    <definedName name="VOLLODGAY3">#REF!</definedName>
    <definedName name="VOLLODGAY4">#REF!</definedName>
    <definedName name="VOLLODGAY5">#REF!</definedName>
    <definedName name="VOLLODGCY1">#REF!</definedName>
    <definedName name="VOLLODGCY2">#REF!</definedName>
    <definedName name="VOLLODGCY3">#REF!</definedName>
    <definedName name="VOLLODGCY4">#REF!</definedName>
    <definedName name="VOLLODGCY5">#REF!</definedName>
    <definedName name="VOLLODGDY1">#REF!</definedName>
    <definedName name="VOLLODGDY2">#REF!</definedName>
    <definedName name="VOLLODGDY3">#REF!</definedName>
    <definedName name="VOLLODGDY4">#REF!</definedName>
    <definedName name="VOLLODGDY5">#REF!</definedName>
    <definedName name="VOLMIEAY1">#REF!</definedName>
    <definedName name="VOLMIEAY2">#REF!</definedName>
    <definedName name="VOLMIEAY3">#REF!</definedName>
    <definedName name="VOLMIEAY4">#REF!</definedName>
    <definedName name="VOLMIEAY5">#REF!</definedName>
    <definedName name="VOLMIECY1">#REF!</definedName>
    <definedName name="VOLMIECY2">#REF!</definedName>
    <definedName name="VOLMIECY3">#REF!</definedName>
    <definedName name="VOLMIECY4">#REF!</definedName>
    <definedName name="VOLMIECY5">#REF!</definedName>
    <definedName name="VOLMIEDY1">#REF!</definedName>
    <definedName name="VOLMIEDY2">#REF!</definedName>
    <definedName name="VOLMIEDY3">#REF!</definedName>
    <definedName name="VOLMIEDY4">#REF!</definedName>
    <definedName name="VOLMIEDY5">#REF!</definedName>
    <definedName name="VOLPD1">#REF!</definedName>
    <definedName name="VOLPD1LODG">#REF!</definedName>
    <definedName name="VOLPD1MIE">#REF!</definedName>
    <definedName name="VOLPD2">#REF!</definedName>
    <definedName name="VOLPD2LODG">#REF!</definedName>
    <definedName name="VOLPD2MIE">#REF!</definedName>
    <definedName name="VPMY1">#REF!</definedName>
    <definedName name="VPMY2">#REF!</definedName>
    <definedName name="VPMY3">#REF!</definedName>
    <definedName name="VPMY4">#REF!</definedName>
    <definedName name="VPMY5">#REF!</definedName>
    <definedName name="VPMY6">#REF!</definedName>
    <definedName name="VVV" hidden="1">#REF!</definedName>
    <definedName name="W">#REF!</definedName>
    <definedName name="wedfwdfwd">#REF!</definedName>
    <definedName name="whrt" localSheetId="5" hidden="1">{"'内訳表'!$B$2:$N$64"}</definedName>
    <definedName name="whrt" hidden="1">{"'内訳表'!$B$2:$N$64"}</definedName>
    <definedName name="wrn.100." localSheetId="5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5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5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_1">"{#n/a,#n/a,FALSE,""KEGELLE 1 (2)"";#n/a,#n/a,FALSE,""KEGELLE 2 (2)"";#n/a,#n/a,FALSE,""KEGELLE 3 (2)"";#n/a,#n/a,FALSE,""KEGELLE 4 (2)"";#n/a,#n/a,FALSE,""KEGELLE 5 (2)"";#n/a,#n/a,FALSE,""KEGELLE 6 (2)"";#n/a,#n/a,FALSE,""KEGELLE 7 (2)""}"</definedName>
    <definedName name="wrn.66." localSheetId="5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_1">"{#n/a,#n/a,FALSE,""KEGELLE 1 (3)"";#n/a,#n/a,FALSE,""KEGELLE 2 (3)"";#n/a,#n/a,FALSE,""KEGELLE 3 (3)"";#n/a,#n/a,FALSE,""KEGELLE 4 (3)"";#n/a,#n/a,FALSE,""KEGELLE 5 (3)"";#n/a,#n/a,FALSE,""KEGELLE 6 (3)"";#n/a,#n/a,FALSE,""KEGELLE 7 (3)""}"</definedName>
    <definedName name="wrn.89." localSheetId="5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89._1">"{#n/a,#n/a,FALSE,""KEGELLE 2"";#n/a,#n/a,FALSE,""KEGELLE 3"";#n/a,#n/a,FALSE,""KEGELLE 4"";#n/a,#n/a,FALSE,""KEGELLE 5"";#n/a,#n/a,FALSE,""KEGELLE 6"";#n/a,#n/a,FALSE,""KEGELLE 7""}"</definedName>
    <definedName name="wrn.90." localSheetId="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5" hidden="1">{#N/A,#N/A,TRUE,"Report"}</definedName>
    <definedName name="wrn.Capacity._.Calculations._.for._.FM3." hidden="1">{#N/A,#N/A,TRUE,"Report"}</definedName>
    <definedName name="wrn.Capacity._.Calculations._.for._.FM3._1">"{#n/a,#n/a,TRUE,""Report""}"</definedName>
    <definedName name="wrn.GGP1." localSheetId="5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1._1">"{#n/a,#n/a,TRUE,""TOT-GGRAL"";#n/a,#n/a,TRUE,""G1000"";#n/a,#n/a,TRUE,""G1200"";#n/a,#n/a,TRUE,""G1400""}"</definedName>
    <definedName name="wrn.GGP2." localSheetId="5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2._1">"{#n/a,#n/a,TRUE,""TOT-GGRAL"";#n/a,#n/a,TRUE,""G1000"";#n/a,#n/a,TRUE,""G1200"";#n/a,#n/a,TRUE,""G1400""}"</definedName>
    <definedName name="wrn.GGP3." localSheetId="5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3._1">"{#n/a,#n/a,TRUE,""TOT-GGRAL"";#n/a,#n/a,TRUE,""G1000"";#n/a,#n/a,TRUE,""G1200"";#n/a,#n/a,TRUE,""G1400""}"</definedName>
    <definedName name="wrn.GGP4." localSheetId="5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4._1">"{#n/a,#n/a,TRUE,""TOT-GGRAL"";#n/a,#n/a,TRUE,""G1000"";#n/a,#n/a,TRUE,""G1200"";#n/a,#n/a,TRUE,""G1400""}"</definedName>
    <definedName name="wrn.GGP5." localSheetId="5" hidden="1">{#N/A,#N/A,TRUE,"TOT-GGRAL"}</definedName>
    <definedName name="wrn.GGP5." hidden="1">{#N/A,#N/A,TRUE,"TOT-GGRAL"}</definedName>
    <definedName name="wrn.GGP5._1">"{#n/a,#n/a,TRUE,""TOT-GGRAL""}"</definedName>
    <definedName name="wrn.julio24." localSheetId="5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julio24._1">"{#n/a,#n/a,FALSE,""310.1"";#n/a,#n/a,FALSE,""321.1"";#n/a,#n/a,FALSE,""320.3"";#n/a,#n/a,FALSE,""330.1""}"</definedName>
    <definedName name="wrn.LPU._.MG.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_1">"{""MG-2002-F1"";#n/a,FALSE,""PPU-Telemig"";""MG-2002-F2"",#n/a,FALSE,""PPU-Telemig"";""MG-2002-F3"",#n/a,FALSE,""PPU-Telemig"";""MG-2002-F4"",#n/a,FALSE,""PPU-Telemig"";""MG-2003-F1"",#n/a,FALSE,""PPU-Telemig"";""MG-2004-F1"",#n/a,FALSE,""PPU-Telemig""}"</definedName>
    <definedName name="wrn.SUPPLY." localSheetId="5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_1">"{#n/a,#n/a,FALSE,""POLONNA 8"";#n/a,#n/a,FALSE,""POLONNA 7"";#n/a,#n/a,FALSE,""POLONNA 6"";#n/a,#n/a,FALSE,""POLONNA 5 "";#n/a,#n/a,FALSE,""POLONNA 3"";#n/a,#n/a,FALSE,""POLONNA 4"";#n/a,#n/a,FALSE,""POLONNA 2"";#n/a,#n/a,FALSE,""POLONNA 1""}"</definedName>
    <definedName name="wrn.TOTAL." localSheetId="5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5" hidden="1">{#N/A,#N/A,TRUE,"Report"}</definedName>
    <definedName name="ww" hidden="1">{#N/A,#N/A,TRUE,"Report"}</definedName>
    <definedName name="ww_1">"{#n/a,#n/a,TRUE,""Report""}"</definedName>
    <definedName name="WWW">#REF!</definedName>
    <definedName name="x">#REF!</definedName>
    <definedName name="x_1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2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_3">"['file://172.16.9.31/ArchivosICBF/Users/Engree.Duica/AppData/Local/Microsoft/Windows/Temporary%20Internet%20Files/Content.Outlook/E4EMGSL4/DEVUELTOS/EQUIPOS%20DE%20METROLOGIA/SDI/EQUIPOS%20METROLOGIA%20-%20SDI%20020713.xlsx'#$lista.$A$11:.$A$13]"</definedName>
    <definedName name="XMesPersonalPromedio">#REF!</definedName>
    <definedName name="XMesProfesionales">#REF!</definedName>
    <definedName name="XMesTecnicos">#REF!</definedName>
    <definedName name="XXX" hidden="1">#REF!</definedName>
    <definedName name="xxxx" localSheetId="5" hidden="1">{"'内訳表'!$B$2:$N$64"}</definedName>
    <definedName name="xxxx" hidden="1">{"'内訳表'!$B$2:$N$64"}</definedName>
    <definedName name="z" hidden="1">#REF!</definedName>
    <definedName name="z_1">#REF!</definedName>
    <definedName name="Z_ABCCF9B4_4F75_4F3B_AAD2_54E1C063315C_.wvu.Cols" hidden="1">#REF!</definedName>
    <definedName name="Z_ABCCF9B4_4F75_4F3B_AAD2_54E1C063315C_.wvu.Cols_1">#REF!</definedName>
    <definedName name="Z_ABCCF9B4_4F75_4F3B_AAD2_54E1C063315C_.wvu.FilterData" hidden="1">#REF!</definedName>
    <definedName name="Z_ABCCF9B4_4F75_4F3B_AAD2_54E1C063315C_.wvu.FilterData_1">#REF!</definedName>
    <definedName name="Z_ABCCF9B4_4F75_4F3B_AAD2_54E1C063315C_.wvu.PrintArea" hidden="1">#REF!</definedName>
    <definedName name="Z_ABCCF9B4_4F75_4F3B_AAD2_54E1C063315C_.wvu.PrintArea_1">#REF!</definedName>
    <definedName name="ZETA">#REF!</definedName>
    <definedName name="ZZ">#REF!</definedName>
    <definedName name="zzz">#REF!</definedName>
    <definedName name="zzz_1">"['file://172.16.9.31/ArchivosICBF/CONSOLIDADO_GENERAL_SEDES_PAE_15022010.xlsx'#$Listas.$B$2:.$B$34]"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48" i="22" l="1"/>
  <c r="AJ39" i="22"/>
  <c r="AJ37" i="22"/>
  <c r="AJ35" i="22"/>
  <c r="AH41" i="22"/>
  <c r="R8" i="22"/>
  <c r="P8" i="22"/>
  <c r="N8" i="22"/>
  <c r="V8" i="22" s="1"/>
  <c r="AH9" i="22"/>
  <c r="AH10" i="22"/>
  <c r="AH11" i="22"/>
  <c r="AH12" i="22"/>
  <c r="AH13" i="22"/>
  <c r="AH14" i="22"/>
  <c r="AH15" i="22"/>
  <c r="AH16" i="22"/>
  <c r="AH8" i="22"/>
  <c r="Z46" i="22"/>
  <c r="Y46" i="22"/>
  <c r="R9" i="22"/>
  <c r="R10" i="22"/>
  <c r="R11" i="22"/>
  <c r="R12" i="22"/>
  <c r="R13" i="22"/>
  <c r="R14" i="22"/>
  <c r="R15" i="22"/>
  <c r="R16" i="22"/>
  <c r="P9" i="22"/>
  <c r="P10" i="22"/>
  <c r="P11" i="22"/>
  <c r="P12" i="22"/>
  <c r="P13" i="22"/>
  <c r="P14" i="22"/>
  <c r="P15" i="22"/>
  <c r="P16" i="22"/>
  <c r="N9" i="22"/>
  <c r="N10" i="22"/>
  <c r="N11" i="22"/>
  <c r="N12" i="22"/>
  <c r="N13" i="22"/>
  <c r="N14" i="22"/>
  <c r="N15" i="22"/>
  <c r="N16" i="22"/>
  <c r="E9" i="22"/>
  <c r="E10" i="22"/>
  <c r="E11" i="22"/>
  <c r="E12" i="22"/>
  <c r="E13" i="22"/>
  <c r="E14" i="22"/>
  <c r="E15" i="22"/>
  <c r="E16" i="22"/>
  <c r="E8" i="22"/>
  <c r="L4" i="22" l="1"/>
  <c r="M4" i="22" s="1"/>
  <c r="H4" i="22"/>
  <c r="I4" i="22" s="1"/>
  <c r="F4" i="22"/>
  <c r="G4" i="22" s="1"/>
  <c r="W8" i="22"/>
  <c r="AI8" i="22"/>
  <c r="V16" i="22"/>
  <c r="V12" i="22"/>
  <c r="V13" i="22"/>
  <c r="V9" i="22"/>
  <c r="V14" i="22"/>
  <c r="V10" i="22"/>
  <c r="V15" i="22"/>
  <c r="V11" i="22"/>
  <c r="J4" i="22"/>
  <c r="K4" i="22" s="1"/>
  <c r="W11" i="22" l="1"/>
  <c r="AI11" i="22"/>
  <c r="W15" i="22"/>
  <c r="AI15" i="22"/>
  <c r="W10" i="22"/>
  <c r="AI10" i="22"/>
  <c r="W14" i="22"/>
  <c r="AI14" i="22"/>
  <c r="W9" i="22"/>
  <c r="AI9" i="22"/>
  <c r="W13" i="22"/>
  <c r="AI13" i="22"/>
  <c r="W12" i="22"/>
  <c r="AI12" i="22"/>
  <c r="W16" i="22"/>
  <c r="AI16" i="22"/>
  <c r="Y8" i="22"/>
  <c r="Z8" i="22" s="1"/>
  <c r="AC8" i="22" s="1"/>
  <c r="AA8" i="22" l="1"/>
  <c r="AE41" i="22" l="1"/>
  <c r="J26" i="22"/>
  <c r="H26" i="22"/>
  <c r="F26" i="22"/>
  <c r="L24" i="22"/>
  <c r="J24" i="22"/>
  <c r="L21" i="22"/>
  <c r="L19" i="22"/>
  <c r="L18" i="22"/>
  <c r="M16" i="22"/>
  <c r="K16" i="22"/>
  <c r="I16" i="22"/>
  <c r="G16" i="22"/>
  <c r="M15" i="22"/>
  <c r="K15" i="22"/>
  <c r="I15" i="22"/>
  <c r="G15" i="22"/>
  <c r="M14" i="22"/>
  <c r="K14" i="22"/>
  <c r="I14" i="22"/>
  <c r="G14" i="22"/>
  <c r="M13" i="22"/>
  <c r="K13" i="22"/>
  <c r="I13" i="22"/>
  <c r="G13" i="22"/>
  <c r="M12" i="22"/>
  <c r="K12" i="22"/>
  <c r="I12" i="22"/>
  <c r="G12" i="22"/>
  <c r="M11" i="22"/>
  <c r="K11" i="22"/>
  <c r="I11" i="22"/>
  <c r="G11" i="22"/>
  <c r="M10" i="22"/>
  <c r="K10" i="22"/>
  <c r="I10" i="22"/>
  <c r="G10" i="22"/>
  <c r="M9" i="22"/>
  <c r="K9" i="22"/>
  <c r="I9" i="22"/>
  <c r="G9" i="22"/>
  <c r="M8" i="22"/>
  <c r="K8" i="22"/>
  <c r="I8" i="22"/>
  <c r="G8" i="22"/>
  <c r="AQ6" i="22"/>
  <c r="V4" i="22"/>
  <c r="W4" i="22" s="1"/>
  <c r="Y4" i="22" s="1"/>
  <c r="AQ6" i="17"/>
  <c r="AL9" i="17"/>
  <c r="AL10" i="17"/>
  <c r="AL11" i="17"/>
  <c r="AL12" i="17"/>
  <c r="AL13" i="17"/>
  <c r="AL14" i="17"/>
  <c r="AL15" i="17"/>
  <c r="AL16" i="17"/>
  <c r="AL8" i="17"/>
  <c r="AJ9" i="17"/>
  <c r="AJ10" i="17"/>
  <c r="AJ11" i="17"/>
  <c r="AJ12" i="17"/>
  <c r="AJ13" i="17"/>
  <c r="AJ14" i="17"/>
  <c r="AJ15" i="17"/>
  <c r="AJ16" i="17"/>
  <c r="AJ8" i="17"/>
  <c r="W11" i="17"/>
  <c r="AI11" i="17" s="1"/>
  <c r="AI9" i="17"/>
  <c r="AI10" i="17"/>
  <c r="AI12" i="17"/>
  <c r="AI13" i="17"/>
  <c r="AI14" i="17"/>
  <c r="AI15" i="17"/>
  <c r="AI16" i="17"/>
  <c r="AI8" i="17"/>
  <c r="X13" i="21"/>
  <c r="T13" i="21"/>
  <c r="R13" i="21"/>
  <c r="O13" i="21"/>
  <c r="N13" i="21"/>
  <c r="M13" i="21"/>
  <c r="L13" i="21"/>
  <c r="S13" i="21" s="1"/>
  <c r="G13" i="21"/>
  <c r="G9" i="21"/>
  <c r="G10" i="21"/>
  <c r="G11" i="21"/>
  <c r="G12" i="21"/>
  <c r="G14" i="21"/>
  <c r="G8" i="21"/>
  <c r="G7" i="21"/>
  <c r="G6" i="21"/>
  <c r="X14" i="21"/>
  <c r="T14" i="21"/>
  <c r="R14" i="21"/>
  <c r="O14" i="21"/>
  <c r="N14" i="21"/>
  <c r="M14" i="21"/>
  <c r="L14" i="21"/>
  <c r="P14" i="21" s="1"/>
  <c r="D21" i="21"/>
  <c r="X12" i="21"/>
  <c r="T12" i="21"/>
  <c r="R12" i="21"/>
  <c r="O12" i="21"/>
  <c r="N12" i="21"/>
  <c r="M12" i="21"/>
  <c r="L12" i="21"/>
  <c r="S12" i="21" s="1"/>
  <c r="K11" i="21"/>
  <c r="M11" i="21" s="1"/>
  <c r="K10" i="21"/>
  <c r="X10" i="21" s="1"/>
  <c r="K9" i="21"/>
  <c r="K8" i="21"/>
  <c r="K7" i="21"/>
  <c r="M7" i="21" s="1"/>
  <c r="K6" i="21"/>
  <c r="X6" i="21" s="1"/>
  <c r="O18" i="22" l="1"/>
  <c r="Q18" i="22"/>
  <c r="S18" i="22"/>
  <c r="Q21" i="22"/>
  <c r="S21" i="22"/>
  <c r="O21" i="22"/>
  <c r="O19" i="22"/>
  <c r="Q19" i="22"/>
  <c r="S19" i="22"/>
  <c r="J25" i="22"/>
  <c r="J27" i="22" s="1"/>
  <c r="J28" i="22" s="1"/>
  <c r="J29" i="22" s="1"/>
  <c r="F25" i="22"/>
  <c r="H25" i="22"/>
  <c r="H27" i="22" s="1"/>
  <c r="H28" i="22" s="1"/>
  <c r="H29" i="22" s="1"/>
  <c r="L25" i="22"/>
  <c r="L26" i="22"/>
  <c r="O26" i="22" s="1"/>
  <c r="Q13" i="21"/>
  <c r="U13" i="21"/>
  <c r="P13" i="21"/>
  <c r="L7" i="21"/>
  <c r="U7" i="21" s="1"/>
  <c r="L11" i="21"/>
  <c r="U11" i="21" s="1"/>
  <c r="N7" i="21"/>
  <c r="N11" i="21"/>
  <c r="V13" i="21"/>
  <c r="X7" i="21"/>
  <c r="X11" i="21"/>
  <c r="Q14" i="21"/>
  <c r="U14" i="21"/>
  <c r="R7" i="21"/>
  <c r="R11" i="21"/>
  <c r="S14" i="21"/>
  <c r="V14" i="21"/>
  <c r="R9" i="21"/>
  <c r="M6" i="21"/>
  <c r="L9" i="21"/>
  <c r="S9" i="21" s="1"/>
  <c r="T9" i="21"/>
  <c r="M10" i="21"/>
  <c r="M9" i="21"/>
  <c r="X9" i="21"/>
  <c r="T7" i="21"/>
  <c r="N9" i="21"/>
  <c r="T11" i="21"/>
  <c r="P9" i="21"/>
  <c r="P12" i="21"/>
  <c r="N6" i="21"/>
  <c r="R6" i="21"/>
  <c r="O7" i="21"/>
  <c r="S7" i="21"/>
  <c r="L8" i="21"/>
  <c r="T8" i="21"/>
  <c r="X8" i="21"/>
  <c r="Q9" i="21"/>
  <c r="U9" i="21"/>
  <c r="N10" i="21"/>
  <c r="R10" i="21"/>
  <c r="O11" i="21"/>
  <c r="S11" i="21"/>
  <c r="Q12" i="21"/>
  <c r="U12" i="21"/>
  <c r="P7" i="21"/>
  <c r="O10" i="21"/>
  <c r="O8" i="21"/>
  <c r="O6" i="21"/>
  <c r="M8" i="21"/>
  <c r="L6" i="21"/>
  <c r="P6" i="21"/>
  <c r="T6" i="21"/>
  <c r="Q7" i="21"/>
  <c r="N8" i="21"/>
  <c r="R8" i="21"/>
  <c r="O9" i="21"/>
  <c r="L10" i="21"/>
  <c r="P10" i="21" s="1"/>
  <c r="T10" i="21"/>
  <c r="Q11" i="21"/>
  <c r="W18" i="22" l="1"/>
  <c r="O25" i="22"/>
  <c r="W21" i="22"/>
  <c r="V21" i="22" s="1"/>
  <c r="W19" i="22"/>
  <c r="Q26" i="22"/>
  <c r="S26" i="22"/>
  <c r="F27" i="22"/>
  <c r="S25" i="22"/>
  <c r="Q25" i="22"/>
  <c r="Y12" i="22"/>
  <c r="Z12" i="22" s="1"/>
  <c r="L27" i="22"/>
  <c r="W13" i="21"/>
  <c r="Y13" i="21"/>
  <c r="P11" i="21"/>
  <c r="V11" i="21" s="1"/>
  <c r="V12" i="21"/>
  <c r="W12" i="21" s="1"/>
  <c r="V9" i="21"/>
  <c r="V7" i="21"/>
  <c r="Y7" i="21" s="1"/>
  <c r="S10" i="21"/>
  <c r="W14" i="21"/>
  <c r="Y14" i="21"/>
  <c r="W9" i="21"/>
  <c r="Y9" i="21"/>
  <c r="U8" i="21"/>
  <c r="Q8" i="21"/>
  <c r="U6" i="21"/>
  <c r="Q6" i="21"/>
  <c r="V6" i="21" s="1"/>
  <c r="Q10" i="21"/>
  <c r="U10" i="21"/>
  <c r="S6" i="21"/>
  <c r="S8" i="21"/>
  <c r="P8" i="21"/>
  <c r="V19" i="22" l="1"/>
  <c r="Y19" i="22" s="1"/>
  <c r="Z19" i="22" s="1"/>
  <c r="AC19" i="22" s="1"/>
  <c r="W25" i="22"/>
  <c r="V18" i="22"/>
  <c r="AA12" i="22"/>
  <c r="AC12" i="22"/>
  <c r="W26" i="22"/>
  <c r="Y21" i="22"/>
  <c r="Z21" i="22" s="1"/>
  <c r="AC21" i="22" s="1"/>
  <c r="Q27" i="22"/>
  <c r="O27" i="22"/>
  <c r="S27" i="22"/>
  <c r="F28" i="22"/>
  <c r="Y15" i="22"/>
  <c r="Z15" i="22" s="1"/>
  <c r="Y9" i="22"/>
  <c r="Z9" i="22" s="1"/>
  <c r="Y11" i="22"/>
  <c r="Z11" i="22" s="1"/>
  <c r="Y10" i="22"/>
  <c r="Z10" i="22" s="1"/>
  <c r="Y16" i="22"/>
  <c r="Z16" i="22" s="1"/>
  <c r="Y13" i="22"/>
  <c r="Z13" i="22" s="1"/>
  <c r="AC13" i="22" s="1"/>
  <c r="Y14" i="22"/>
  <c r="Z14" i="22" s="1"/>
  <c r="AJ12" i="22"/>
  <c r="L28" i="22"/>
  <c r="L29" i="22" s="1"/>
  <c r="Y11" i="21"/>
  <c r="W11" i="21"/>
  <c r="Y12" i="21"/>
  <c r="AA13" i="21"/>
  <c r="AB13" i="21" s="1"/>
  <c r="Z13" i="21"/>
  <c r="V8" i="21"/>
  <c r="W7" i="21"/>
  <c r="AA14" i="21"/>
  <c r="AB14" i="21" s="1"/>
  <c r="Z14" i="21"/>
  <c r="W8" i="21"/>
  <c r="Y8" i="21"/>
  <c r="Y6" i="21"/>
  <c r="W6" i="21"/>
  <c r="Z11" i="21"/>
  <c r="AA11" i="21"/>
  <c r="AB11" i="21" s="1"/>
  <c r="Z7" i="21"/>
  <c r="AA7" i="21"/>
  <c r="AB7" i="21" s="1"/>
  <c r="AA12" i="21"/>
  <c r="AB12" i="21" s="1"/>
  <c r="AA9" i="21"/>
  <c r="AB9" i="21" s="1"/>
  <c r="Z9" i="21"/>
  <c r="V10" i="21"/>
  <c r="AA14" i="22" l="1"/>
  <c r="AC14" i="22"/>
  <c r="AA16" i="22"/>
  <c r="AC16" i="22"/>
  <c r="AA15" i="22"/>
  <c r="AC15" i="22"/>
  <c r="AA11" i="22"/>
  <c r="AC11" i="22"/>
  <c r="AA9" i="22"/>
  <c r="AC9" i="22"/>
  <c r="AA10" i="22"/>
  <c r="AC10" i="22"/>
  <c r="Y18" i="22"/>
  <c r="Z18" i="22" s="1"/>
  <c r="W27" i="22"/>
  <c r="W28" i="22" s="1"/>
  <c r="AA13" i="22"/>
  <c r="AA21" i="22"/>
  <c r="AA26" i="22" s="1"/>
  <c r="AD19" i="22"/>
  <c r="AE19" i="22" s="1"/>
  <c r="F29" i="22"/>
  <c r="S28" i="22"/>
  <c r="O28" i="22"/>
  <c r="Q28" i="22"/>
  <c r="W22" i="22"/>
  <c r="AD12" i="22"/>
  <c r="AE12" i="22" s="1"/>
  <c r="AJ8" i="22"/>
  <c r="AJ10" i="22"/>
  <c r="AJ16" i="22"/>
  <c r="AJ14" i="22"/>
  <c r="AJ9" i="22"/>
  <c r="AJ15" i="22"/>
  <c r="AJ13" i="22"/>
  <c r="AJ11" i="22"/>
  <c r="Z12" i="21"/>
  <c r="Z8" i="21"/>
  <c r="AA8" i="21"/>
  <c r="AB8" i="21" s="1"/>
  <c r="Y10" i="21"/>
  <c r="W10" i="21"/>
  <c r="AA6" i="21"/>
  <c r="AB6" i="21" s="1"/>
  <c r="Z6" i="21"/>
  <c r="AA18" i="22" l="1"/>
  <c r="AC18" i="22"/>
  <c r="AD18" i="22" s="1"/>
  <c r="AE18" i="22" s="1"/>
  <c r="AD21" i="22"/>
  <c r="AE21" i="22" s="1"/>
  <c r="AE26" i="22" s="1"/>
  <c r="AG26" i="22" s="1"/>
  <c r="AA19" i="22"/>
  <c r="AD16" i="22"/>
  <c r="AE16" i="22" s="1"/>
  <c r="AD8" i="22"/>
  <c r="AE8" i="22" s="1"/>
  <c r="AD15" i="22"/>
  <c r="AE15" i="22" s="1"/>
  <c r="AD10" i="22"/>
  <c r="AE10" i="22" s="1"/>
  <c r="AD11" i="22"/>
  <c r="AE11" i="22" s="1"/>
  <c r="AD14" i="22"/>
  <c r="AE14" i="22" s="1"/>
  <c r="AD13" i="22"/>
  <c r="AE13" i="22" s="1"/>
  <c r="AA10" i="21"/>
  <c r="AB10" i="21" s="1"/>
  <c r="Z10" i="21"/>
  <c r="AA22" i="22" l="1"/>
  <c r="AA25" i="22"/>
  <c r="AD9" i="22"/>
  <c r="W29" i="22"/>
  <c r="W35" i="22" s="1"/>
  <c r="AA35" i="22" s="1"/>
  <c r="AG26" i="17"/>
  <c r="G16" i="17"/>
  <c r="G13" i="17"/>
  <c r="N8" i="17"/>
  <c r="N5" i="18"/>
  <c r="O9" i="18"/>
  <c r="O14" i="18"/>
  <c r="N14" i="18"/>
  <c r="M14" i="18"/>
  <c r="L14" i="18"/>
  <c r="M13" i="17"/>
  <c r="AE36" i="22" l="1"/>
  <c r="AI35" i="22"/>
  <c r="AE9" i="22"/>
  <c r="AE22" i="22" s="1"/>
  <c r="AA27" i="22"/>
  <c r="AA28" i="22" s="1"/>
  <c r="W30" i="22"/>
  <c r="I16" i="17"/>
  <c r="AE25" i="22" l="1"/>
  <c r="AE27" i="22" s="1"/>
  <c r="AE28" i="22" s="1"/>
  <c r="AE29" i="22" s="1"/>
  <c r="W39" i="22" s="1"/>
  <c r="AA29" i="22"/>
  <c r="K13" i="17"/>
  <c r="I13" i="17"/>
  <c r="G8" i="17"/>
  <c r="AA30" i="22" l="1"/>
  <c r="Z30" i="22" s="1"/>
  <c r="W37" i="22"/>
  <c r="AA37" i="22" s="1"/>
  <c r="AI37" i="22" s="1"/>
  <c r="AG27" i="22"/>
  <c r="AG25" i="22"/>
  <c r="AE30" i="22"/>
  <c r="AA39" i="22"/>
  <c r="AG28" i="22"/>
  <c r="G11" i="17"/>
  <c r="AE40" i="22" l="1"/>
  <c r="AI39" i="22"/>
  <c r="AG29" i="22"/>
  <c r="AE38" i="22"/>
  <c r="AA41" i="22"/>
  <c r="AE42" i="22" s="1"/>
  <c r="AD30" i="22"/>
  <c r="G14" i="17"/>
  <c r="N9" i="18"/>
  <c r="AG30" i="22" l="1"/>
  <c r="M22" i="18"/>
  <c r="Q22" i="18" s="1"/>
  <c r="F22" i="18"/>
  <c r="F21" i="18"/>
  <c r="M21" i="18" s="1"/>
  <c r="N20" i="18"/>
  <c r="O20" i="18" s="1"/>
  <c r="M20" i="18"/>
  <c r="Q20" i="18" s="1"/>
  <c r="F20" i="18"/>
  <c r="I20" i="18" s="1"/>
  <c r="M17" i="18"/>
  <c r="N17" i="18" s="1"/>
  <c r="L17" i="18"/>
  <c r="H17" i="18"/>
  <c r="I17" i="18" s="1"/>
  <c r="L16" i="18"/>
  <c r="M16" i="18" s="1"/>
  <c r="N16" i="18" s="1"/>
  <c r="I16" i="18"/>
  <c r="H16" i="18"/>
  <c r="L15" i="18"/>
  <c r="M15" i="18" s="1"/>
  <c r="N15" i="18" s="1"/>
  <c r="I15" i="18"/>
  <c r="H15" i="18"/>
  <c r="Q14" i="18"/>
  <c r="H14" i="18"/>
  <c r="I14" i="18" s="1"/>
  <c r="M13" i="18"/>
  <c r="N13" i="18" s="1"/>
  <c r="L13" i="18"/>
  <c r="H13" i="18"/>
  <c r="I13" i="18" s="1"/>
  <c r="L12" i="18"/>
  <c r="M12" i="18" s="1"/>
  <c r="N12" i="18" s="1"/>
  <c r="I12" i="18"/>
  <c r="H12" i="18"/>
  <c r="L11" i="18"/>
  <c r="M11" i="18" s="1"/>
  <c r="N11" i="18" s="1"/>
  <c r="I11" i="18"/>
  <c r="H11" i="18"/>
  <c r="N10" i="18"/>
  <c r="Q10" i="18" s="1"/>
  <c r="M10" i="18"/>
  <c r="L10" i="18"/>
  <c r="H10" i="18"/>
  <c r="I10" i="18" s="1"/>
  <c r="M9" i="18"/>
  <c r="L9" i="18"/>
  <c r="H9" i="18"/>
  <c r="I9" i="18" s="1"/>
  <c r="M16" i="17"/>
  <c r="M11" i="17"/>
  <c r="M10" i="17"/>
  <c r="M9" i="17"/>
  <c r="M8" i="17"/>
  <c r="L21" i="17"/>
  <c r="P21" i="17" s="1"/>
  <c r="L19" i="17"/>
  <c r="O19" i="17" s="1"/>
  <c r="L18" i="17"/>
  <c r="O18" i="17" s="1"/>
  <c r="P19" i="17" l="1"/>
  <c r="O21" i="17"/>
  <c r="Q13" i="18"/>
  <c r="O13" i="18"/>
  <c r="O23" i="18"/>
  <c r="I19" i="18"/>
  <c r="O12" i="18"/>
  <c r="Q12" i="18"/>
  <c r="Q17" i="18"/>
  <c r="O17" i="18"/>
  <c r="N21" i="18"/>
  <c r="O21" i="18" s="1"/>
  <c r="Q21" i="18"/>
  <c r="O11" i="18"/>
  <c r="Q11" i="18"/>
  <c r="O16" i="18"/>
  <c r="Q16" i="18"/>
  <c r="M19" i="18"/>
  <c r="O15" i="18"/>
  <c r="Q15" i="18"/>
  <c r="N22" i="18"/>
  <c r="O22" i="18" s="1"/>
  <c r="M23" i="18"/>
  <c r="N23" i="18" s="1"/>
  <c r="O10" i="18"/>
  <c r="N18" i="17"/>
  <c r="P18" i="17"/>
  <c r="N19" i="17"/>
  <c r="N21" i="17"/>
  <c r="Q9" i="18" l="1"/>
  <c r="O19" i="18"/>
  <c r="I21" i="18" a="1"/>
  <c r="I21" i="18" s="1"/>
  <c r="I23" i="18" s="1"/>
  <c r="I24" i="18" s="1"/>
  <c r="Q19" i="18"/>
  <c r="N19" i="18"/>
  <c r="M24" i="18"/>
  <c r="L26" i="17"/>
  <c r="L24" i="17"/>
  <c r="J24" i="17"/>
  <c r="J26" i="17"/>
  <c r="Q24" i="18" l="1"/>
  <c r="N24" i="18"/>
  <c r="M25" i="18"/>
  <c r="O24" i="18"/>
  <c r="O25" i="18" s="1"/>
  <c r="I8" i="17"/>
  <c r="Q25" i="18" l="1"/>
  <c r="M27" i="18"/>
  <c r="N25" i="18"/>
  <c r="K14" i="17"/>
  <c r="M14" i="17"/>
  <c r="K8" i="17"/>
  <c r="K9" i="17"/>
  <c r="K16" i="17"/>
  <c r="K12" i="17"/>
  <c r="M12" i="17"/>
  <c r="K10" i="17"/>
  <c r="K15" i="17"/>
  <c r="M15" i="17"/>
  <c r="K11" i="17"/>
  <c r="G12" i="17"/>
  <c r="I15" i="17"/>
  <c r="I11" i="17"/>
  <c r="I14" i="17"/>
  <c r="I10" i="17"/>
  <c r="G15" i="17"/>
  <c r="I9" i="17"/>
  <c r="G10" i="17"/>
  <c r="I12" i="17"/>
  <c r="N13" i="17"/>
  <c r="G9" i="17"/>
  <c r="O8" i="17" l="1"/>
  <c r="P8" i="17"/>
  <c r="P14" i="17"/>
  <c r="N14" i="17"/>
  <c r="O14" i="17"/>
  <c r="N15" i="17"/>
  <c r="O15" i="17"/>
  <c r="P15" i="17"/>
  <c r="P12" i="17"/>
  <c r="N12" i="17"/>
  <c r="O12" i="17"/>
  <c r="O9" i="17"/>
  <c r="N9" i="17"/>
  <c r="P9" i="17"/>
  <c r="P16" i="17"/>
  <c r="N16" i="17"/>
  <c r="O16" i="17"/>
  <c r="O13" i="17"/>
  <c r="P13" i="17"/>
  <c r="P10" i="17"/>
  <c r="O10" i="17"/>
  <c r="N10" i="17"/>
  <c r="N11" i="17"/>
  <c r="O11" i="17"/>
  <c r="P11" i="17"/>
  <c r="L25" i="17"/>
  <c r="L27" i="17" s="1"/>
  <c r="L28" i="17" s="1"/>
  <c r="L29" i="17" s="1"/>
  <c r="J25" i="17"/>
  <c r="J27" i="17" s="1"/>
  <c r="J28" i="17" s="1"/>
  <c r="J29" i="17" s="1"/>
  <c r="V14" i="17" l="1"/>
  <c r="W14" i="17" s="1"/>
  <c r="V9" i="17"/>
  <c r="V8" i="17"/>
  <c r="W8" i="17" l="1"/>
  <c r="Y8" i="17" l="1"/>
  <c r="Z8" i="17" s="1"/>
  <c r="AA8" i="17" s="1"/>
  <c r="H25" i="17"/>
  <c r="H26" i="17"/>
  <c r="F26" i="17"/>
  <c r="V50" i="17"/>
  <c r="T50" i="17"/>
  <c r="Y41" i="17"/>
  <c r="Y20" i="17"/>
  <c r="Y17" i="17"/>
  <c r="V4" i="17"/>
  <c r="W4" i="17" s="1"/>
  <c r="Y4" i="17" s="1"/>
  <c r="F25" i="17" l="1"/>
  <c r="F27" i="17" s="1"/>
  <c r="H27" i="17"/>
  <c r="T16" i="17"/>
  <c r="T13" i="17"/>
  <c r="H28" i="17" l="1"/>
  <c r="H29" i="17" s="1"/>
  <c r="W9" i="17"/>
  <c r="Y9" i="17" s="1"/>
  <c r="Z9" i="17" s="1"/>
  <c r="AA9" i="17" s="1"/>
  <c r="T21" i="17"/>
  <c r="V16" i="17"/>
  <c r="W16" i="17" s="1"/>
  <c r="Y16" i="17" s="1"/>
  <c r="Z16" i="17" s="1"/>
  <c r="V21" i="17"/>
  <c r="V26" i="17" s="1"/>
  <c r="F28" i="17"/>
  <c r="F29" i="17" s="1"/>
  <c r="V12" i="17"/>
  <c r="W12" i="17" s="1"/>
  <c r="Y12" i="17" s="1"/>
  <c r="Z12" i="17" s="1"/>
  <c r="T12" i="17"/>
  <c r="T9" i="17"/>
  <c r="V13" i="17"/>
  <c r="W13" i="17" s="1"/>
  <c r="T19" i="17"/>
  <c r="V19" i="17"/>
  <c r="W19" i="17" s="1"/>
  <c r="V10" i="17"/>
  <c r="T10" i="17"/>
  <c r="T8" i="17"/>
  <c r="V15" i="17"/>
  <c r="W15" i="17" s="1"/>
  <c r="T15" i="17"/>
  <c r="T14" i="17"/>
  <c r="V18" i="17"/>
  <c r="W18" i="17" s="1"/>
  <c r="T18" i="17"/>
  <c r="T11" i="17"/>
  <c r="V11" i="17"/>
  <c r="W10" i="17" l="1"/>
  <c r="V22" i="17"/>
  <c r="V25" i="17"/>
  <c r="W21" i="17"/>
  <c r="Y21" i="17" s="1"/>
  <c r="Z21" i="17" s="1"/>
  <c r="AC9" i="17"/>
  <c r="AD9" i="17" s="1"/>
  <c r="AE9" i="17" s="1"/>
  <c r="Y13" i="17"/>
  <c r="Z13" i="17" s="1"/>
  <c r="AA12" i="17"/>
  <c r="AC12" i="17"/>
  <c r="AD12" i="17" s="1"/>
  <c r="AE12" i="17" s="1"/>
  <c r="Y15" i="17"/>
  <c r="Z15" i="17" s="1"/>
  <c r="U26" i="17"/>
  <c r="Y18" i="17"/>
  <c r="Z18" i="17" s="1"/>
  <c r="Y14" i="17"/>
  <c r="Z14" i="17" s="1"/>
  <c r="Y10" i="17"/>
  <c r="Z10" i="17" s="1"/>
  <c r="AA16" i="17"/>
  <c r="AC16" i="17"/>
  <c r="AD16" i="17" s="1"/>
  <c r="AE16" i="17" s="1"/>
  <c r="Y11" i="17"/>
  <c r="Z11" i="17" s="1"/>
  <c r="Y19" i="17"/>
  <c r="Z19" i="17" s="1"/>
  <c r="V23" i="17" l="1"/>
  <c r="AC13" i="17"/>
  <c r="AD13" i="17" s="1"/>
  <c r="AE13" i="17" s="1"/>
  <c r="AA13" i="17"/>
  <c r="AC21" i="17"/>
  <c r="AD21" i="17" s="1"/>
  <c r="AE21" i="17" s="1"/>
  <c r="AE26" i="17" s="1"/>
  <c r="AA21" i="17"/>
  <c r="AA26" i="17" s="1"/>
  <c r="AC19" i="17"/>
  <c r="AD19" i="17" s="1"/>
  <c r="AE19" i="17" s="1"/>
  <c r="AA19" i="17"/>
  <c r="AA18" i="17"/>
  <c r="AC18" i="17"/>
  <c r="AD18" i="17" s="1"/>
  <c r="AE18" i="17" s="1"/>
  <c r="AC10" i="17"/>
  <c r="AD10" i="17" s="1"/>
  <c r="AE10" i="17" s="1"/>
  <c r="AA10" i="17"/>
  <c r="V27" i="17"/>
  <c r="U25" i="17"/>
  <c r="AC14" i="17"/>
  <c r="AD14" i="17" s="1"/>
  <c r="AE14" i="17" s="1"/>
  <c r="AA14" i="17"/>
  <c r="AC15" i="17"/>
  <c r="AD15" i="17" s="1"/>
  <c r="AE15" i="17" s="1"/>
  <c r="AA15" i="17"/>
  <c r="AC11" i="17"/>
  <c r="AD11" i="17" s="1"/>
  <c r="AE11" i="17" s="1"/>
  <c r="AA11" i="17"/>
  <c r="AA22" i="17" l="1"/>
  <c r="AA23" i="17" s="1"/>
  <c r="Z23" i="17" s="1"/>
  <c r="AC8" i="17"/>
  <c r="AC22" i="17" s="1"/>
  <c r="V28" i="17"/>
  <c r="V29" i="17" s="1"/>
  <c r="U27" i="17"/>
  <c r="V30" i="17" l="1"/>
  <c r="T35" i="17"/>
  <c r="W28" i="17"/>
  <c r="AD22" i="17"/>
  <c r="AA25" i="17"/>
  <c r="U28" i="17"/>
  <c r="U29" i="17" s="1"/>
  <c r="AD8" i="17"/>
  <c r="AE8" i="17" s="1"/>
  <c r="AA27" i="17" l="1"/>
  <c r="AE25" i="17"/>
  <c r="AE27" i="17" s="1"/>
  <c r="AE22" i="17"/>
  <c r="AE23" i="17" s="1"/>
  <c r="AD23" i="17" s="1"/>
  <c r="AA28" i="17"/>
  <c r="W35" i="17"/>
  <c r="AG25" i="17" l="1"/>
  <c r="AA29" i="17"/>
  <c r="AG27" i="17"/>
  <c r="T37" i="17"/>
  <c r="AA30" i="17"/>
  <c r="Z30" i="17" s="1"/>
  <c r="AC28" i="17"/>
  <c r="AG28" i="17" s="1"/>
  <c r="Y36" i="17"/>
  <c r="AE28" i="17"/>
  <c r="AE29" i="17" s="1"/>
  <c r="AG29" i="17" l="1"/>
  <c r="AE30" i="17"/>
  <c r="AD30" i="17" s="1"/>
  <c r="T39" i="17"/>
  <c r="W39" i="17" s="1"/>
  <c r="Y40" i="17" s="1"/>
  <c r="AF28" i="17"/>
  <c r="W37" i="17"/>
  <c r="AG30" i="17" l="1"/>
  <c r="AI30" i="17"/>
  <c r="AI28" i="17"/>
  <c r="W41" i="17"/>
  <c r="Y42" i="17" s="1"/>
  <c r="Y38" i="17"/>
  <c r="P4" i="15" l="1"/>
  <c r="Q4" i="15" s="1"/>
  <c r="G8" i="15"/>
  <c r="I8" i="15" s="1"/>
  <c r="I20" i="16"/>
  <c r="I19" i="16"/>
  <c r="S17" i="15"/>
  <c r="S20" i="15"/>
  <c r="J8" i="15" l="1"/>
  <c r="H8" i="15"/>
  <c r="P8" i="15" s="1"/>
  <c r="Q8" i="15" s="1"/>
  <c r="D10" i="16"/>
  <c r="B10" i="16"/>
  <c r="E26" i="15"/>
  <c r="F32" i="10"/>
  <c r="E32" i="10"/>
  <c r="G32" i="10"/>
  <c r="H32" i="10"/>
  <c r="I32" i="10"/>
  <c r="D32" i="10"/>
  <c r="D28" i="10"/>
  <c r="D28" i="9"/>
  <c r="D27" i="9"/>
  <c r="D26" i="9"/>
  <c r="D25" i="9"/>
  <c r="P45" i="15"/>
  <c r="N45" i="15"/>
  <c r="S36" i="15"/>
  <c r="F26" i="15"/>
  <c r="D26" i="15"/>
  <c r="F25" i="15"/>
  <c r="E25" i="15"/>
  <c r="D25" i="15"/>
  <c r="G21" i="15"/>
  <c r="G19" i="15"/>
  <c r="G18" i="15"/>
  <c r="G16" i="15"/>
  <c r="G15" i="15"/>
  <c r="G14" i="15"/>
  <c r="G13" i="15"/>
  <c r="G12" i="15"/>
  <c r="G11" i="15"/>
  <c r="G10" i="15"/>
  <c r="G9" i="15"/>
  <c r="V30" i="10"/>
  <c r="AN29" i="10"/>
  <c r="AI29" i="10"/>
  <c r="AN28" i="10"/>
  <c r="AN25" i="10"/>
  <c r="AN26" i="10"/>
  <c r="AN27" i="10"/>
  <c r="AI25" i="10"/>
  <c r="X29" i="10"/>
  <c r="X26" i="10"/>
  <c r="X25" i="10"/>
  <c r="F27" i="10"/>
  <c r="I26" i="10"/>
  <c r="H26" i="10"/>
  <c r="G26" i="10"/>
  <c r="G27" i="10" s="1"/>
  <c r="F26" i="10"/>
  <c r="E26" i="10"/>
  <c r="I25" i="10"/>
  <c r="I27" i="10" s="1"/>
  <c r="H25" i="10"/>
  <c r="H27" i="10" s="1"/>
  <c r="G25" i="10"/>
  <c r="F25" i="10"/>
  <c r="E25" i="10"/>
  <c r="E27" i="10" s="1"/>
  <c r="D29" i="10"/>
  <c r="D27" i="10"/>
  <c r="D25" i="10"/>
  <c r="D26" i="10"/>
  <c r="E27" i="15" l="1"/>
  <c r="E28" i="15" s="1"/>
  <c r="E29" i="15" s="1"/>
  <c r="H10" i="15"/>
  <c r="H14" i="15"/>
  <c r="H18" i="15"/>
  <c r="D27" i="15"/>
  <c r="H15" i="15"/>
  <c r="H11" i="15"/>
  <c r="H16" i="15"/>
  <c r="H12" i="15"/>
  <c r="H19" i="15"/>
  <c r="H21" i="15"/>
  <c r="I9" i="15"/>
  <c r="I10" i="15"/>
  <c r="I11" i="15"/>
  <c r="I12" i="15"/>
  <c r="I13" i="15"/>
  <c r="I14" i="15"/>
  <c r="I15" i="15"/>
  <c r="I16" i="15"/>
  <c r="I18" i="15"/>
  <c r="I19" i="15"/>
  <c r="I21" i="15"/>
  <c r="H9" i="15"/>
  <c r="H13" i="15"/>
  <c r="J9" i="15"/>
  <c r="J10" i="15"/>
  <c r="J11" i="15"/>
  <c r="J12" i="15"/>
  <c r="J13" i="15"/>
  <c r="J14" i="15"/>
  <c r="J15" i="15"/>
  <c r="J16" i="15"/>
  <c r="J18" i="15"/>
  <c r="J19" i="15"/>
  <c r="J21" i="15"/>
  <c r="F27" i="15"/>
  <c r="F28" i="15" s="1"/>
  <c r="F29" i="15" s="1"/>
  <c r="G25" i="15"/>
  <c r="D28" i="15"/>
  <c r="D29" i="15" s="1"/>
  <c r="G26" i="15"/>
  <c r="AO25" i="10"/>
  <c r="H28" i="10"/>
  <c r="H29" i="10" s="1"/>
  <c r="G28" i="10"/>
  <c r="G29" i="10" s="1"/>
  <c r="E29" i="10"/>
  <c r="E28" i="10"/>
  <c r="I28" i="10"/>
  <c r="I29" i="10" s="1"/>
  <c r="F28" i="10"/>
  <c r="F29" i="10" s="1"/>
  <c r="P18" i="15" l="1"/>
  <c r="Q18" i="15" s="1"/>
  <c r="S18" i="15" s="1"/>
  <c r="N16" i="15"/>
  <c r="N18" i="15"/>
  <c r="G27" i="15"/>
  <c r="G28" i="15" s="1"/>
  <c r="G29" i="15" s="1"/>
  <c r="P12" i="15"/>
  <c r="Q12" i="15" s="1"/>
  <c r="S12" i="15" s="1"/>
  <c r="P16" i="15"/>
  <c r="P21" i="15"/>
  <c r="P26" i="15" s="1"/>
  <c r="N21" i="15"/>
  <c r="P10" i="15"/>
  <c r="Q10" i="15" s="1"/>
  <c r="S10" i="15" s="1"/>
  <c r="N10" i="15"/>
  <c r="N11" i="15"/>
  <c r="P11" i="15"/>
  <c r="Q11" i="15" s="1"/>
  <c r="S11" i="15" s="1"/>
  <c r="N15" i="15"/>
  <c r="P15" i="15"/>
  <c r="Q15" i="15" s="1"/>
  <c r="S15" i="15" s="1"/>
  <c r="N9" i="15"/>
  <c r="P9" i="15"/>
  <c r="Q9" i="15" s="1"/>
  <c r="S9" i="15" s="1"/>
  <c r="N8" i="15"/>
  <c r="P14" i="15"/>
  <c r="Q14" i="15" s="1"/>
  <c r="S14" i="15" s="1"/>
  <c r="N14" i="15"/>
  <c r="N13" i="15"/>
  <c r="P13" i="15"/>
  <c r="Q13" i="15" s="1"/>
  <c r="N12" i="15"/>
  <c r="P19" i="15"/>
  <c r="Q19" i="15" s="1"/>
  <c r="S19" i="15" s="1"/>
  <c r="N19" i="15"/>
  <c r="S13" i="15" l="1"/>
  <c r="T13" i="15" s="1"/>
  <c r="S8" i="15"/>
  <c r="P25" i="15"/>
  <c r="P27" i="15" s="1"/>
  <c r="P28" i="15" s="1"/>
  <c r="T14" i="15"/>
  <c r="U14" i="15" s="1"/>
  <c r="T15" i="15"/>
  <c r="T18" i="15"/>
  <c r="T19" i="15"/>
  <c r="T9" i="15"/>
  <c r="U9" i="15" s="1"/>
  <c r="T10" i="15"/>
  <c r="T8" i="15"/>
  <c r="T11" i="15"/>
  <c r="O26" i="15"/>
  <c r="Q21" i="15"/>
  <c r="S21" i="15" s="1"/>
  <c r="Q16" i="15"/>
  <c r="S16" i="15" s="1"/>
  <c r="W13" i="15" l="1"/>
  <c r="X13" i="15" s="1"/>
  <c r="Y13" i="15" s="1"/>
  <c r="U13" i="15"/>
  <c r="W11" i="15"/>
  <c r="X11" i="15" s="1"/>
  <c r="Y11" i="15" s="1"/>
  <c r="U11" i="15"/>
  <c r="U10" i="15"/>
  <c r="W10" i="15"/>
  <c r="X10" i="15" s="1"/>
  <c r="Y10" i="15" s="1"/>
  <c r="W19" i="15"/>
  <c r="X19" i="15" s="1"/>
  <c r="Y19" i="15" s="1"/>
  <c r="W9" i="15"/>
  <c r="X9" i="15" s="1"/>
  <c r="Y9" i="15" s="1"/>
  <c r="U18" i="15"/>
  <c r="W18" i="15"/>
  <c r="X18" i="15" s="1"/>
  <c r="Y18" i="15" s="1"/>
  <c r="W14" i="15"/>
  <c r="X14" i="15" s="1"/>
  <c r="Y14" i="15" s="1"/>
  <c r="U15" i="15"/>
  <c r="W15" i="15"/>
  <c r="X15" i="15" s="1"/>
  <c r="Y15" i="15" s="1"/>
  <c r="U19" i="15"/>
  <c r="U8" i="15"/>
  <c r="W8" i="15"/>
  <c r="X8" i="15" s="1"/>
  <c r="T21" i="15"/>
  <c r="T12" i="15"/>
  <c r="P22" i="15"/>
  <c r="Q22" i="15" s="1"/>
  <c r="S22" i="15" s="1"/>
  <c r="T16" i="15"/>
  <c r="O25" i="15"/>
  <c r="U16" i="15" l="1"/>
  <c r="W16" i="15"/>
  <c r="X16" i="15" s="1"/>
  <c r="U12" i="15"/>
  <c r="W12" i="15"/>
  <c r="X12" i="15" s="1"/>
  <c r="W21" i="15"/>
  <c r="X21" i="15" s="1"/>
  <c r="U21" i="15"/>
  <c r="U26" i="15" s="1"/>
  <c r="C3" i="16" s="1"/>
  <c r="O27" i="15"/>
  <c r="P29" i="15"/>
  <c r="T22" i="15"/>
  <c r="M35" i="14"/>
  <c r="M33" i="14"/>
  <c r="M31" i="14"/>
  <c r="L21" i="14"/>
  <c r="K21" i="14"/>
  <c r="J21" i="14"/>
  <c r="I21" i="14"/>
  <c r="L19" i="14"/>
  <c r="K19" i="14"/>
  <c r="J19" i="14"/>
  <c r="I19" i="14"/>
  <c r="L18" i="14"/>
  <c r="K18" i="14"/>
  <c r="J18" i="14"/>
  <c r="I18" i="14"/>
  <c r="L16" i="14"/>
  <c r="K16" i="14"/>
  <c r="J16" i="14"/>
  <c r="I16" i="14"/>
  <c r="L15" i="14"/>
  <c r="K15" i="14"/>
  <c r="J15" i="14"/>
  <c r="I15" i="14"/>
  <c r="L14" i="14"/>
  <c r="K14" i="14"/>
  <c r="J14" i="14"/>
  <c r="I14" i="14"/>
  <c r="L13" i="14"/>
  <c r="K13" i="14"/>
  <c r="J13" i="14"/>
  <c r="I13" i="14"/>
  <c r="L12" i="14"/>
  <c r="K12" i="14"/>
  <c r="J12" i="14"/>
  <c r="I12" i="14"/>
  <c r="L11" i="14"/>
  <c r="K11" i="14"/>
  <c r="J11" i="14"/>
  <c r="I11" i="14"/>
  <c r="L10" i="14"/>
  <c r="K10" i="14"/>
  <c r="J10" i="14"/>
  <c r="I10" i="14"/>
  <c r="L9" i="14"/>
  <c r="K9" i="14"/>
  <c r="J9" i="14"/>
  <c r="I9" i="14"/>
  <c r="L8" i="14"/>
  <c r="K8" i="14"/>
  <c r="J8" i="14"/>
  <c r="I8" i="14"/>
  <c r="N46" i="14"/>
  <c r="M46" i="14"/>
  <c r="Q37" i="14"/>
  <c r="N29" i="14"/>
  <c r="G26" i="14"/>
  <c r="F26" i="14"/>
  <c r="E26" i="14"/>
  <c r="D26" i="14"/>
  <c r="F25" i="14"/>
  <c r="E25" i="14"/>
  <c r="E27" i="14" s="1"/>
  <c r="D25" i="14"/>
  <c r="G21" i="14"/>
  <c r="V20" i="14"/>
  <c r="M19" i="14"/>
  <c r="G19" i="14"/>
  <c r="G18" i="14"/>
  <c r="V17" i="14"/>
  <c r="G16" i="14"/>
  <c r="G15" i="14"/>
  <c r="G14" i="14"/>
  <c r="G13" i="14"/>
  <c r="G12" i="14"/>
  <c r="G11" i="14"/>
  <c r="G10" i="14"/>
  <c r="G9" i="14"/>
  <c r="G8" i="14"/>
  <c r="Q3" i="14"/>
  <c r="R3" i="14" s="1"/>
  <c r="S3" i="14" s="1"/>
  <c r="M21" i="13"/>
  <c r="L21" i="13"/>
  <c r="K21" i="13"/>
  <c r="J21" i="13"/>
  <c r="M19" i="13"/>
  <c r="L19" i="13"/>
  <c r="K19" i="13"/>
  <c r="J19" i="13"/>
  <c r="M18" i="13"/>
  <c r="L18" i="13"/>
  <c r="K18" i="13"/>
  <c r="J18" i="13"/>
  <c r="J9" i="13"/>
  <c r="K9" i="13"/>
  <c r="L9" i="13"/>
  <c r="M9" i="13"/>
  <c r="J10" i="13"/>
  <c r="K10" i="13"/>
  <c r="L10" i="13"/>
  <c r="M10" i="13"/>
  <c r="J11" i="13"/>
  <c r="K11" i="13"/>
  <c r="L11" i="13"/>
  <c r="M11" i="13"/>
  <c r="J12" i="13"/>
  <c r="K12" i="13"/>
  <c r="L12" i="13"/>
  <c r="M12" i="13"/>
  <c r="J13" i="13"/>
  <c r="K13" i="13"/>
  <c r="L13" i="13"/>
  <c r="M13" i="13"/>
  <c r="J14" i="13"/>
  <c r="K14" i="13"/>
  <c r="L14" i="13"/>
  <c r="M14" i="13"/>
  <c r="J15" i="13"/>
  <c r="K15" i="13"/>
  <c r="L15" i="13"/>
  <c r="M15" i="13"/>
  <c r="J16" i="13"/>
  <c r="K16" i="13"/>
  <c r="L16" i="13"/>
  <c r="M16" i="13"/>
  <c r="L8" i="13"/>
  <c r="M8" i="13"/>
  <c r="K8" i="13"/>
  <c r="J8" i="13"/>
  <c r="O46" i="13"/>
  <c r="N46" i="13"/>
  <c r="R37" i="13"/>
  <c r="O29" i="13"/>
  <c r="G26" i="13"/>
  <c r="F26" i="13"/>
  <c r="E26" i="13"/>
  <c r="D26" i="13"/>
  <c r="G25" i="13"/>
  <c r="G27" i="13" s="1"/>
  <c r="F25" i="13"/>
  <c r="F27" i="13" s="1"/>
  <c r="E25" i="13"/>
  <c r="E27" i="13" s="1"/>
  <c r="D25" i="13"/>
  <c r="D27" i="13" s="1"/>
  <c r="H21" i="13"/>
  <c r="H26" i="13" s="1"/>
  <c r="W20" i="13"/>
  <c r="H19" i="13"/>
  <c r="H18" i="13"/>
  <c r="W17" i="13"/>
  <c r="H16" i="13"/>
  <c r="H15" i="13"/>
  <c r="H14" i="13"/>
  <c r="H13" i="13"/>
  <c r="H12" i="13"/>
  <c r="H11" i="13"/>
  <c r="H10" i="13"/>
  <c r="H9" i="13"/>
  <c r="H8" i="13"/>
  <c r="R3" i="13"/>
  <c r="S3" i="13" s="1"/>
  <c r="T3" i="13" s="1"/>
  <c r="O35" i="11"/>
  <c r="O33" i="11"/>
  <c r="O31" i="11"/>
  <c r="Q31" i="11" s="1"/>
  <c r="S8" i="11"/>
  <c r="S22" i="11" s="1"/>
  <c r="AA26" i="11"/>
  <c r="Q29" i="11"/>
  <c r="V26" i="11"/>
  <c r="S9" i="11"/>
  <c r="I8" i="11"/>
  <c r="N8" i="11" s="1"/>
  <c r="Q28" i="15" l="1"/>
  <c r="N30" i="15"/>
  <c r="Q30" i="15" s="1"/>
  <c r="Y12" i="15"/>
  <c r="U25" i="15"/>
  <c r="Y16" i="15"/>
  <c r="U22" i="15"/>
  <c r="Y21" i="15"/>
  <c r="Y26" i="15" s="1"/>
  <c r="O28" i="15"/>
  <c r="O29" i="15" s="1"/>
  <c r="N18" i="14"/>
  <c r="O18" i="14" s="1"/>
  <c r="Q18" i="14" s="1"/>
  <c r="R18" i="14" s="1"/>
  <c r="D27" i="14"/>
  <c r="F27" i="14"/>
  <c r="F28" i="14"/>
  <c r="F29" i="14" s="1"/>
  <c r="E28" i="14"/>
  <c r="E29" i="14" s="1"/>
  <c r="M18" i="14"/>
  <c r="N16" i="14"/>
  <c r="O16" i="14" s="1"/>
  <c r="Q16" i="14" s="1"/>
  <c r="M16" i="14"/>
  <c r="N19" i="14"/>
  <c r="O19" i="14" s="1"/>
  <c r="Q19" i="14" s="1"/>
  <c r="D28" i="14"/>
  <c r="D29" i="14" s="1"/>
  <c r="G25" i="14"/>
  <c r="G27" i="14" s="1"/>
  <c r="N15" i="14"/>
  <c r="O15" i="14" s="1"/>
  <c r="Q15" i="14" s="1"/>
  <c r="M21" i="14"/>
  <c r="D28" i="13"/>
  <c r="D29" i="13" s="1"/>
  <c r="G28" i="13"/>
  <c r="G29" i="13" s="1"/>
  <c r="F28" i="13"/>
  <c r="F29" i="13" s="1"/>
  <c r="H25" i="13"/>
  <c r="H27" i="13" s="1"/>
  <c r="O18" i="13"/>
  <c r="P18" i="13" s="1"/>
  <c r="R18" i="13" s="1"/>
  <c r="O19" i="13"/>
  <c r="P19" i="13" s="1"/>
  <c r="R19" i="13" s="1"/>
  <c r="N21" i="13"/>
  <c r="E28" i="13"/>
  <c r="E29" i="13" s="1"/>
  <c r="O21" i="13"/>
  <c r="P21" i="13" s="1"/>
  <c r="N18" i="13"/>
  <c r="N19" i="13"/>
  <c r="L8" i="11"/>
  <c r="M8" i="11"/>
  <c r="P8" i="11" s="1"/>
  <c r="U27" i="15" l="1"/>
  <c r="C2" i="16"/>
  <c r="W22" i="15"/>
  <c r="X22" i="15" s="1"/>
  <c r="N31" i="15"/>
  <c r="S18" i="14"/>
  <c r="T18" i="14" s="1"/>
  <c r="V18" i="14" s="1"/>
  <c r="W18" i="14" s="1"/>
  <c r="X18" i="14" s="1"/>
  <c r="Y18" i="14" s="1"/>
  <c r="R15" i="14"/>
  <c r="S15" i="14" s="1"/>
  <c r="T15" i="14" s="1"/>
  <c r="V15" i="14" s="1"/>
  <c r="N8" i="14"/>
  <c r="O8" i="14" s="1"/>
  <c r="M8" i="14"/>
  <c r="N11" i="14"/>
  <c r="O11" i="14" s="1"/>
  <c r="Q11" i="14" s="1"/>
  <c r="M11" i="14"/>
  <c r="R19" i="14"/>
  <c r="S19" i="14" s="1"/>
  <c r="T19" i="14" s="1"/>
  <c r="V19" i="14" s="1"/>
  <c r="M15" i="14"/>
  <c r="N12" i="14"/>
  <c r="O12" i="14" s="1"/>
  <c r="Q12" i="14" s="1"/>
  <c r="M12" i="14"/>
  <c r="N14" i="14"/>
  <c r="O14" i="14" s="1"/>
  <c r="Q14" i="14" s="1"/>
  <c r="M14" i="14"/>
  <c r="G28" i="14"/>
  <c r="G29" i="14" s="1"/>
  <c r="R16" i="14"/>
  <c r="S16" i="14" s="1"/>
  <c r="T16" i="14" s="1"/>
  <c r="V16" i="14" s="1"/>
  <c r="N9" i="14"/>
  <c r="O9" i="14" s="1"/>
  <c r="Q9" i="14" s="1"/>
  <c r="M9" i="14"/>
  <c r="N21" i="14"/>
  <c r="O21" i="14" s="1"/>
  <c r="N13" i="14"/>
  <c r="O13" i="14" s="1"/>
  <c r="Q13" i="14" s="1"/>
  <c r="M13" i="14"/>
  <c r="N10" i="14"/>
  <c r="O10" i="14" s="1"/>
  <c r="Q10" i="14" s="1"/>
  <c r="M10" i="14"/>
  <c r="O16" i="13"/>
  <c r="P16" i="13" s="1"/>
  <c r="R16" i="13" s="1"/>
  <c r="N16" i="13"/>
  <c r="O15" i="13"/>
  <c r="P15" i="13" s="1"/>
  <c r="R15" i="13" s="1"/>
  <c r="N15" i="13"/>
  <c r="S19" i="13"/>
  <c r="T19" i="13" s="1"/>
  <c r="U19" i="13" s="1"/>
  <c r="W19" i="13" s="1"/>
  <c r="O9" i="13"/>
  <c r="P9" i="13" s="1"/>
  <c r="R9" i="13" s="1"/>
  <c r="N9" i="13"/>
  <c r="O8" i="13"/>
  <c r="P8" i="13" s="1"/>
  <c r="N8" i="13"/>
  <c r="P26" i="13"/>
  <c r="R21" i="13"/>
  <c r="H29" i="13"/>
  <c r="H28" i="13"/>
  <c r="O14" i="13"/>
  <c r="P14" i="13" s="1"/>
  <c r="R14" i="13" s="1"/>
  <c r="N14" i="13"/>
  <c r="S18" i="13"/>
  <c r="T18" i="13" s="1"/>
  <c r="U18" i="13" s="1"/>
  <c r="W18" i="13" s="1"/>
  <c r="O10" i="13"/>
  <c r="P10" i="13" s="1"/>
  <c r="R10" i="13" s="1"/>
  <c r="N10" i="13"/>
  <c r="O12" i="13"/>
  <c r="P12" i="13" s="1"/>
  <c r="R12" i="13" s="1"/>
  <c r="N12" i="13"/>
  <c r="O13" i="13"/>
  <c r="P13" i="13" s="1"/>
  <c r="R13" i="13" s="1"/>
  <c r="N13" i="13"/>
  <c r="O11" i="13"/>
  <c r="P11" i="13" s="1"/>
  <c r="R11" i="13" s="1"/>
  <c r="N11" i="13"/>
  <c r="H26" i="11"/>
  <c r="G26" i="11"/>
  <c r="F26" i="11"/>
  <c r="E26" i="11"/>
  <c r="H25" i="11"/>
  <c r="G25" i="11"/>
  <c r="F25" i="11"/>
  <c r="F27" i="11" s="1"/>
  <c r="F28" i="11" s="1"/>
  <c r="E25" i="11"/>
  <c r="E27" i="11" s="1"/>
  <c r="E28" i="11" s="1"/>
  <c r="D26" i="11"/>
  <c r="D25" i="11"/>
  <c r="D27" i="11" s="1"/>
  <c r="D28" i="11" s="1"/>
  <c r="D29" i="11" s="1"/>
  <c r="P46" i="11"/>
  <c r="O46" i="11"/>
  <c r="S37" i="11"/>
  <c r="I21" i="11"/>
  <c r="I26" i="11" s="1"/>
  <c r="X20" i="11"/>
  <c r="I19" i="11"/>
  <c r="N19" i="11" s="1"/>
  <c r="I18" i="11"/>
  <c r="K18" i="11" s="1"/>
  <c r="X17" i="11"/>
  <c r="I16" i="11"/>
  <c r="I15" i="11"/>
  <c r="N15" i="11" s="1"/>
  <c r="I14" i="11"/>
  <c r="K14" i="11" s="1"/>
  <c r="I13" i="11"/>
  <c r="L13" i="11" s="1"/>
  <c r="I12" i="11"/>
  <c r="I11" i="11"/>
  <c r="N11" i="11" s="1"/>
  <c r="I10" i="11"/>
  <c r="K10" i="11" s="1"/>
  <c r="I9" i="11"/>
  <c r="M9" i="11" s="1"/>
  <c r="S3" i="11"/>
  <c r="T3" i="11" s="1"/>
  <c r="U3" i="11" s="1"/>
  <c r="U28" i="15" l="1"/>
  <c r="C4" i="16"/>
  <c r="S31" i="15"/>
  <c r="W16" i="14"/>
  <c r="X16" i="14" s="1"/>
  <c r="Y16" i="14" s="1"/>
  <c r="W15" i="14"/>
  <c r="X15" i="14" s="1"/>
  <c r="Y15" i="14" s="1"/>
  <c r="R9" i="14"/>
  <c r="S9" i="14" s="1"/>
  <c r="T9" i="14" s="1"/>
  <c r="V9" i="14" s="1"/>
  <c r="R11" i="14"/>
  <c r="S11" i="14" s="1"/>
  <c r="T11" i="14" s="1"/>
  <c r="V11" i="14" s="1"/>
  <c r="R14" i="14"/>
  <c r="S14" i="14" s="1"/>
  <c r="T14" i="14" s="1"/>
  <c r="V14" i="14" s="1"/>
  <c r="W19" i="14"/>
  <c r="X19" i="14"/>
  <c r="Y19" i="14" s="1"/>
  <c r="R12" i="14"/>
  <c r="S12" i="14" s="1"/>
  <c r="T12" i="14" s="1"/>
  <c r="V12" i="14" s="1"/>
  <c r="R13" i="14"/>
  <c r="S13" i="14" s="1"/>
  <c r="T13" i="14" s="1"/>
  <c r="V13" i="14" s="1"/>
  <c r="Q21" i="14"/>
  <c r="O26" i="14"/>
  <c r="R10" i="14"/>
  <c r="S10" i="14" s="1"/>
  <c r="T10" i="14" s="1"/>
  <c r="V10" i="14" s="1"/>
  <c r="O22" i="14"/>
  <c r="O25" i="14"/>
  <c r="O27" i="14" s="1"/>
  <c r="Q8" i="14"/>
  <c r="S11" i="13"/>
  <c r="T11" i="13" s="1"/>
  <c r="U11" i="13" s="1"/>
  <c r="W11" i="13" s="1"/>
  <c r="S13" i="13"/>
  <c r="T13" i="13" s="1"/>
  <c r="U13" i="13" s="1"/>
  <c r="W13" i="13" s="1"/>
  <c r="S14" i="13"/>
  <c r="T14" i="13" s="1"/>
  <c r="U14" i="13" s="1"/>
  <c r="W14" i="13" s="1"/>
  <c r="S15" i="13"/>
  <c r="T15" i="13" s="1"/>
  <c r="U15" i="13" s="1"/>
  <c r="W15" i="13" s="1"/>
  <c r="S21" i="13"/>
  <c r="T21" i="13" s="1"/>
  <c r="U21" i="13" s="1"/>
  <c r="S10" i="13"/>
  <c r="T10" i="13" s="1"/>
  <c r="U10" i="13" s="1"/>
  <c r="W10" i="13" s="1"/>
  <c r="S9" i="13"/>
  <c r="T9" i="13" s="1"/>
  <c r="U9" i="13" s="1"/>
  <c r="W9" i="13" s="1"/>
  <c r="S12" i="13"/>
  <c r="T12" i="13" s="1"/>
  <c r="U12" i="13" s="1"/>
  <c r="W12" i="13" s="1"/>
  <c r="X18" i="13"/>
  <c r="Y18" i="13" s="1"/>
  <c r="Z18" i="13" s="1"/>
  <c r="P22" i="13"/>
  <c r="P25" i="13"/>
  <c r="P27" i="13" s="1"/>
  <c r="R8" i="13"/>
  <c r="X19" i="13"/>
  <c r="Y19" i="13" s="1"/>
  <c r="Z19" i="13" s="1"/>
  <c r="S16" i="13"/>
  <c r="T16" i="13" s="1"/>
  <c r="U16" i="13" s="1"/>
  <c r="W16" i="13" s="1"/>
  <c r="I25" i="11"/>
  <c r="I27" i="11" s="1"/>
  <c r="I28" i="11" s="1"/>
  <c r="H27" i="11"/>
  <c r="H28" i="11" s="1"/>
  <c r="H29" i="11" s="1"/>
  <c r="G27" i="11"/>
  <c r="G28" i="11" s="1"/>
  <c r="G29" i="11"/>
  <c r="E29" i="11"/>
  <c r="I29" i="11"/>
  <c r="F29" i="11"/>
  <c r="M21" i="11"/>
  <c r="K8" i="11"/>
  <c r="K13" i="11"/>
  <c r="L14" i="11"/>
  <c r="K15" i="11"/>
  <c r="L10" i="11"/>
  <c r="M13" i="11"/>
  <c r="M10" i="11"/>
  <c r="K11" i="11"/>
  <c r="L18" i="11"/>
  <c r="K19" i="11"/>
  <c r="M12" i="11"/>
  <c r="L12" i="11"/>
  <c r="K12" i="11"/>
  <c r="N12" i="11"/>
  <c r="L9" i="11"/>
  <c r="K9" i="11"/>
  <c r="N9" i="11"/>
  <c r="M16" i="11"/>
  <c r="L16" i="11"/>
  <c r="K16" i="11"/>
  <c r="N16" i="11"/>
  <c r="L11" i="11"/>
  <c r="N13" i="11"/>
  <c r="M14" i="11"/>
  <c r="L15" i="11"/>
  <c r="M18" i="11"/>
  <c r="L19" i="11"/>
  <c r="N21" i="11"/>
  <c r="N10" i="11"/>
  <c r="M11" i="11"/>
  <c r="N14" i="11"/>
  <c r="M15" i="11"/>
  <c r="N18" i="11"/>
  <c r="M19" i="11"/>
  <c r="K21" i="11"/>
  <c r="L21" i="11"/>
  <c r="C5" i="16" l="1"/>
  <c r="U29" i="15"/>
  <c r="Y8" i="15"/>
  <c r="Y25" i="15" s="1"/>
  <c r="Y27" i="15" s="1"/>
  <c r="W12" i="14"/>
  <c r="X12" i="14" s="1"/>
  <c r="Y12" i="14" s="1"/>
  <c r="W9" i="14"/>
  <c r="X9" i="14" s="1"/>
  <c r="Y9" i="14" s="1"/>
  <c r="W10" i="14"/>
  <c r="X10" i="14" s="1"/>
  <c r="Y10" i="14" s="1"/>
  <c r="W11" i="14"/>
  <c r="X11" i="14" s="1"/>
  <c r="Y11" i="14" s="1"/>
  <c r="W13" i="14"/>
  <c r="X13" i="14" s="1"/>
  <c r="Y13" i="14" s="1"/>
  <c r="W14" i="14"/>
  <c r="X14" i="14" s="1"/>
  <c r="Y14" i="14" s="1"/>
  <c r="R8" i="14"/>
  <c r="Q22" i="14"/>
  <c r="O28" i="14"/>
  <c r="O29" i="14" s="1"/>
  <c r="R21" i="14"/>
  <c r="S21" i="14" s="1"/>
  <c r="T21" i="14" s="1"/>
  <c r="X13" i="13"/>
  <c r="Y13" i="13" s="1"/>
  <c r="Z13" i="13" s="1"/>
  <c r="X12" i="13"/>
  <c r="Y12" i="13" s="1"/>
  <c r="Z12" i="13" s="1"/>
  <c r="X11" i="13"/>
  <c r="Y11" i="13" s="1"/>
  <c r="Z11" i="13" s="1"/>
  <c r="X16" i="13"/>
  <c r="Y16" i="13" s="1"/>
  <c r="Z16" i="13" s="1"/>
  <c r="X9" i="13"/>
  <c r="Y9" i="13" s="1"/>
  <c r="Z9" i="13" s="1"/>
  <c r="X15" i="13"/>
  <c r="Y15" i="13" s="1"/>
  <c r="Z15" i="13" s="1"/>
  <c r="X10" i="13"/>
  <c r="Y10" i="13" s="1"/>
  <c r="Z10" i="13" s="1"/>
  <c r="X14" i="13"/>
  <c r="Y14" i="13" s="1"/>
  <c r="Z14" i="13" s="1"/>
  <c r="W21" i="13"/>
  <c r="U26" i="13"/>
  <c r="R22" i="13"/>
  <c r="S8" i="13"/>
  <c r="S22" i="13" s="1"/>
  <c r="P28" i="13"/>
  <c r="P29" i="13" s="1"/>
  <c r="Q8" i="11"/>
  <c r="P10" i="11"/>
  <c r="Q10" i="11" s="1"/>
  <c r="S10" i="11" s="1"/>
  <c r="P13" i="11"/>
  <c r="Q13" i="11" s="1"/>
  <c r="S13" i="11" s="1"/>
  <c r="T13" i="11" s="1"/>
  <c r="U13" i="11" s="1"/>
  <c r="V13" i="11" s="1"/>
  <c r="X13" i="11" s="1"/>
  <c r="O18" i="11"/>
  <c r="O8" i="11"/>
  <c r="T10" i="11"/>
  <c r="U10" i="11" s="1"/>
  <c r="V10" i="11" s="1"/>
  <c r="X10" i="11" s="1"/>
  <c r="P21" i="11"/>
  <c r="Q21" i="11" s="1"/>
  <c r="Q26" i="11" s="1"/>
  <c r="O21" i="11"/>
  <c r="O14" i="11"/>
  <c r="P9" i="11"/>
  <c r="Q9" i="11" s="1"/>
  <c r="O9" i="11"/>
  <c r="O13" i="11"/>
  <c r="P12" i="11"/>
  <c r="Q12" i="11" s="1"/>
  <c r="S12" i="11" s="1"/>
  <c r="O12" i="11"/>
  <c r="P11" i="11"/>
  <c r="Q11" i="11" s="1"/>
  <c r="S11" i="11" s="1"/>
  <c r="O11" i="11"/>
  <c r="P14" i="11"/>
  <c r="Q14" i="11" s="1"/>
  <c r="S14" i="11" s="1"/>
  <c r="O10" i="11"/>
  <c r="P19" i="11"/>
  <c r="Q19" i="11" s="1"/>
  <c r="S19" i="11" s="1"/>
  <c r="O19" i="11"/>
  <c r="P15" i="11"/>
  <c r="Q15" i="11" s="1"/>
  <c r="S15" i="11" s="1"/>
  <c r="O15" i="11"/>
  <c r="P18" i="11"/>
  <c r="Q18" i="11" s="1"/>
  <c r="S18" i="11" s="1"/>
  <c r="P16" i="11"/>
  <c r="Q16" i="11" s="1"/>
  <c r="S16" i="11" s="1"/>
  <c r="O16" i="11"/>
  <c r="W28" i="15" l="1"/>
  <c r="C6" i="16"/>
  <c r="N32" i="15"/>
  <c r="Y28" i="15"/>
  <c r="Y29" i="15" s="1"/>
  <c r="Z28" i="15" s="1"/>
  <c r="Y22" i="15"/>
  <c r="T26" i="14"/>
  <c r="V21" i="14"/>
  <c r="R22" i="14"/>
  <c r="S8" i="14"/>
  <c r="N31" i="13"/>
  <c r="X21" i="13"/>
  <c r="Y21" i="13" s="1"/>
  <c r="Z21" i="13" s="1"/>
  <c r="Z26" i="13" s="1"/>
  <c r="T8" i="13"/>
  <c r="Q25" i="11"/>
  <c r="Q27" i="11" s="1"/>
  <c r="T8" i="11"/>
  <c r="Y13" i="11"/>
  <c r="Z13" i="11" s="1"/>
  <c r="AA13" i="11" s="1"/>
  <c r="T11" i="11"/>
  <c r="U11" i="11" s="1"/>
  <c r="V11" i="11" s="1"/>
  <c r="X11" i="11" s="1"/>
  <c r="T9" i="11"/>
  <c r="U9" i="11" s="1"/>
  <c r="V9" i="11" s="1"/>
  <c r="X9" i="11" s="1"/>
  <c r="T16" i="11"/>
  <c r="U16" i="11" s="1"/>
  <c r="V16" i="11" s="1"/>
  <c r="X16" i="11" s="1"/>
  <c r="T14" i="11"/>
  <c r="U14" i="11" s="1"/>
  <c r="V14" i="11" s="1"/>
  <c r="X14" i="11" s="1"/>
  <c r="S21" i="11"/>
  <c r="Y10" i="11"/>
  <c r="Z10" i="11" s="1"/>
  <c r="AA10" i="11" s="1"/>
  <c r="T12" i="11"/>
  <c r="U12" i="11" s="1"/>
  <c r="V12" i="11" s="1"/>
  <c r="X12" i="11" s="1"/>
  <c r="T15" i="11"/>
  <c r="U15" i="11" s="1"/>
  <c r="V15" i="11" s="1"/>
  <c r="X15" i="11" s="1"/>
  <c r="T18" i="11"/>
  <c r="U18" i="11" s="1"/>
  <c r="V18" i="11" s="1"/>
  <c r="X18" i="11" s="1"/>
  <c r="T19" i="11"/>
  <c r="U19" i="11" s="1"/>
  <c r="V19" i="11" s="1"/>
  <c r="X19" i="11" s="1"/>
  <c r="Q22" i="11"/>
  <c r="AA25" i="15" l="1"/>
  <c r="E2" i="16"/>
  <c r="C10" i="16"/>
  <c r="Q32" i="15"/>
  <c r="S33" i="15" s="1"/>
  <c r="N33" i="15"/>
  <c r="N34" i="15"/>
  <c r="Q34" i="15" s="1"/>
  <c r="K31" i="14"/>
  <c r="M32" i="14"/>
  <c r="K29" i="14"/>
  <c r="O31" i="14"/>
  <c r="S22" i="14"/>
  <c r="T8" i="14"/>
  <c r="W21" i="14"/>
  <c r="X21" i="14" s="1"/>
  <c r="Y21" i="14" s="1"/>
  <c r="Y26" i="14" s="1"/>
  <c r="T22" i="13"/>
  <c r="U8" i="13"/>
  <c r="L31" i="13"/>
  <c r="N32" i="13"/>
  <c r="L29" i="13"/>
  <c r="P31" i="13"/>
  <c r="Q28" i="11"/>
  <c r="Y19" i="11"/>
  <c r="Z19" i="11" s="1"/>
  <c r="AA19" i="11" s="1"/>
  <c r="Y15" i="11"/>
  <c r="Z15" i="11" s="1"/>
  <c r="AA15" i="11" s="1"/>
  <c r="Y9" i="11"/>
  <c r="Z9" i="11" s="1"/>
  <c r="AA9" i="11" s="1"/>
  <c r="Y14" i="11"/>
  <c r="Z14" i="11" s="1"/>
  <c r="AA14" i="11" s="1"/>
  <c r="T21" i="11"/>
  <c r="T22" i="11" s="1"/>
  <c r="Y18" i="11"/>
  <c r="Z18" i="11" s="1"/>
  <c r="AA18" i="11" s="1"/>
  <c r="Y12" i="11"/>
  <c r="Z12" i="11" s="1"/>
  <c r="AA12" i="11" s="1"/>
  <c r="Y16" i="11"/>
  <c r="Z16" i="11" s="1"/>
  <c r="AA16" i="11" s="1"/>
  <c r="Y11" i="11"/>
  <c r="Z11" i="11" s="1"/>
  <c r="AA11" i="11" s="1"/>
  <c r="U8" i="11"/>
  <c r="C17" i="16" l="1"/>
  <c r="C18" i="16" s="1"/>
  <c r="G17" i="16"/>
  <c r="B17" i="16"/>
  <c r="B18" i="16" s="1"/>
  <c r="D17" i="16"/>
  <c r="D18" i="16" s="1"/>
  <c r="E9" i="16"/>
  <c r="E17" i="16"/>
  <c r="E18" i="16" s="1"/>
  <c r="Q32" i="14"/>
  <c r="T22" i="14"/>
  <c r="T25" i="14"/>
  <c r="T27" i="14" s="1"/>
  <c r="V8" i="14"/>
  <c r="R32" i="13"/>
  <c r="U25" i="13"/>
  <c r="U27" i="13" s="1"/>
  <c r="U22" i="13"/>
  <c r="W8" i="13"/>
  <c r="M29" i="11"/>
  <c r="V8" i="11"/>
  <c r="U21" i="11"/>
  <c r="V21" i="11" s="1"/>
  <c r="M31" i="11"/>
  <c r="O32" i="11"/>
  <c r="T28" i="14" l="1"/>
  <c r="T29" i="14"/>
  <c r="W8" i="14"/>
  <c r="W22" i="14" s="1"/>
  <c r="V22" i="14"/>
  <c r="U28" i="13"/>
  <c r="U29" i="13" s="1"/>
  <c r="W22" i="13"/>
  <c r="X8" i="13"/>
  <c r="X22" i="13" s="1"/>
  <c r="V25" i="11"/>
  <c r="V22" i="11"/>
  <c r="S32" i="11"/>
  <c r="P29" i="11"/>
  <c r="X8" i="11"/>
  <c r="X21" i="11"/>
  <c r="U22" i="11"/>
  <c r="S35" i="15" l="1"/>
  <c r="Q36" i="15"/>
  <c r="S37" i="15" s="1"/>
  <c r="O33" i="14"/>
  <c r="M34" i="14"/>
  <c r="X8" i="14"/>
  <c r="Y8" i="13"/>
  <c r="Y22" i="13" s="1"/>
  <c r="P33" i="13"/>
  <c r="N33" i="13"/>
  <c r="N34" i="13" s="1"/>
  <c r="V27" i="11"/>
  <c r="Y21" i="11"/>
  <c r="Z21" i="11" s="1"/>
  <c r="AA21" i="11" s="1"/>
  <c r="X22" i="11"/>
  <c r="O34" i="11" s="1"/>
  <c r="Y8" i="11"/>
  <c r="X22" i="14" l="1"/>
  <c r="Y8" i="14"/>
  <c r="Q34" i="14"/>
  <c r="Z8" i="13"/>
  <c r="Z25" i="13" s="1"/>
  <c r="Z27" i="13" s="1"/>
  <c r="R34" i="13"/>
  <c r="V28" i="11"/>
  <c r="V29" i="11"/>
  <c r="Q33" i="11" s="1"/>
  <c r="S34" i="11" s="1"/>
  <c r="Y22" i="11"/>
  <c r="Z8" i="11"/>
  <c r="Y25" i="14" l="1"/>
  <c r="Y27" i="14" s="1"/>
  <c r="Y22" i="14"/>
  <c r="Z22" i="13"/>
  <c r="Z28" i="13"/>
  <c r="Z29" i="13" s="1"/>
  <c r="Z22" i="11"/>
  <c r="AA8" i="11"/>
  <c r="AA25" i="11" s="1"/>
  <c r="Y28" i="14" l="1"/>
  <c r="Y29" i="14" s="1"/>
  <c r="P35" i="13"/>
  <c r="N35" i="13"/>
  <c r="AA25" i="13"/>
  <c r="AA22" i="11"/>
  <c r="O35" i="14" l="1"/>
  <c r="Z25" i="14"/>
  <c r="R36" i="13"/>
  <c r="P37" i="13"/>
  <c r="R38" i="13" s="1"/>
  <c r="AA27" i="11"/>
  <c r="Q36" i="14" l="1"/>
  <c r="O37" i="14"/>
  <c r="Q38" i="14" s="1"/>
  <c r="AA28" i="11"/>
  <c r="AA29" i="11" s="1"/>
  <c r="Q35" i="11" l="1"/>
  <c r="AB25" i="11"/>
  <c r="Q37" i="11" l="1"/>
  <c r="S38" i="11" s="1"/>
  <c r="S36" i="11"/>
  <c r="AF3" i="10" l="1"/>
  <c r="AG3" i="10" s="1"/>
  <c r="AH3" i="10" s="1"/>
  <c r="X45" i="10"/>
  <c r="AK17" i="10"/>
  <c r="AK20" i="10"/>
  <c r="AM36" i="9"/>
  <c r="AM34" i="9"/>
  <c r="AM32" i="9"/>
  <c r="AM30" i="9"/>
  <c r="AF36" i="10"/>
  <c r="I21" i="10"/>
  <c r="I19" i="10"/>
  <c r="R19" i="10" s="1"/>
  <c r="I18" i="10"/>
  <c r="R18" i="10" s="1"/>
  <c r="I16" i="10"/>
  <c r="R16" i="10" s="1"/>
  <c r="I15" i="10"/>
  <c r="O15" i="10" s="1"/>
  <c r="I14" i="10"/>
  <c r="R14" i="10" s="1"/>
  <c r="I13" i="10"/>
  <c r="R13" i="10" s="1"/>
  <c r="I12" i="10"/>
  <c r="R12" i="10" s="1"/>
  <c r="I11" i="10"/>
  <c r="R11" i="10" s="1"/>
  <c r="I10" i="10"/>
  <c r="R10" i="10" s="1"/>
  <c r="I9" i="10"/>
  <c r="R9" i="10" s="1"/>
  <c r="I8" i="10"/>
  <c r="S21" i="9"/>
  <c r="S19" i="9"/>
  <c r="S18" i="9"/>
  <c r="S16" i="9"/>
  <c r="S15" i="9"/>
  <c r="S14" i="9"/>
  <c r="S13" i="9"/>
  <c r="S12" i="9"/>
  <c r="S11" i="9"/>
  <c r="S10" i="9"/>
  <c r="S9" i="9"/>
  <c r="R8" i="9"/>
  <c r="S8" i="9"/>
  <c r="AT17" i="9"/>
  <c r="AT20" i="9"/>
  <c r="O21" i="10" l="1"/>
  <c r="O8" i="10"/>
  <c r="R15" i="10"/>
  <c r="M1" i="10"/>
  <c r="P15" i="10"/>
  <c r="R21" i="10"/>
  <c r="N13" i="10"/>
  <c r="N15" i="10"/>
  <c r="P21" i="10"/>
  <c r="P8" i="10"/>
  <c r="Q21" i="10"/>
  <c r="Q19" i="10"/>
  <c r="Q18" i="10"/>
  <c r="Q16" i="10"/>
  <c r="Q15" i="10"/>
  <c r="M15" i="10"/>
  <c r="Q14" i="10"/>
  <c r="Q13" i="10"/>
  <c r="Q12" i="10"/>
  <c r="Q11" i="10"/>
  <c r="Q10" i="10"/>
  <c r="Q9" i="10"/>
  <c r="L15" i="10"/>
  <c r="P13" i="10"/>
  <c r="Q8" i="10"/>
  <c r="P19" i="10"/>
  <c r="P18" i="10"/>
  <c r="P16" i="10"/>
  <c r="P14" i="10"/>
  <c r="X14" i="10" s="1"/>
  <c r="Y14" i="10" s="1"/>
  <c r="AF14" i="10" s="1"/>
  <c r="P12" i="10"/>
  <c r="P11" i="10"/>
  <c r="P10" i="10"/>
  <c r="P9" i="10"/>
  <c r="R8" i="10"/>
  <c r="O19" i="10"/>
  <c r="O18" i="10"/>
  <c r="O16" i="10"/>
  <c r="O14" i="10"/>
  <c r="O13" i="10"/>
  <c r="O12" i="10"/>
  <c r="O11" i="10"/>
  <c r="O10" i="10"/>
  <c r="O9" i="10"/>
  <c r="L11" i="10"/>
  <c r="L8" i="10"/>
  <c r="M12" i="10"/>
  <c r="N10" i="10"/>
  <c r="N16" i="10"/>
  <c r="L9" i="10"/>
  <c r="L18" i="10"/>
  <c r="M19" i="10"/>
  <c r="K21" i="10"/>
  <c r="X8" i="10" l="1"/>
  <c r="Y8" i="10" s="1"/>
  <c r="L14" i="10"/>
  <c r="K15" i="10"/>
  <c r="V13" i="10"/>
  <c r="X10" i="10"/>
  <c r="Y10" i="10" s="1"/>
  <c r="AF10" i="10" s="1"/>
  <c r="AG10" i="10" s="1"/>
  <c r="AH10" i="10" s="1"/>
  <c r="AI10" i="10" s="1"/>
  <c r="AK10" i="10" s="1"/>
  <c r="X13" i="10"/>
  <c r="Y13" i="10" s="1"/>
  <c r="AF13" i="10" s="1"/>
  <c r="AG13" i="10" s="1"/>
  <c r="AH13" i="10" s="1"/>
  <c r="AI13" i="10" s="1"/>
  <c r="AK13" i="10" s="1"/>
  <c r="K13" i="10"/>
  <c r="M13" i="10"/>
  <c r="AC13" i="10"/>
  <c r="AD13" i="10" s="1"/>
  <c r="AA13" i="10"/>
  <c r="K12" i="10"/>
  <c r="V19" i="10"/>
  <c r="AC11" i="10"/>
  <c r="AD11" i="10" s="1"/>
  <c r="X19" i="10"/>
  <c r="Y19" i="10" s="1"/>
  <c r="AF19" i="10" s="1"/>
  <c r="AG19" i="10" s="1"/>
  <c r="X21" i="10"/>
  <c r="Y21" i="10" s="1"/>
  <c r="Y26" i="10" s="1"/>
  <c r="K16" i="10"/>
  <c r="L13" i="10"/>
  <c r="L16" i="10"/>
  <c r="L12" i="10"/>
  <c r="K10" i="10"/>
  <c r="K14" i="10"/>
  <c r="L19" i="10"/>
  <c r="M9" i="10"/>
  <c r="M11" i="10"/>
  <c r="M18" i="10"/>
  <c r="M21" i="10"/>
  <c r="N21" i="10"/>
  <c r="N11" i="10"/>
  <c r="N19" i="10"/>
  <c r="N8" i="10"/>
  <c r="K19" i="10"/>
  <c r="N18" i="10"/>
  <c r="K18" i="10"/>
  <c r="N12" i="10"/>
  <c r="K9" i="10"/>
  <c r="K11" i="10"/>
  <c r="L21" i="10"/>
  <c r="M10" i="10"/>
  <c r="M14" i="10"/>
  <c r="M16" i="10"/>
  <c r="V8" i="10"/>
  <c r="N14" i="10"/>
  <c r="K8" i="10"/>
  <c r="L10" i="10"/>
  <c r="M8" i="10"/>
  <c r="N9" i="10"/>
  <c r="AC14" i="10"/>
  <c r="AD14" i="10" s="1"/>
  <c r="AA14" i="10"/>
  <c r="X11" i="10"/>
  <c r="Y11" i="10" s="1"/>
  <c r="AF11" i="10" s="1"/>
  <c r="V11" i="10"/>
  <c r="AA15" i="10"/>
  <c r="AC15" i="10"/>
  <c r="AD15" i="10" s="1"/>
  <c r="V18" i="10"/>
  <c r="X18" i="10"/>
  <c r="Y18" i="10" s="1"/>
  <c r="AF18" i="10" s="1"/>
  <c r="AC18" i="10"/>
  <c r="AD18" i="10" s="1"/>
  <c r="AA18" i="10"/>
  <c r="V10" i="10"/>
  <c r="AA11" i="10"/>
  <c r="V21" i="10"/>
  <c r="AA9" i="10"/>
  <c r="AC9" i="10"/>
  <c r="AD9" i="10" s="1"/>
  <c r="V12" i="10"/>
  <c r="X12" i="10"/>
  <c r="Y12" i="10" s="1"/>
  <c r="AF12" i="10" s="1"/>
  <c r="AC19" i="10"/>
  <c r="AD19" i="10" s="1"/>
  <c r="AA19" i="10"/>
  <c r="AC12" i="10"/>
  <c r="AD12" i="10" s="1"/>
  <c r="AA12" i="10"/>
  <c r="AC21" i="10"/>
  <c r="AD21" i="10" s="1"/>
  <c r="AD26" i="10" s="1"/>
  <c r="AA21" i="10"/>
  <c r="AG14" i="10"/>
  <c r="AH14" i="10" s="1"/>
  <c r="AI14" i="10" s="1"/>
  <c r="AK14" i="10" s="1"/>
  <c r="AC10" i="10"/>
  <c r="AD10" i="10" s="1"/>
  <c r="AA10" i="10"/>
  <c r="X9" i="10"/>
  <c r="Y9" i="10" s="1"/>
  <c r="AF9" i="10" s="1"/>
  <c r="V9" i="10"/>
  <c r="AC8" i="10"/>
  <c r="AD8" i="10" s="1"/>
  <c r="V16" i="10"/>
  <c r="X16" i="10"/>
  <c r="Y16" i="10" s="1"/>
  <c r="AF16" i="10" s="1"/>
  <c r="X15" i="10"/>
  <c r="Y15" i="10" s="1"/>
  <c r="AF15" i="10" s="1"/>
  <c r="V15" i="10"/>
  <c r="V14" i="10"/>
  <c r="AC16" i="10"/>
  <c r="AD16" i="10" s="1"/>
  <c r="AA16" i="10"/>
  <c r="AA8" i="10"/>
  <c r="AD25" i="10" l="1"/>
  <c r="AD27" i="10" s="1"/>
  <c r="AD29" i="10" s="1"/>
  <c r="Y25" i="10"/>
  <c r="AF8" i="10"/>
  <c r="AG8" i="10" s="1"/>
  <c r="K23" i="10"/>
  <c r="AF21" i="10"/>
  <c r="AG21" i="10" s="1"/>
  <c r="AH21" i="10" s="1"/>
  <c r="AI21" i="10" s="1"/>
  <c r="AI26" i="10" s="1"/>
  <c r="Y22" i="10"/>
  <c r="AH19" i="10"/>
  <c r="AI19" i="10" s="1"/>
  <c r="AL14" i="10"/>
  <c r="AM14" i="10" s="1"/>
  <c r="AN14" i="10" s="1"/>
  <c r="AL10" i="10"/>
  <c r="AM10" i="10" s="1"/>
  <c r="AN10" i="10" s="1"/>
  <c r="AL13" i="10"/>
  <c r="AM13" i="10" s="1"/>
  <c r="AN13" i="10" s="1"/>
  <c r="AA23" i="10"/>
  <c r="AG16" i="10"/>
  <c r="AH16" i="10" s="1"/>
  <c r="AI16" i="10" s="1"/>
  <c r="AK16" i="10" s="1"/>
  <c r="AG11" i="10"/>
  <c r="AH11" i="10" s="1"/>
  <c r="AI11" i="10" s="1"/>
  <c r="AK11" i="10" s="1"/>
  <c r="AG9" i="10"/>
  <c r="AH9" i="10" s="1"/>
  <c r="AI9" i="10" s="1"/>
  <c r="AK9" i="10" s="1"/>
  <c r="AG15" i="10"/>
  <c r="AH15" i="10" s="1"/>
  <c r="AI15" i="10" s="1"/>
  <c r="AK15" i="10" s="1"/>
  <c r="AG12" i="10"/>
  <c r="AH12" i="10" s="1"/>
  <c r="AI12" i="10" s="1"/>
  <c r="AK12" i="10" s="1"/>
  <c r="AG18" i="10"/>
  <c r="AH18" i="10" s="1"/>
  <c r="AI18" i="10" s="1"/>
  <c r="AK18" i="10" s="1"/>
  <c r="Y27" i="10" l="1"/>
  <c r="Y28" i="10" s="1"/>
  <c r="AK19" i="10"/>
  <c r="AL19" i="10" s="1"/>
  <c r="AM19" i="10" s="1"/>
  <c r="AN19" i="10" s="1"/>
  <c r="AK21" i="10"/>
  <c r="AF22" i="10"/>
  <c r="AL11" i="10"/>
  <c r="AM11" i="10" s="1"/>
  <c r="AN11" i="10" s="1"/>
  <c r="AL18" i="10"/>
  <c r="AM18" i="10" s="1"/>
  <c r="AN18" i="10" s="1"/>
  <c r="AL16" i="10"/>
  <c r="AM16" i="10" s="1"/>
  <c r="AN16" i="10" s="1"/>
  <c r="AL12" i="10"/>
  <c r="AM12" i="10" s="1"/>
  <c r="AN12" i="10" s="1"/>
  <c r="AL15" i="10"/>
  <c r="AM15" i="10" s="1"/>
  <c r="AN15" i="10" s="1"/>
  <c r="AL9" i="10"/>
  <c r="AM9" i="10" s="1"/>
  <c r="AN9" i="10" s="1"/>
  <c r="AH26" i="10"/>
  <c r="X27" i="10" l="1"/>
  <c r="Y29" i="10"/>
  <c r="X28" i="10"/>
  <c r="AC26" i="10"/>
  <c r="AG22" i="10"/>
  <c r="AH8" i="10"/>
  <c r="AL21" i="10"/>
  <c r="AM21" i="10" s="1"/>
  <c r="AN21" i="10" s="1"/>
  <c r="AM26" i="10" s="1"/>
  <c r="AH22" i="10" l="1"/>
  <c r="AI8" i="10"/>
  <c r="AI27" i="10" s="1"/>
  <c r="AI28" i="10" l="1"/>
  <c r="AI22" i="10"/>
  <c r="AK8" i="10"/>
  <c r="AL8" i="10" s="1"/>
  <c r="AC25" i="10" l="1"/>
  <c r="AK22" i="10"/>
  <c r="V32" i="10" s="1"/>
  <c r="AH25" i="10"/>
  <c r="AH27" i="10"/>
  <c r="AH28" i="10" s="1"/>
  <c r="AH29" i="10" s="1"/>
  <c r="AC27" i="10" l="1"/>
  <c r="AC28" i="10" s="1"/>
  <c r="AC29" i="10" s="1"/>
  <c r="AM8" i="10"/>
  <c r="AL22" i="10"/>
  <c r="AM22" i="10" l="1"/>
  <c r="V34" i="10" s="1"/>
  <c r="AN8" i="10"/>
  <c r="AN22" i="10" l="1"/>
  <c r="AM27" i="10" l="1"/>
  <c r="AM28" i="10" s="1"/>
  <c r="AM29" i="10" s="1"/>
  <c r="AM25" i="10"/>
  <c r="R18" i="9"/>
  <c r="R16" i="9"/>
  <c r="R15" i="9"/>
  <c r="R21" i="9"/>
  <c r="R19" i="9"/>
  <c r="R14" i="9"/>
  <c r="R13" i="9"/>
  <c r="R12" i="9"/>
  <c r="R11" i="9"/>
  <c r="R10" i="9"/>
  <c r="R9" i="9"/>
  <c r="R26" i="9" l="1"/>
  <c r="R25" i="9"/>
  <c r="R27" i="9" l="1"/>
  <c r="R28" i="9" s="1"/>
  <c r="R29" i="9" s="1"/>
  <c r="AB21" i="9" l="1"/>
  <c r="AA21" i="9"/>
  <c r="Z21" i="9"/>
  <c r="Y21" i="9"/>
  <c r="Y9" i="9"/>
  <c r="Z9" i="9"/>
  <c r="AA9" i="9"/>
  <c r="AB9" i="9"/>
  <c r="Y10" i="9"/>
  <c r="Z10" i="9"/>
  <c r="AA10" i="9"/>
  <c r="AB10" i="9"/>
  <c r="Y11" i="9"/>
  <c r="Z11" i="9"/>
  <c r="AA11" i="9"/>
  <c r="AB11" i="9"/>
  <c r="Y12" i="9"/>
  <c r="Z12" i="9"/>
  <c r="AA12" i="9"/>
  <c r="AB12" i="9"/>
  <c r="Y13" i="9"/>
  <c r="Z13" i="9"/>
  <c r="AA13" i="9"/>
  <c r="AB13" i="9"/>
  <c r="Y14" i="9"/>
  <c r="Z14" i="9"/>
  <c r="AA14" i="9"/>
  <c r="AB14" i="9"/>
  <c r="Y15" i="9"/>
  <c r="Z15" i="9"/>
  <c r="AA15" i="9"/>
  <c r="AB15" i="9"/>
  <c r="Y16" i="9"/>
  <c r="Z16" i="9"/>
  <c r="AA16" i="9"/>
  <c r="AB16" i="9"/>
  <c r="Y18" i="9"/>
  <c r="Z18" i="9"/>
  <c r="AA18" i="9"/>
  <c r="AB18" i="9"/>
  <c r="Y19" i="9"/>
  <c r="Z19" i="9"/>
  <c r="AA19" i="9"/>
  <c r="AB19" i="9"/>
  <c r="AB8" i="9"/>
  <c r="AA8" i="9"/>
  <c r="Z8" i="9"/>
  <c r="Y8" i="9"/>
  <c r="P26" i="9"/>
  <c r="P25" i="9"/>
  <c r="P21" i="9"/>
  <c r="P19" i="9"/>
  <c r="P18" i="9"/>
  <c r="P16" i="9"/>
  <c r="P15" i="9"/>
  <c r="P14" i="9"/>
  <c r="P13" i="9"/>
  <c r="P12" i="9"/>
  <c r="P11" i="9"/>
  <c r="P10" i="9"/>
  <c r="P9" i="9"/>
  <c r="P8" i="9"/>
  <c r="AH8" i="9" l="1"/>
  <c r="AF10" i="9"/>
  <c r="AF13" i="9"/>
  <c r="AF12" i="9"/>
  <c r="AF11" i="9"/>
  <c r="AF9" i="9"/>
  <c r="AF18" i="9"/>
  <c r="AK18" i="9"/>
  <c r="AH16" i="9"/>
  <c r="AI16" i="9" s="1"/>
  <c r="AP16" i="9" s="1"/>
  <c r="AF15" i="9"/>
  <c r="AF16" i="9"/>
  <c r="AF14" i="9"/>
  <c r="AF8" i="9"/>
  <c r="P27" i="9"/>
  <c r="P28" i="9" s="1"/>
  <c r="P29" i="9" s="1"/>
  <c r="AQ16" i="9" l="1"/>
  <c r="AR16" i="9" s="1"/>
  <c r="AM10" i="9"/>
  <c r="AK11" i="9"/>
  <c r="AK14" i="9"/>
  <c r="AK15" i="9"/>
  <c r="L21" i="9"/>
  <c r="L19" i="9"/>
  <c r="L18" i="9"/>
  <c r="AN10" i="9" l="1"/>
  <c r="AS16" i="9"/>
  <c r="AT16" i="9" s="1"/>
  <c r="AM9" i="9"/>
  <c r="AM13" i="9"/>
  <c r="AH12" i="9"/>
  <c r="AI12" i="9" s="1"/>
  <c r="AP12" i="9" s="1"/>
  <c r="AH18" i="9"/>
  <c r="AI18" i="9" s="1"/>
  <c r="AP18" i="9" s="1"/>
  <c r="AF19" i="9"/>
  <c r="AF21" i="9"/>
  <c r="AM18" i="9"/>
  <c r="AM19" i="9"/>
  <c r="AM21" i="9"/>
  <c r="AI8" i="9"/>
  <c r="AP8" i="9" s="1"/>
  <c r="AM16" i="9"/>
  <c r="AM12" i="9"/>
  <c r="AK19" i="9"/>
  <c r="AK10" i="9"/>
  <c r="AH21" i="9"/>
  <c r="AI21" i="9" s="1"/>
  <c r="AP21" i="9" s="1"/>
  <c r="AH15" i="9"/>
  <c r="AI15" i="9" s="1"/>
  <c r="AP15" i="9" s="1"/>
  <c r="AH11" i="9"/>
  <c r="AI11" i="9" s="1"/>
  <c r="AP11" i="9" s="1"/>
  <c r="AK13" i="9"/>
  <c r="AK9" i="9"/>
  <c r="AM11" i="9"/>
  <c r="AM15" i="9"/>
  <c r="AM14" i="9"/>
  <c r="AH19" i="9"/>
  <c r="AI19" i="9" s="1"/>
  <c r="AP19" i="9" s="1"/>
  <c r="AH14" i="9"/>
  <c r="AI14" i="9" s="1"/>
  <c r="AP14" i="9" s="1"/>
  <c r="AH10" i="9"/>
  <c r="AI10" i="9" s="1"/>
  <c r="AP10" i="9" s="1"/>
  <c r="AK16" i="9"/>
  <c r="AK12" i="9"/>
  <c r="AH13" i="9"/>
  <c r="AI13" i="9" s="1"/>
  <c r="AP13" i="9" s="1"/>
  <c r="AH9" i="9"/>
  <c r="AI9" i="9" s="1"/>
  <c r="AP9" i="9" s="1"/>
  <c r="AK21" i="9"/>
  <c r="AM8" i="9"/>
  <c r="AK8" i="9"/>
  <c r="AU16" i="9" l="1"/>
  <c r="AV16" i="9" s="1"/>
  <c r="AW16" i="9" s="1"/>
  <c r="AQ11" i="9"/>
  <c r="AR11" i="9" s="1"/>
  <c r="AQ13" i="9"/>
  <c r="AR13" i="9" s="1"/>
  <c r="AN11" i="9"/>
  <c r="AQ15" i="9"/>
  <c r="AR15" i="9" s="1"/>
  <c r="AN12" i="9"/>
  <c r="AN19" i="9"/>
  <c r="AQ18" i="9"/>
  <c r="AR18" i="9" s="1"/>
  <c r="AQ9" i="9"/>
  <c r="AR9" i="9" s="1"/>
  <c r="AN15" i="9"/>
  <c r="AN9" i="9"/>
  <c r="AQ19" i="9"/>
  <c r="AR19" i="9" s="1"/>
  <c r="AN16" i="9"/>
  <c r="AN18" i="9"/>
  <c r="AQ12" i="9"/>
  <c r="AR12" i="9" s="1"/>
  <c r="AQ10" i="9"/>
  <c r="AR10" i="9" s="1"/>
  <c r="AN21" i="9"/>
  <c r="AN26" i="9" s="1"/>
  <c r="AM26" i="9" s="1"/>
  <c r="AQ14" i="9"/>
  <c r="AR14" i="9" s="1"/>
  <c r="AN8" i="9"/>
  <c r="AQ21" i="9"/>
  <c r="AR21" i="9" s="1"/>
  <c r="AS21" i="9" s="1"/>
  <c r="AT21" i="9" s="1"/>
  <c r="AU21" i="9" s="1"/>
  <c r="AV21" i="9" s="1"/>
  <c r="AW21" i="9" s="1"/>
  <c r="AN14" i="9"/>
  <c r="AP22" i="9"/>
  <c r="AQ8" i="9"/>
  <c r="AR8" i="9" s="1"/>
  <c r="AS8" i="9" s="1"/>
  <c r="AT8" i="9" s="1"/>
  <c r="AN13" i="9"/>
  <c r="AI26" i="9"/>
  <c r="AH26" i="9" s="1"/>
  <c r="AI25" i="9"/>
  <c r="AH25" i="9" s="1"/>
  <c r="AN25" i="9" l="1"/>
  <c r="AM25" i="9" s="1"/>
  <c r="AU8" i="9"/>
  <c r="AV8" i="9"/>
  <c r="AQ22" i="9"/>
  <c r="AR22" i="9" s="1"/>
  <c r="AS14" i="9"/>
  <c r="AT14" i="9" s="1"/>
  <c r="AS12" i="9"/>
  <c r="AT12" i="9" s="1"/>
  <c r="AS11" i="9"/>
  <c r="AT11" i="9" s="1"/>
  <c r="AU11" i="9" s="1"/>
  <c r="AV11" i="9" s="1"/>
  <c r="AW11" i="9" s="1"/>
  <c r="AS15" i="9"/>
  <c r="AT15" i="9" s="1"/>
  <c r="AU15" i="9" s="1"/>
  <c r="AV15" i="9" s="1"/>
  <c r="AW15" i="9" s="1"/>
  <c r="AS10" i="9"/>
  <c r="AT10" i="9" s="1"/>
  <c r="AS19" i="9"/>
  <c r="AT19" i="9" s="1"/>
  <c r="AU19" i="9" s="1"/>
  <c r="AV19" i="9" s="1"/>
  <c r="AW19" i="9" s="1"/>
  <c r="AS9" i="9"/>
  <c r="AT9" i="9" s="1"/>
  <c r="AS18" i="9"/>
  <c r="AT18" i="9" s="1"/>
  <c r="AU18" i="9" s="1"/>
  <c r="AV18" i="9" s="1"/>
  <c r="AW18" i="9" s="1"/>
  <c r="AS13" i="9"/>
  <c r="AT13" i="9" s="1"/>
  <c r="AW26" i="9"/>
  <c r="AU26" i="9" s="1"/>
  <c r="AS26" i="9"/>
  <c r="AQ26" i="9" s="1"/>
  <c r="AN27" i="9"/>
  <c r="AN29" i="9" s="1"/>
  <c r="AI27" i="9"/>
  <c r="L26" i="9"/>
  <c r="L25" i="9"/>
  <c r="L11" i="9"/>
  <c r="L12" i="9"/>
  <c r="L13" i="9"/>
  <c r="L14" i="9"/>
  <c r="L15" i="9"/>
  <c r="L16" i="9"/>
  <c r="J21" i="9"/>
  <c r="J19" i="9"/>
  <c r="J18" i="9"/>
  <c r="AU9" i="9" l="1"/>
  <c r="AV9" i="9" s="1"/>
  <c r="AU12" i="9"/>
  <c r="AV12" i="9"/>
  <c r="AW12" i="9" s="1"/>
  <c r="AT22" i="9"/>
  <c r="AU13" i="9"/>
  <c r="AV13" i="9" s="1"/>
  <c r="AW13" i="9" s="1"/>
  <c r="AU10" i="9"/>
  <c r="AV10" i="9" s="1"/>
  <c r="AW10" i="9" s="1"/>
  <c r="AU14" i="9"/>
  <c r="AV14" i="9"/>
  <c r="AW14" i="9" s="1"/>
  <c r="AW8" i="9"/>
  <c r="AS22" i="9"/>
  <c r="AS25" i="9"/>
  <c r="AQ25" i="9" s="1"/>
  <c r="AM27" i="9"/>
  <c r="AM28" i="9" s="1"/>
  <c r="AM29" i="9" s="1"/>
  <c r="AI29" i="9"/>
  <c r="AH27" i="9"/>
  <c r="L27" i="9"/>
  <c r="L28" i="9" s="1"/>
  <c r="L29" i="9" s="1"/>
  <c r="H21" i="9"/>
  <c r="H19" i="9"/>
  <c r="H18" i="9"/>
  <c r="AU22" i="9" l="1"/>
  <c r="AW9" i="9"/>
  <c r="AW25" i="9" s="1"/>
  <c r="AV22" i="9"/>
  <c r="AW22" i="9"/>
  <c r="AS27" i="9"/>
  <c r="AS29" i="9" s="1"/>
  <c r="AH28" i="9"/>
  <c r="AH29" i="9" s="1"/>
  <c r="AF30" i="9" s="1"/>
  <c r="AF31" i="9" s="1"/>
  <c r="N26" i="9"/>
  <c r="J26" i="9"/>
  <c r="H26" i="9"/>
  <c r="F26" i="9"/>
  <c r="N25" i="9"/>
  <c r="J25" i="9"/>
  <c r="H25" i="9"/>
  <c r="F25" i="9"/>
  <c r="N21" i="9"/>
  <c r="F21" i="9"/>
  <c r="D21" i="9"/>
  <c r="N19" i="9"/>
  <c r="N18" i="9"/>
  <c r="N16" i="9"/>
  <c r="N15" i="9"/>
  <c r="N14" i="9"/>
  <c r="N13" i="9"/>
  <c r="N12" i="9"/>
  <c r="N11" i="9"/>
  <c r="N10" i="9"/>
  <c r="N9" i="9"/>
  <c r="N8" i="9"/>
  <c r="J16" i="9"/>
  <c r="F19" i="9"/>
  <c r="F18" i="9"/>
  <c r="D19" i="9"/>
  <c r="D18" i="9"/>
  <c r="L10" i="9"/>
  <c r="L9" i="9"/>
  <c r="L8" i="9"/>
  <c r="J15" i="9"/>
  <c r="J14" i="9"/>
  <c r="J13" i="9"/>
  <c r="J12" i="9"/>
  <c r="J11" i="9"/>
  <c r="J10" i="9"/>
  <c r="J9" i="9"/>
  <c r="J8" i="9"/>
  <c r="H16" i="9"/>
  <c r="H15" i="9"/>
  <c r="H14" i="9"/>
  <c r="H13" i="9"/>
  <c r="H12" i="9"/>
  <c r="H11" i="9"/>
  <c r="H10" i="9"/>
  <c r="H9" i="9"/>
  <c r="H8" i="9"/>
  <c r="F16" i="9"/>
  <c r="F15" i="9"/>
  <c r="F14" i="9"/>
  <c r="F13" i="9"/>
  <c r="F12" i="9"/>
  <c r="F11" i="9"/>
  <c r="F10" i="9"/>
  <c r="F9" i="9"/>
  <c r="F8" i="9"/>
  <c r="D16" i="9"/>
  <c r="D15" i="9"/>
  <c r="D14" i="9"/>
  <c r="D13" i="9"/>
  <c r="D12" i="9"/>
  <c r="D11" i="9"/>
  <c r="D10" i="9"/>
  <c r="D9" i="9"/>
  <c r="D8" i="9"/>
  <c r="AU25" i="9" l="1"/>
  <c r="AW27" i="9"/>
  <c r="AW29" i="9" s="1"/>
  <c r="AQ27" i="9"/>
  <c r="AQ28" i="9" s="1"/>
  <c r="AQ29" i="9" s="1"/>
  <c r="AI30" i="9"/>
  <c r="AP31" i="9" s="1"/>
  <c r="AF32" i="9"/>
  <c r="U11" i="9"/>
  <c r="V11" i="9"/>
  <c r="W11" i="9"/>
  <c r="X11" i="9"/>
  <c r="X19" i="9"/>
  <c r="V19" i="9"/>
  <c r="W19" i="9"/>
  <c r="U19" i="9"/>
  <c r="X8" i="9"/>
  <c r="W8" i="9"/>
  <c r="U8" i="9"/>
  <c r="V8" i="9"/>
  <c r="U12" i="9"/>
  <c r="V12" i="9"/>
  <c r="W12" i="9"/>
  <c r="X12" i="9"/>
  <c r="U16" i="9"/>
  <c r="V16" i="9"/>
  <c r="W16" i="9"/>
  <c r="X16" i="9"/>
  <c r="U15" i="9"/>
  <c r="V15" i="9"/>
  <c r="X15" i="9"/>
  <c r="W15" i="9"/>
  <c r="U9" i="9"/>
  <c r="W9" i="9"/>
  <c r="V9" i="9"/>
  <c r="X9" i="9"/>
  <c r="U13" i="9"/>
  <c r="V13" i="9"/>
  <c r="X13" i="9"/>
  <c r="W13" i="9"/>
  <c r="U10" i="9"/>
  <c r="V10" i="9"/>
  <c r="X10" i="9"/>
  <c r="W10" i="9"/>
  <c r="U14" i="9"/>
  <c r="V14" i="9"/>
  <c r="W14" i="9"/>
  <c r="X14" i="9"/>
  <c r="X18" i="9"/>
  <c r="W18" i="9"/>
  <c r="U18" i="9"/>
  <c r="V18" i="9"/>
  <c r="X21" i="9"/>
  <c r="W21" i="9"/>
  <c r="V21" i="9"/>
  <c r="U21" i="9"/>
  <c r="J27" i="9"/>
  <c r="H27" i="9"/>
  <c r="F27" i="9"/>
  <c r="N27" i="9"/>
  <c r="AU27" i="9" l="1"/>
  <c r="AU28" i="9" s="1"/>
  <c r="AU29" i="9" s="1"/>
  <c r="AI32" i="9"/>
  <c r="AF33" i="9"/>
  <c r="AF34" i="9" s="1"/>
  <c r="AI34" i="9" s="1"/>
  <c r="U23" i="9"/>
  <c r="D29" i="9"/>
  <c r="N28" i="9"/>
  <c r="N29" i="9" s="1"/>
  <c r="H28" i="9"/>
  <c r="H29" i="9" s="1"/>
  <c r="J28" i="9"/>
  <c r="J29" i="9" s="1"/>
  <c r="F28" i="9"/>
  <c r="F29" i="9" s="1"/>
  <c r="AI36" i="9" l="1"/>
  <c r="X23" i="9"/>
  <c r="Z23" i="9"/>
  <c r="AA23" i="9"/>
  <c r="AB23" i="9"/>
  <c r="W23" i="9"/>
  <c r="Y23" i="9"/>
  <c r="V23" i="9"/>
  <c r="AF23" i="9" l="1"/>
  <c r="AK23" i="9"/>
  <c r="Y32" i="10" l="1"/>
  <c r="AF33" i="10" s="1"/>
  <c r="V33" i="10"/>
  <c r="Y30" i="10"/>
  <c r="AF31" i="10" s="1"/>
  <c r="V31" i="10"/>
  <c r="Y34" i="10" l="1"/>
  <c r="AF35" i="10" s="1"/>
  <c r="V45" i="10"/>
  <c r="Y36" i="10" l="1"/>
  <c r="AF37" i="10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Mutis</author>
    <author>Guillermo Andres Mutis Gaitan</author>
  </authors>
  <commentList>
    <comment ref="L4" authorId="0" shapeId="0" xr:uid="{320D3E97-7B93-4FA7-AF2E-DDA229B8D554}">
      <text>
        <r>
          <rPr>
            <sz val="9"/>
            <color indexed="81"/>
            <rFont val="Tahoma"/>
            <family val="2"/>
          </rPr>
          <t>Se calcula para aquellos salarios inferiores a 2 SMMLV</t>
        </r>
      </text>
    </comment>
    <comment ref="P4" authorId="0" shapeId="0" xr:uid="{AD94CE48-6E3A-4EFC-9CBE-CA59586F14FC}">
      <text>
        <r>
          <rPr>
            <sz val="9"/>
            <color indexed="81"/>
            <rFont val="Tahoma"/>
            <family val="2"/>
          </rPr>
          <t>La base es el salario básico mas auxilio de transporte</t>
        </r>
      </text>
    </comment>
    <comment ref="S4" authorId="0" shapeId="0" xr:uid="{75EAF680-C26B-4EE6-AA38-B1FECCC0F01C}">
      <text>
        <r>
          <rPr>
            <sz val="9"/>
            <color indexed="81"/>
            <rFont val="Tahoma"/>
            <family val="2"/>
          </rPr>
          <t>La base es el salario básico mas auxilio de transporte</t>
        </r>
      </text>
    </comment>
    <comment ref="M5" authorId="0" shapeId="0" xr:uid="{D1241867-FD74-414F-9D45-F3538D3B0477}">
      <text>
        <r>
          <rPr>
            <sz val="9"/>
            <color indexed="81"/>
            <rFont val="Tahoma"/>
            <family val="2"/>
          </rPr>
          <t>8,5% del salario</t>
        </r>
      </text>
    </comment>
    <comment ref="N5" authorId="0" shapeId="0" xr:uid="{558B6083-7B50-4436-93DE-10B0450C759A}">
      <text>
        <r>
          <rPr>
            <sz val="9"/>
            <color indexed="81"/>
            <rFont val="Tahoma"/>
            <family val="2"/>
          </rPr>
          <t>12% sobre el salario</t>
        </r>
      </text>
    </comment>
    <comment ref="O5" authorId="1" shapeId="0" xr:uid="{9E9D63D6-3D10-48C3-91CD-24E7F90EF98C}">
      <text>
        <r>
          <rPr>
            <sz val="9"/>
            <color indexed="81"/>
            <rFont val="Tahoma"/>
            <family val="2"/>
          </rPr>
          <t>La base de calculo es el salario base</t>
        </r>
      </text>
    </comment>
    <comment ref="P5" authorId="0" shapeId="0" xr:uid="{ADF0BB0B-6B74-4E42-81A5-8099921EEB7C}">
      <text>
        <r>
          <rPr>
            <sz val="9"/>
            <color indexed="81"/>
            <rFont val="Tahoma"/>
            <family val="2"/>
          </rPr>
          <t>Un salario mensual por cada año trabajado, o proporcionalmente</t>
        </r>
      </text>
    </comment>
    <comment ref="R5" authorId="0" shapeId="0" xr:uid="{06B2D33D-6B16-4491-8AD0-7202AB24F089}">
      <text>
        <r>
          <rPr>
            <sz val="9"/>
            <color indexed="81"/>
            <rFont val="Tahoma"/>
            <family val="2"/>
          </rPr>
          <t>15 días hábiles de vacaciones al año</t>
        </r>
      </text>
    </comment>
    <comment ref="S5" authorId="0" shapeId="0" xr:uid="{84A8A91A-BACD-4C69-B71B-938F91F26CE7}">
      <text>
        <r>
          <rPr>
            <sz val="9"/>
            <color indexed="81"/>
            <rFont val="Tahoma"/>
            <family val="2"/>
          </rPr>
          <t xml:space="preserve">Pago de medio salario cada semestre 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<sst xmlns="http://schemas.openxmlformats.org/spreadsheetml/2006/main" count="1200" uniqueCount="285">
  <si>
    <t>PERT SIN PROMEDIO PERO CON ARMONICA</t>
  </si>
  <si>
    <t>PERT CON PROMEDIO</t>
  </si>
  <si>
    <t>DÍAS</t>
  </si>
  <si>
    <t>DOCUMENTO DE VALIDACIÓN DE PRECIOS DE REFERENCIA</t>
  </si>
  <si>
    <t>VALORES UNITARIOS</t>
  </si>
  <si>
    <t>VALORES TOTALES</t>
  </si>
  <si>
    <t xml:space="preserve">CONSOLIDADO DE COTIZACIONES </t>
  </si>
  <si>
    <t>1. JFS CONSULTORES SAS 
25/04/2025</t>
  </si>
  <si>
    <t>2. 3B PROYECTOS S A S
24/04/2025</t>
  </si>
  <si>
    <t>3. VCO S.A.S
25/04/2025</t>
  </si>
  <si>
    <t>4. INCOLTA INTERVENTORÍAS Y CONSULTORÍAS S.A.S.
25/04/2025</t>
  </si>
  <si>
    <t>5. OLI CONSULTING
24/04/2025</t>
  </si>
  <si>
    <t>6. No. SED-CM-A-DSA-063-2024
ALIANZA INTEGRAL DE PROYECTOS SAS
+ INDEXACIÓN 5,20% 2024</t>
  </si>
  <si>
    <t>PROMEDIO</t>
  </si>
  <si>
    <t>MEDIANA</t>
  </si>
  <si>
    <t>MEDIA GEOMETRICA</t>
  </si>
  <si>
    <t>MEDIA ARMONICA</t>
  </si>
  <si>
    <t>ESTIMACIÓN DEL PRESUPUESTO MEDIANTE METODOLOGÍA PERT 2025 
5 meses 5 dias</t>
  </si>
  <si>
    <t>ESTIMACIÓN DEL PRESUPUESTO MEDIANTE METODOLOGÍA PERT</t>
  </si>
  <si>
    <t>ESTIMACIÓN DEL PRESUPUESTO MEDIANTE METODOLOGÍA 
PERT 2026 (12 meses)</t>
  </si>
  <si>
    <t>ESTIMACIÓN DEL PRESUPUESTO MEDIANTE METODOLOGÍA 
PERT 2027 (12 meses)</t>
  </si>
  <si>
    <t>N°</t>
  </si>
  <si>
    <t>Descripción Personal Requerido
(Ver Anexo Técnico Numeral 13 y 14)</t>
  </si>
  <si>
    <t xml:space="preserve"> Personal Requerido</t>
  </si>
  <si>
    <t>Valor total</t>
  </si>
  <si>
    <t>VALOR UNITARIO ANTES DE IVA</t>
  </si>
  <si>
    <t xml:space="preserve">VALOR TOTAL </t>
  </si>
  <si>
    <t>MENOR</t>
  </si>
  <si>
    <t>VALOR UNITARIO INCUIDO IVA</t>
  </si>
  <si>
    <t>VALOR TOTAL INCUIDO IVA</t>
  </si>
  <si>
    <t>vr. Mes</t>
  </si>
  <si>
    <t>incremento 
3%</t>
  </si>
  <si>
    <t>Vr. Mes con incremento</t>
  </si>
  <si>
    <t>VALOR TOTAL * 12 meses</t>
  </si>
  <si>
    <t>VALOR TOTAL  * 12 meses</t>
  </si>
  <si>
    <t>1. COSTOS DIRECTOS DE RECURSO HUMANO MÍNIMO REQUERIDO</t>
  </si>
  <si>
    <t>1.1.</t>
  </si>
  <si>
    <t>DIRECTOR DE INTERVENTORIA</t>
  </si>
  <si>
    <t>1.2.</t>
  </si>
  <si>
    <t>COORDINADOR ADMINISTRATIVO Y FINANCIERO</t>
  </si>
  <si>
    <t>1.3.</t>
  </si>
  <si>
    <t>COORDINADOR  OPERATIVO</t>
  </si>
  <si>
    <t>1.4.</t>
  </si>
  <si>
    <t>COORDINADOR TÉCNICO</t>
  </si>
  <si>
    <t>1.5.</t>
  </si>
  <si>
    <t>ANALISTA DE SEGURIDAD</t>
  </si>
  <si>
    <t>1.6.</t>
  </si>
  <si>
    <t>ABOGADO</t>
  </si>
  <si>
    <t>1.7.</t>
  </si>
  <si>
    <t>SUPERVISORES OPERATIVOS (13)</t>
  </si>
  <si>
    <t>1.8.</t>
  </si>
  <si>
    <t>SUPERVISORES TÉCNICOS(13)</t>
  </si>
  <si>
    <t>1.9.</t>
  </si>
  <si>
    <t>ANALISTA DE DATOS</t>
  </si>
  <si>
    <t xml:space="preserve">2. OTROS COSTOS DIRECTOS ASOCIADOS A LA OPERACIÓN </t>
  </si>
  <si>
    <t>2.1.</t>
  </si>
  <si>
    <t xml:space="preserve"> Movilización para realización de las visitas a los Colegios Distritales, Sedes Administrativas de la Secretaría de Educación del Distrito -SED y Empresas ejecutoras del contrato de vigilancia ( ANEXO TÉCNICO Numeral 5)</t>
  </si>
  <si>
    <t>2.2.</t>
  </si>
  <si>
    <t xml:space="preserve">Asignar al personal mínimo requerido equipos de comunicación idóneos durante la ejecución el contrato (ver  ANEXO TÉCNICO Numerales 8,9,10 y 13.) </t>
  </si>
  <si>
    <t>3. GASTOS ADMINISTRATIVOS</t>
  </si>
  <si>
    <t>Gastos Administrativos</t>
  </si>
  <si>
    <t>RESUMEN 2025</t>
  </si>
  <si>
    <t>ESTIMACIÓN DEL PRESUPUESTO MEDIANTE METODOLOGÍA PERT 2025</t>
  </si>
  <si>
    <t>ESTIMACIÓN DEL PRESUPUESTO MEDIANTE METODOLOGÍA PERT 2026</t>
  </si>
  <si>
    <t>ESTIMACIÓN DEL PRESUPUESTO MEDIANTE METODOLOGÍA PERT 2027</t>
  </si>
  <si>
    <t>SUBTOTAL COSTO DIRECTOS (Sumatoria N°1 y 2)</t>
  </si>
  <si>
    <t>GASTOS ADMINISTRATIVOS (N° 3)</t>
  </si>
  <si>
    <t xml:space="preserve">SUBTOTAL COTIZACIÓN </t>
  </si>
  <si>
    <t>IVA</t>
  </si>
  <si>
    <t>TOTAL COTIZACIÓN</t>
  </si>
  <si>
    <t>vr. Mes 2025</t>
  </si>
  <si>
    <t>vr. 5 meses 5 dias2025</t>
  </si>
  <si>
    <t>VF APROBADAS</t>
  </si>
  <si>
    <t>incremento 3%</t>
  </si>
  <si>
    <t>DIFERENCIA</t>
  </si>
  <si>
    <t>vr. Mes 2026</t>
  </si>
  <si>
    <t>vr. 12 meses</t>
  </si>
  <si>
    <t>vr. Mes 2027</t>
  </si>
  <si>
    <t>VALOR TOTAL CONTRATO 
DESDE 25/07/2025 HASTA 31/12/2027</t>
  </si>
  <si>
    <t>5 meses 14 dias</t>
  </si>
  <si>
    <t>vr. 14 dias</t>
  </si>
  <si>
    <t xml:space="preserve">vr. Mes </t>
  </si>
  <si>
    <t>valor cto</t>
  </si>
  <si>
    <t xml:space="preserve">actual </t>
  </si>
  <si>
    <t>2. VCO S.A.S
25/04/2025</t>
  </si>
  <si>
    <t>3. OLI CONSULTING
24/04/2025</t>
  </si>
  <si>
    <t>4. No. SED-CM-A-DSA-063-2024
ALIANZA INTEGRAL DE PROYECTOS SAS
+ INDEXACIÓN 5,20% 2024</t>
  </si>
  <si>
    <t>VALOR TOTAL</t>
  </si>
  <si>
    <t>incremento 
3,23%</t>
  </si>
  <si>
    <t>MEDIDAS DE TENDENCIA CENTRAL</t>
  </si>
  <si>
    <t>4. No. SED-CM-A-DSA-063-2024
ALIANZA INTEGRAL DE PROYECTOS SAS</t>
  </si>
  <si>
    <t>% de dedicación</t>
  </si>
  <si>
    <t xml:space="preserve">Plazo </t>
  </si>
  <si>
    <t>Valor mensual unitario</t>
  </si>
  <si>
    <t>VALOR UNITARIO MES</t>
  </si>
  <si>
    <t>VALOR UNITARIO MES 2025</t>
  </si>
  <si>
    <t>VALOR UNITARIO MES 2026</t>
  </si>
  <si>
    <t>VALOR UNITARIO MES 2027</t>
  </si>
  <si>
    <t>HOMOLOGACIÓN PERFILES TABLA DE HONORARIOS SED</t>
  </si>
  <si>
    <t>VALOR UNITARIO MES ESTUDIO DE MERCADO</t>
  </si>
  <si>
    <t>% VARIACIÓN TABLA DE HONORARIOS VS ESTUDIO DE MERCADO</t>
  </si>
  <si>
    <t>Director de la Interventoría</t>
  </si>
  <si>
    <t>Coordinador Administrativo y Financiero</t>
  </si>
  <si>
    <t>Coordinador Operativo</t>
  </si>
  <si>
    <t>Coordinador Técnico</t>
  </si>
  <si>
    <t>Analistad e seguridad</t>
  </si>
  <si>
    <t>Abogado</t>
  </si>
  <si>
    <t>SUPERVISORES OPERATIVOS</t>
  </si>
  <si>
    <t>Supervisor operativo</t>
  </si>
  <si>
    <t>SUPERVISORES TÉCNICOS</t>
  </si>
  <si>
    <t>Analista  de datos</t>
  </si>
  <si>
    <t>N/A</t>
  </si>
  <si>
    <t>2. VCO S.A.S
25/04/20255</t>
  </si>
  <si>
    <t>VALOR MES</t>
  </si>
  <si>
    <t>CDP</t>
  </si>
  <si>
    <t>VALOR CDP</t>
  </si>
  <si>
    <t>2026  - vr. 12 meses</t>
  </si>
  <si>
    <t>2027  - vr. 12 meses</t>
  </si>
  <si>
    <t>=redondera(AA41*60%;0)</t>
  </si>
  <si>
    <t xml:space="preserve">Actual </t>
  </si>
  <si>
    <t>VALOR ESTUDIO DE SECTOR</t>
  </si>
  <si>
    <t>% VARIACIÓN</t>
  </si>
  <si>
    <t>ALCALDÍA MAYOR DE BOGOTÁ D.C</t>
  </si>
  <si>
    <t>SECRETARÍA DE EDUCACIÓN DEL DISTRITO</t>
  </si>
  <si>
    <t xml:space="preserve">CONCURSO DE MÉRITOS </t>
  </si>
  <si>
    <t xml:space="preserve">ANEXO </t>
  </si>
  <si>
    <t>PROPUESTA ECONÓMICA</t>
  </si>
  <si>
    <t>Ítem 1.</t>
  </si>
  <si>
    <t>COSTOS DIRECTOS (RECURSO HUMANO)</t>
  </si>
  <si>
    <t>Cantidad</t>
  </si>
  <si>
    <t>% Dedicación</t>
  </si>
  <si>
    <t>Plazo de Ejecución
(Meses)</t>
  </si>
  <si>
    <t>Valor Unitario de Referencia</t>
  </si>
  <si>
    <t>El valor ofertado para este ítem no podrá superar el Valor Unitario de Referencia</t>
  </si>
  <si>
    <t>Valor total
=(Cantidad*Plazo)*Valor Ofertado</t>
  </si>
  <si>
    <t>Valores a 2024 para 5,5 meses</t>
  </si>
  <si>
    <t>Valor unitario mes Mes</t>
  </si>
  <si>
    <t>Valor 5,17 meses</t>
  </si>
  <si>
    <t>1.1</t>
  </si>
  <si>
    <t>1.2</t>
  </si>
  <si>
    <t>1.3</t>
  </si>
  <si>
    <t>1.4</t>
  </si>
  <si>
    <t>COORDINADOR TECNICO</t>
  </si>
  <si>
    <t>1.5</t>
  </si>
  <si>
    <t>1.6</t>
  </si>
  <si>
    <t>1.7</t>
  </si>
  <si>
    <t>1.8</t>
  </si>
  <si>
    <t>SUPERVISORES TECNICOS</t>
  </si>
  <si>
    <t>1.9</t>
  </si>
  <si>
    <t>Ítem 2.</t>
  </si>
  <si>
    <t xml:space="preserve">OTROS COSTOS </t>
  </si>
  <si>
    <t>Und. Medida</t>
  </si>
  <si>
    <t>Valor total de referencia
 (5,5 meses)</t>
  </si>
  <si>
    <t>El valor ofertado para este ítem no podrá superar el Valor total de referencia
 (5,5 meses)</t>
  </si>
  <si>
    <t>Total Ítem 1, Recuros Humano</t>
  </si>
  <si>
    <t>2.1</t>
  </si>
  <si>
    <t xml:space="preserve"> Movilización para realización de las visitas a los Colegios Distritales, Sedes Administrativas de la Secretaría de Educación del Distrito -SED y Empresas ejecutoras del contrato de vigilancia ( ANEXO TECNICO Numeral 5)</t>
  </si>
  <si>
    <t>VALOR GLOBAL</t>
  </si>
  <si>
    <t>Total Ítem 2, Otros Costos</t>
  </si>
  <si>
    <t>2.2</t>
  </si>
  <si>
    <t xml:space="preserve">Asignar al personal mínimo requerido equipos de comunicación idoneos durante la ejecución el contrato (ver  ANEXO TECNICO Numerales 8,9,10 y 13.) </t>
  </si>
  <si>
    <t>2.3</t>
  </si>
  <si>
    <t>Costos Administrativos</t>
  </si>
  <si>
    <r>
      <t xml:space="preserve">TOTAL PROPUESTA </t>
    </r>
    <r>
      <rPr>
        <sz val="12"/>
        <color rgb="FF000000"/>
        <rFont val="Calibri Light"/>
        <family val="2"/>
      </rPr>
      <t>(VALOR A DILIGENCIAR EN SECOP)</t>
    </r>
  </si>
  <si>
    <t>FIRMA REPRESENTANTE LEGAL DEL PROPONENTE</t>
  </si>
  <si>
    <r>
      <t xml:space="preserve">NOTA 1: </t>
    </r>
    <r>
      <rPr>
        <sz val="12"/>
        <color rgb="FF000000"/>
        <rFont val="Calibri"/>
        <family val="2"/>
        <scheme val="minor"/>
      </rPr>
      <t>Los valores ofertados por los interesados no podra superar el valor oficial del proceso ya estruturado por la entidad y el cual se encuentra en los EP y en el Estudio del Sector.</t>
    </r>
  </si>
  <si>
    <r>
      <t xml:space="preserve">NOTA 2: </t>
    </r>
    <r>
      <rPr>
        <sz val="12"/>
        <color rgb="FF000000"/>
        <rFont val="Calibri"/>
        <family val="2"/>
        <scheme val="minor"/>
      </rPr>
      <t>En cada ítem de los costos directos del Recurso Humano, debe tener en cuenta todos los gastos asociados a la contratación de personal de conformidad con la normatividad laboral y contractual vigente. Ahora, para los perfiles que cuenten con dedicación del 100%, tenga en consideración la carga prestacional en virtud de lo establecido en el numeral 10 del anexo técnico</t>
    </r>
  </si>
  <si>
    <r>
      <rPr>
        <b/>
        <sz val="12"/>
        <color rgb="FF000000"/>
        <rFont val="Calibri"/>
        <family val="2"/>
        <scheme val="minor"/>
      </rPr>
      <t>NOTA 3:</t>
    </r>
    <r>
      <rPr>
        <sz val="12"/>
        <color rgb="FF000000"/>
        <rFont val="Calibri"/>
        <family val="2"/>
        <scheme val="minor"/>
      </rPr>
      <t xml:space="preserve"> Dentro del ítem "2. OTROS COSTOS " se contemplará los costos directos e indirectos necesarias para la ejecución del contrato o contratos resultantes del presente proceso, e inclusive el margen previsto por el contratista para su ejecución, los costos administrativos incluyen toda clase de gravámenes, impuestos, tasas, tarifas o tributo en general que se cause por la prestación del servicio como: (i) pólizas; (ii) gastos legales y bancarios; (iii) papelería; (iv) arriendos; (v) equipo de cómputos e impresión, etc.</t>
    </r>
  </si>
  <si>
    <t>TABLA PARA CALCULAR SALARIOS CON PRESTACIONES SOCIALES - SOLO INCLUYEN LOS FACTORES QUE LA LEY EXIGE</t>
  </si>
  <si>
    <t>Personal requerido para el Proyecto</t>
  </si>
  <si>
    <t>Salario de Referencia Tabla de Honorarios SED</t>
  </si>
  <si>
    <t>Homologación básica mensual (MAXIMA)</t>
  </si>
  <si>
    <t>Cantidad requerida</t>
  </si>
  <si>
    <t>Meses requeridos</t>
  </si>
  <si>
    <t>Asignación básica mensual (MINIMO)</t>
  </si>
  <si>
    <t>SUBSIDIO TRANSPORTE</t>
  </si>
  <si>
    <t>SALUD</t>
  </si>
  <si>
    <t>PENSION</t>
  </si>
  <si>
    <t>ARL</t>
  </si>
  <si>
    <t>CESANTIAS</t>
  </si>
  <si>
    <t>INTERESES CESANTIAS</t>
  </si>
  <si>
    <t>VACACIONES</t>
  </si>
  <si>
    <t>PRIMA</t>
  </si>
  <si>
    <t>PARAFISCALES</t>
  </si>
  <si>
    <t>iva</t>
  </si>
  <si>
    <t>SUBTOTAL</t>
  </si>
  <si>
    <t>Factor Prestacional</t>
  </si>
  <si>
    <t>Dotación (Proporc. Mensual)</t>
  </si>
  <si>
    <t>TOTAL MENSUAL ESTIMADO 2025</t>
  </si>
  <si>
    <t>Factor prestacional
(incluye 
dotación)</t>
  </si>
  <si>
    <t>Valor estimado a pagar durante la ejecución</t>
  </si>
  <si>
    <t>Perfil Académico</t>
  </si>
  <si>
    <t>Experiencia Profesional</t>
  </si>
  <si>
    <t>Postgrado (especialización)</t>
  </si>
  <si>
    <t>5 años experiencia específica</t>
  </si>
  <si>
    <t>PROFESIONAL ESPECIALIZADO II</t>
  </si>
  <si>
    <t>3 años experiencia específica</t>
  </si>
  <si>
    <t>PROFESIONAL ESPECIALIZADO I</t>
  </si>
  <si>
    <t>4 años experiencia específica</t>
  </si>
  <si>
    <t>Postgrado</t>
  </si>
  <si>
    <t>PROFESIONAL IV</t>
  </si>
  <si>
    <t>Tecnólogos o Técnicos profesionales</t>
  </si>
  <si>
    <t>TÉCNICO PROFESIONAL O TECNÓLOGO IV</t>
  </si>
  <si>
    <t>Supervisor técnico</t>
  </si>
  <si>
    <t>2 años experiencia específica</t>
  </si>
  <si>
    <t>TÉCNICO PROFESIONAL O TECNÓLOGO III</t>
  </si>
  <si>
    <t>1 años experiencia específica</t>
  </si>
  <si>
    <t>TÉCNICO PROFESIONAL O TECNÓLOGO II</t>
  </si>
  <si>
    <t>ITEM</t>
  </si>
  <si>
    <t>Salario Mínimo</t>
  </si>
  <si>
    <t>Auxilio Transporte</t>
  </si>
  <si>
    <t>Dos smmlv --&gt;</t>
  </si>
  <si>
    <t>PERFIL</t>
  </si>
  <si>
    <t>REQUISITOS DE FORMACIÓN ACADÉMICA:</t>
  </si>
  <si>
    <t>REQUISITOS DE EXPERIENCIA MÍNIMOS:</t>
  </si>
  <si>
    <t>MÍNIMO</t>
  </si>
  <si>
    <t>MÁXIMO</t>
  </si>
  <si>
    <t>SERVICIOS PROFESIONALES</t>
  </si>
  <si>
    <t>PROFESIONAL SENIOR III (*)</t>
  </si>
  <si>
    <t>Título profesional, título de posgrado en la modalidad de doctorado</t>
  </si>
  <si>
    <t>Catorce (14) años de experiencia profesional.</t>
  </si>
  <si>
    <t>PROFESIONAL SENIOR II (*)</t>
  </si>
  <si>
    <t>Trece (13) años de experiencia profesional.</t>
  </si>
  <si>
    <t>PROFESIONAL SENIOR I (*)</t>
  </si>
  <si>
    <t>Título profesional, título de posgrado en la modalidad de maestría o doctorado</t>
  </si>
  <si>
    <t>Doce (12) años de experiencia profesional.</t>
  </si>
  <si>
    <t>PROFESIONAL EXPERTO III</t>
  </si>
  <si>
    <t>Diez (10) años de experiencia profesional.</t>
  </si>
  <si>
    <t>PROFESIONAL EXPERTO II</t>
  </si>
  <si>
    <t>Ocho (8) años de experiencia profesional.</t>
  </si>
  <si>
    <t>PROFESIONAL EXPERTO I</t>
  </si>
  <si>
    <t>Siete (7) años de experiencia profesional.</t>
  </si>
  <si>
    <t>PROFESIONAL ESPECIALIZADO IV</t>
  </si>
  <si>
    <t>Título profesional, con título de especialización</t>
  </si>
  <si>
    <t>PROFESIONAL ESPECIALIZADO III</t>
  </si>
  <si>
    <t>Seis (6) años de experiencia profesional.</t>
  </si>
  <si>
    <t>Cinco (5) años de experiencia profesional.</t>
  </si>
  <si>
    <t>Cuatro (4) años de experiencia profesional.</t>
  </si>
  <si>
    <t>Título profesional</t>
  </si>
  <si>
    <t>Tres (3) años de experiencia profesional</t>
  </si>
  <si>
    <t>PROFESIONAL III</t>
  </si>
  <si>
    <t>Dos (2) años de experiencia profesional</t>
  </si>
  <si>
    <t>PROFESIONAL II</t>
  </si>
  <si>
    <t>Un (1) año de experiencia profesional</t>
  </si>
  <si>
    <t>PROFESIONAL I</t>
  </si>
  <si>
    <t>Sin experiencia</t>
  </si>
  <si>
    <t>APOYO A LA GESTIÓN</t>
  </si>
  <si>
    <t>Título de formación técnico profesional o tecnólogo</t>
  </si>
  <si>
    <t>Tres (3) años de experiencia relacionada o laboral.</t>
  </si>
  <si>
    <t>Dos (2) años de experiencia relacionada o laboral.</t>
  </si>
  <si>
    <t>Un (1) año de experiencia relacionada o laboral.</t>
  </si>
  <si>
    <t>TÉCNICO PROFESIONAL O TECNÓLOGO I</t>
  </si>
  <si>
    <t>BACHILLER III</t>
  </si>
  <si>
    <t>Título de bachiller</t>
  </si>
  <si>
    <t>5 años de experiencia laboral</t>
  </si>
  <si>
    <t>BACHILLER II</t>
  </si>
  <si>
    <t>2 años de experiencia laboral</t>
  </si>
  <si>
    <t>BACHILLER I</t>
  </si>
  <si>
    <t>Hasta 1 año de experiencia laboral</t>
  </si>
  <si>
    <t>ESTIMACIÓN DEL PRESUPUESTO MEDIANTE METODOLOGÍA PERT desde el 25 de julio 2025 hasta el 31 de diciembre 2027</t>
  </si>
  <si>
    <t>PROPONENTE SED 2025</t>
  </si>
  <si>
    <t>INTEGRANTE 1</t>
  </si>
  <si>
    <t>INTEGRANTE 2</t>
  </si>
  <si>
    <t>INTEGRANTE 3</t>
  </si>
  <si>
    <t>TOTAL</t>
  </si>
  <si>
    <t>PORCENTAJE DE PARTICIPACION </t>
  </si>
  <si>
    <t>PRESUPUESTO SEGÚN PARTICIPACION </t>
  </si>
  <si>
    <t>SMMLV DE 2025 QUE DEBE ACREDITAR CADA INTEGRANTE </t>
  </si>
  <si>
    <t>4. FUNDACIÓN NIUWI
25/04/2025</t>
  </si>
  <si>
    <t>5. ICAE
25/04/2025</t>
  </si>
  <si>
    <t>6. INCOLTA INTERVENTORÍAS Y CONSULTORÍAS S.A.S.
25/04/2025</t>
  </si>
  <si>
    <t>7. OLI CONSULTING
24/04/2025</t>
  </si>
  <si>
    <t>8. PROCESO No. SED-CM-A-DSA-063-2024
ALIANZA INTEGRAL DE PROYECTOS SAS
25/04/2025 + INDEXACIÓN 5,20% 2024</t>
  </si>
  <si>
    <t>ESTIMACIÓN DEL PRESUPUESTO MEDIANTE METODOLOGÍA PERT 2026 (12 meses)</t>
  </si>
  <si>
    <t>ESTIMACIÓN DEL PRESUPUESTO MEDIANTE METODOLOGÍA PERT 2027 (12 meses)</t>
  </si>
  <si>
    <t>VALOR  ANTES DE IVA</t>
  </si>
  <si>
    <t>VALOR INCLUIDO IVA</t>
  </si>
  <si>
    <t>VALOR TOTAL INCUIDO IVA * 12 meses</t>
  </si>
  <si>
    <t>Gastos Administrativos
 (máximo 10% sobre los costos directos)</t>
  </si>
  <si>
    <t>7. PROCESO No. SED-CM-A-DSA-063-2024
ALIANZA INTEGRAL DE PROYECTOS SAS
25/04/2025</t>
  </si>
  <si>
    <t>5 meses 5 dias</t>
  </si>
  <si>
    <t>VALOR total</t>
  </si>
  <si>
    <t>VALOR Total</t>
  </si>
  <si>
    <t>5 dias</t>
  </si>
  <si>
    <t>5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</si>
</sst>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\ #,##0;[Red]\-&quot;$&quot;\ #,##0"/>
    <numFmt numFmtId="165" formatCode="&quot;$&quot;\ #,##0.00;[Red]\-&quot;$&quot;\ #,##0.00"/>
    <numFmt numFmtId="166" formatCode="_-&quot;$&quot;\ * #,##0_-;\-&quot;$&quot;\ * #,##0_-;_-&quot;$&quot;\ * &quot;-&quot;_-;_-@_-"/>
    <numFmt numFmtId="167" formatCode="_-* #,##0_-;\-* #,##0_-;_-* &quot;-&quot;_-;_-@_-"/>
    <numFmt numFmtId="168" formatCode="_-&quot;$&quot;\ * #,##0.00_-;\-&quot;$&quot;\ * #,##0.00_-;_-&quot;$&quot;\ * &quot;-&quot;??_-;_-@_-"/>
    <numFmt numFmtId="169" formatCode="_-* #,##0.00_-;\-* #,##0.00_-;_-* &quot;-&quot;??_-;_-@_-"/>
    <numFmt numFmtId="170" formatCode="_-&quot;$&quot;\ * #,##0_-;\-&quot;$&quot;\ * #,##0_-;_-&quot;$&quot;\ * &quot;-&quot;??_-;_-@_-"/>
    <numFmt numFmtId="171" formatCode="&quot;$&quot;\ #,##0"/>
    <numFmt numFmtId="172" formatCode="&quot;$&quot;\ #,##0.00"/>
    <numFmt numFmtId="173" formatCode="0.00\ &quot;meses&quot;"/>
    <numFmt numFmtId="174" formatCode="_-&quot;$&quot;* #,##0_-;\-&quot;$&quot;* #,##0_-;_-&quot;$&quot;* &quot;-&quot;_-;_-@_-"/>
    <numFmt numFmtId="175" formatCode="_-&quot;$&quot;* #,##0.00_-;\-&quot;$&quot;* #,##0.00_-;_-&quot;$&quot;* &quot;-&quot;??_-;_-@_-"/>
    <numFmt numFmtId="176" formatCode="_ &quot;$&quot;\ * #,##0_ ;_ &quot;$&quot;\ * \-#,##0_ ;_ &quot;$&quot;\ * &quot;-&quot;_ ;_ @_ "/>
    <numFmt numFmtId="177" formatCode="_ * #,##0_ ;_ * \-#,##0_ ;_ * &quot;-&quot;_ ;_ @_ "/>
    <numFmt numFmtId="178" formatCode="_ * #,##0.00_ ;_ * \-#,##0.00_ ;_ * &quot;-&quot;??_ ;_ @_ "/>
    <numFmt numFmtId="179" formatCode="_ &quot;$&quot;\ * #,##0.00_ ;_ &quot;$&quot;\ * \-#,##0.00_ ;_ &quot;$&quot;\ * &quot;-&quot;??_ ;_ @_ "/>
    <numFmt numFmtId="180" formatCode="_(&quot;$&quot;\ * #,##0.00_);_(&quot;$&quot;\ * \(#,##0.00\);_(&quot;$&quot;\ * &quot;-&quot;??_);_(@_)"/>
    <numFmt numFmtId="181" formatCode="_(&quot;$&quot;\ * #,##0_);_(&quot;$&quot;\ * \(#,##0\);_(&quot;$&quot;\ * &quot;-&quot;??_);_(@_)"/>
    <numFmt numFmtId="182" formatCode="[$$-240A]#,##0;\-[$$-240A]#,##0"/>
    <numFmt numFmtId="183" formatCode="_-* #,##0.00\ _€_-;\-* #,##0.00\ _€_-;_-* &quot;-&quot;??\ _€_-;_-@_-"/>
    <numFmt numFmtId="184" formatCode="&quot;$&quot;#,##0"/>
    <numFmt numFmtId="185" formatCode="_ &quot;$&quot;\ * #,##0_ ;_ &quot;$&quot;\ * \-#,##0_ ;_ &quot;$&quot;\ * &quot;-&quot;??_ ;_ @_ "/>
    <numFmt numFmtId="186" formatCode="0.0%"/>
    <numFmt numFmtId="187" formatCode="0.000"/>
    <numFmt numFmtId="188" formatCode="0.0"/>
    <numFmt numFmtId="189" formatCode="[$$-540A]#,##0.00"/>
    <numFmt numFmtId="190" formatCode="[$$-540A]#,##0"/>
    <numFmt numFmtId="191" formatCode="&quot;$&quot;#,##0.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  <font>
      <b/>
      <sz val="9"/>
      <color theme="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000000"/>
      <name val="Calibri Light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 Light"/>
      <family val="2"/>
    </font>
    <font>
      <sz val="12"/>
      <name val="Calibri Light"/>
      <family val="2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 Light"/>
      <family val="2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theme="1"/>
      <name val="Arial"/>
      <family val="2"/>
    </font>
    <font>
      <i/>
      <sz val="8"/>
      <color theme="1"/>
      <name val="Arial"/>
      <family val="2"/>
    </font>
    <font>
      <i/>
      <sz val="8"/>
      <name val="Arial"/>
      <family val="2"/>
    </font>
    <font>
      <sz val="10"/>
      <name val="Zurich BT"/>
      <family val="2"/>
    </font>
    <font>
      <sz val="10"/>
      <color theme="1"/>
      <name val="Arial Narrow"/>
      <family val="2"/>
    </font>
    <font>
      <sz val="11"/>
      <color theme="1"/>
      <name val="Arial"/>
      <family val="2"/>
    </font>
    <font>
      <b/>
      <sz val="10"/>
      <name val="Arial  "/>
    </font>
    <font>
      <sz val="10"/>
      <name val="Arial  "/>
    </font>
    <font>
      <sz val="9"/>
      <color indexed="81"/>
      <name val="Tahoma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8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2E49C"/>
        <bgColor indexed="64"/>
      </patternFill>
    </fill>
    <fill>
      <patternFill patternType="solid">
        <fgColor theme="8" tint="0.79998168889431442"/>
        <bgColor indexed="64"/>
      </patternFill>
    </fill>
  </fills>
  <borders count="1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indexed="64"/>
      </bottom>
      <diagonal/>
    </border>
    <border>
      <left/>
      <right/>
      <top style="medium">
        <color rgb="FF0070C0"/>
      </top>
      <bottom style="thin">
        <color indexed="64"/>
      </bottom>
      <diagonal/>
    </border>
    <border>
      <left/>
      <right style="thin">
        <color rgb="FF0070C0"/>
      </right>
      <top style="medium">
        <color rgb="FF0070C0"/>
      </top>
      <bottom style="thin">
        <color indexed="64"/>
      </bottom>
      <diagonal/>
    </border>
    <border>
      <left style="thin">
        <color rgb="FF0070C0"/>
      </left>
      <right/>
      <top style="medium">
        <color rgb="FF0070C0"/>
      </top>
      <bottom style="thin">
        <color indexed="64"/>
      </bottom>
      <diagonal/>
    </border>
    <border>
      <left/>
      <right style="medium">
        <color rgb="FF0070C0"/>
      </right>
      <top style="medium">
        <color rgb="FF0070C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/>
      <bottom/>
      <diagonal/>
    </border>
    <border>
      <left style="thin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 style="thin">
        <color theme="0" tint="-4.9989318521683403E-2"/>
      </top>
      <bottom style="medium">
        <color indexed="64"/>
      </bottom>
      <diagonal/>
    </border>
    <border>
      <left style="medium">
        <color rgb="FF0070C0"/>
      </left>
      <right/>
      <top style="thin">
        <color indexed="64"/>
      </top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0070C0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theme="0" tint="-4.9989318521683403E-2"/>
      </bottom>
      <diagonal/>
    </border>
    <border>
      <left style="medium">
        <color rgb="FF0070C0"/>
      </left>
      <right/>
      <top style="medium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4.9989318521683403E-2"/>
      </right>
      <top style="thin">
        <color theme="0" tint="-4.9989318521683403E-2"/>
      </top>
      <bottom style="medium">
        <color indexed="64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theme="0" tint="-4.9989318521683403E-2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theme="1"/>
      </left>
      <right style="thin">
        <color auto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n">
        <color auto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auto="1"/>
      </right>
      <top/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theme="1"/>
      </bottom>
      <diagonal/>
    </border>
    <border>
      <left style="thin">
        <color auto="1"/>
      </left>
      <right/>
      <top style="thin">
        <color auto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medium">
        <color theme="1"/>
      </top>
      <bottom style="thin">
        <color auto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/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4.9989318521683403E-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1">
    <xf numFmtId="0" fontId="0" fillId="0" borderId="0"/>
    <xf numFmtId="43" fontId="6" fillId="0" borderId="0" applyFont="0" applyFill="0" applyBorder="0" applyAlignment="0" applyProtection="0"/>
    <xf numFmtId="0" fontId="5" fillId="0" borderId="0"/>
    <xf numFmtId="168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0" fillId="7" borderId="0" applyNumberFormat="0" applyBorder="0" applyProtection="0">
      <alignment horizontal="center" vertical="center"/>
    </xf>
    <xf numFmtId="9" fontId="4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4" fillId="0" borderId="0"/>
    <xf numFmtId="0" fontId="25" fillId="25" borderId="1" applyNumberFormat="0" applyProtection="0">
      <alignment horizontal="left" vertical="center"/>
    </xf>
    <xf numFmtId="17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3" fontId="26" fillId="0" borderId="0" applyFill="0" applyBorder="0" applyProtection="0">
      <alignment horizontal="right" vertical="center"/>
    </xf>
    <xf numFmtId="49" fontId="26" fillId="0" borderId="0" applyFill="0" applyBorder="0" applyProtection="0">
      <alignment horizontal="left" vertical="center"/>
    </xf>
    <xf numFmtId="180" fontId="24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7" fillId="0" borderId="0"/>
    <xf numFmtId="174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69" fontId="2" fillId="0" borderId="0" applyFont="0" applyFill="0" applyBorder="0" applyAlignment="0" applyProtection="0"/>
    <xf numFmtId="175" fontId="24" fillId="0" borderId="0" applyFont="0" applyFill="0" applyBorder="0" applyAlignment="0" applyProtection="0"/>
    <xf numFmtId="0" fontId="2" fillId="0" borderId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9" fontId="41" fillId="0" borderId="0" applyFont="0" applyFill="0" applyBorder="0" applyAlignment="0" applyProtection="0"/>
    <xf numFmtId="168" fontId="7" fillId="0" borderId="0" applyFont="0" applyFill="0" applyBorder="0" applyAlignment="0" applyProtection="0"/>
    <xf numFmtId="180" fontId="43" fillId="0" borderId="0" applyFont="0" applyFill="0" applyBorder="0" applyAlignment="0" applyProtection="0"/>
    <xf numFmtId="180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3" fontId="41" fillId="0" borderId="0" applyFont="0" applyFill="0" applyBorder="0" applyAlignment="0" applyProtection="0"/>
    <xf numFmtId="180" fontId="41" fillId="0" borderId="0" applyFont="0" applyFill="0" applyBorder="0" applyAlignment="0" applyProtection="0"/>
  </cellStyleXfs>
  <cellXfs count="907">
    <xf numFmtId="0" fontId="0" fillId="0" borderId="0" xfId="0"/>
    <xf numFmtId="43" fontId="11" fillId="0" borderId="0" xfId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vertical="center" wrapText="1"/>
    </xf>
    <xf numFmtId="0" fontId="14" fillId="2" borderId="0" xfId="0" applyFont="1" applyFill="1" applyAlignment="1">
      <alignment vertical="center" wrapText="1"/>
    </xf>
    <xf numFmtId="170" fontId="14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5" borderId="0" xfId="0" applyFont="1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15" fillId="11" borderId="32" xfId="7" applyFont="1" applyFill="1" applyBorder="1" applyAlignment="1">
      <alignment vertical="center" wrapText="1"/>
    </xf>
    <xf numFmtId="0" fontId="15" fillId="11" borderId="33" xfId="7" applyFont="1" applyFill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28" xfId="0" applyFont="1" applyBorder="1" applyAlignment="1">
      <alignment horizontal="center" vertical="center"/>
    </xf>
    <xf numFmtId="0" fontId="15" fillId="0" borderId="3" xfId="7" applyFont="1" applyBorder="1" applyAlignment="1">
      <alignment vertical="center" wrapText="1"/>
    </xf>
    <xf numFmtId="1" fontId="11" fillId="2" borderId="3" xfId="8" applyNumberFormat="1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5" fillId="0" borderId="1" xfId="7" applyFont="1" applyBorder="1" applyAlignment="1">
      <alignment vertical="center" wrapText="1"/>
    </xf>
    <xf numFmtId="1" fontId="11" fillId="2" borderId="1" xfId="8" applyNumberFormat="1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5" fillId="0" borderId="31" xfId="7" applyFont="1" applyBorder="1" applyAlignment="1">
      <alignment vertical="center" wrapText="1"/>
    </xf>
    <xf numFmtId="1" fontId="11" fillId="2" borderId="31" xfId="8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" fontId="11" fillId="2" borderId="8" xfId="8" applyNumberFormat="1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" fontId="11" fillId="0" borderId="0" xfId="0" applyNumberFormat="1" applyFont="1" applyAlignment="1">
      <alignment horizontal="center" vertical="center" wrapText="1"/>
    </xf>
    <xf numFmtId="172" fontId="15" fillId="0" borderId="13" xfId="0" applyNumberFormat="1" applyFont="1" applyBorder="1" applyAlignment="1">
      <alignment horizontal="right" vertical="center" wrapText="1"/>
    </xf>
    <xf numFmtId="172" fontId="15" fillId="0" borderId="14" xfId="0" applyNumberFormat="1" applyFont="1" applyBorder="1" applyAlignment="1">
      <alignment horizontal="right" vertical="center" wrapText="1"/>
    </xf>
    <xf numFmtId="172" fontId="15" fillId="0" borderId="15" xfId="0" applyNumberFormat="1" applyFont="1" applyBorder="1" applyAlignment="1">
      <alignment horizontal="right" vertical="center" wrapText="1"/>
    </xf>
    <xf numFmtId="1" fontId="11" fillId="0" borderId="0" xfId="0" applyNumberFormat="1" applyFont="1" applyAlignment="1">
      <alignment wrapText="1"/>
    </xf>
    <xf numFmtId="0" fontId="11" fillId="2" borderId="0" xfId="0" applyFont="1" applyFill="1" applyAlignment="1">
      <alignment wrapText="1"/>
    </xf>
    <xf numFmtId="0" fontId="13" fillId="2" borderId="0" xfId="0" applyFont="1" applyFill="1" applyAlignment="1">
      <alignment horizontal="center" vertical="center" wrapText="1"/>
    </xf>
    <xf numFmtId="43" fontId="13" fillId="0" borderId="0" xfId="1" applyFont="1" applyFill="1" applyBorder="1" applyAlignment="1">
      <alignment horizontal="center" vertical="center" wrapText="1"/>
    </xf>
    <xf numFmtId="43" fontId="13" fillId="4" borderId="11" xfId="1" applyFont="1" applyFill="1" applyBorder="1" applyAlignment="1">
      <alignment horizontal="center" vertical="center" wrapText="1"/>
    </xf>
    <xf numFmtId="43" fontId="13" fillId="4" borderId="1" xfId="1" applyFont="1" applyFill="1" applyBorder="1" applyAlignment="1">
      <alignment horizontal="center" vertical="center" wrapText="1"/>
    </xf>
    <xf numFmtId="43" fontId="13" fillId="4" borderId="2" xfId="1" applyFont="1" applyFill="1" applyBorder="1" applyAlignment="1">
      <alignment horizontal="center" vertical="center" wrapText="1"/>
    </xf>
    <xf numFmtId="43" fontId="13" fillId="4" borderId="10" xfId="1" applyFont="1" applyFill="1" applyBorder="1" applyAlignment="1">
      <alignment horizontal="center" vertical="center" wrapText="1"/>
    </xf>
    <xf numFmtId="43" fontId="13" fillId="4" borderId="12" xfId="1" applyFont="1" applyFill="1" applyBorder="1" applyAlignment="1">
      <alignment horizontal="center" vertical="center" wrapText="1"/>
    </xf>
    <xf numFmtId="43" fontId="13" fillId="2" borderId="0" xfId="1" applyFont="1" applyFill="1" applyBorder="1" applyAlignment="1">
      <alignment horizontal="center" vertical="center" wrapText="1"/>
    </xf>
    <xf numFmtId="43" fontId="15" fillId="4" borderId="1" xfId="1" applyFont="1" applyFill="1" applyBorder="1" applyAlignment="1">
      <alignment horizontal="center" vertical="center" wrapText="1"/>
    </xf>
    <xf numFmtId="43" fontId="14" fillId="0" borderId="0" xfId="1" applyFont="1" applyFill="1" applyBorder="1" applyAlignment="1">
      <alignment horizontal="center" vertical="center" wrapText="1"/>
    </xf>
    <xf numFmtId="43" fontId="13" fillId="3" borderId="11" xfId="1" applyFont="1" applyFill="1" applyBorder="1" applyAlignment="1">
      <alignment horizontal="center" vertical="center" wrapText="1"/>
    </xf>
    <xf numFmtId="43" fontId="13" fillId="3" borderId="1" xfId="1" applyFont="1" applyFill="1" applyBorder="1" applyAlignment="1">
      <alignment horizontal="center" vertical="center" wrapText="1"/>
    </xf>
    <xf numFmtId="43" fontId="13" fillId="3" borderId="2" xfId="1" applyFont="1" applyFill="1" applyBorder="1" applyAlignment="1">
      <alignment horizontal="center" vertical="center" wrapText="1"/>
    </xf>
    <xf numFmtId="43" fontId="13" fillId="9" borderId="10" xfId="1" applyFont="1" applyFill="1" applyBorder="1" applyAlignment="1">
      <alignment horizontal="center" vertical="center" wrapText="1"/>
    </xf>
    <xf numFmtId="43" fontId="13" fillId="9" borderId="1" xfId="1" applyFont="1" applyFill="1" applyBorder="1" applyAlignment="1">
      <alignment horizontal="center" vertical="center" wrapText="1"/>
    </xf>
    <xf numFmtId="43" fontId="13" fillId="9" borderId="12" xfId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72" fontId="14" fillId="0" borderId="0" xfId="3" applyNumberFormat="1" applyFont="1" applyFill="1" applyBorder="1" applyAlignment="1">
      <alignment horizontal="right" vertical="center" wrapText="1"/>
    </xf>
    <xf numFmtId="172" fontId="14" fillId="2" borderId="11" xfId="3" applyNumberFormat="1" applyFont="1" applyFill="1" applyBorder="1" applyAlignment="1">
      <alignment horizontal="right" vertical="center" wrapText="1"/>
    </xf>
    <xf numFmtId="172" fontId="14" fillId="2" borderId="1" xfId="3" applyNumberFormat="1" applyFont="1" applyFill="1" applyBorder="1" applyAlignment="1">
      <alignment horizontal="right" vertical="center" wrapText="1"/>
    </xf>
    <xf numFmtId="172" fontId="14" fillId="2" borderId="2" xfId="3" applyNumberFormat="1" applyFont="1" applyFill="1" applyBorder="1" applyAlignment="1">
      <alignment horizontal="right" vertical="center" wrapText="1"/>
    </xf>
    <xf numFmtId="172" fontId="14" fillId="2" borderId="10" xfId="3" applyNumberFormat="1" applyFont="1" applyFill="1" applyBorder="1" applyAlignment="1">
      <alignment horizontal="right" vertical="center" wrapText="1"/>
    </xf>
    <xf numFmtId="172" fontId="14" fillId="2" borderId="12" xfId="3" applyNumberFormat="1" applyFont="1" applyFill="1" applyBorder="1" applyAlignment="1">
      <alignment horizontal="right" vertical="center" wrapText="1"/>
    </xf>
    <xf numFmtId="170" fontId="14" fillId="2" borderId="0" xfId="3" applyNumberFormat="1" applyFont="1" applyFill="1" applyBorder="1" applyAlignment="1">
      <alignment horizontal="center" vertical="center" wrapText="1"/>
    </xf>
    <xf numFmtId="170" fontId="14" fillId="5" borderId="0" xfId="3" applyNumberFormat="1" applyFont="1" applyFill="1" applyBorder="1" applyAlignment="1">
      <alignment horizontal="left" vertical="center" wrapText="1"/>
    </xf>
    <xf numFmtId="170" fontId="14" fillId="2" borderId="0" xfId="3" applyNumberFormat="1" applyFont="1" applyFill="1" applyBorder="1" applyAlignment="1">
      <alignment horizontal="left" vertical="center" wrapText="1"/>
    </xf>
    <xf numFmtId="168" fontId="14" fillId="0" borderId="1" xfId="3" applyFont="1" applyFill="1" applyBorder="1" applyAlignment="1">
      <alignment horizontal="right" vertical="center" wrapText="1"/>
    </xf>
    <xf numFmtId="168" fontId="14" fillId="2" borderId="1" xfId="3" applyFont="1" applyFill="1" applyBorder="1" applyAlignment="1">
      <alignment horizontal="right" vertical="center" wrapText="1"/>
    </xf>
    <xf numFmtId="170" fontId="14" fillId="0" borderId="0" xfId="3" applyNumberFormat="1" applyFont="1" applyBorder="1" applyAlignment="1">
      <alignment horizontal="left" vertical="center" wrapText="1"/>
    </xf>
    <xf numFmtId="1" fontId="16" fillId="0" borderId="1" xfId="3" applyNumberFormat="1" applyFont="1" applyFill="1" applyBorder="1" applyAlignment="1">
      <alignment horizontal="center" vertical="center" wrapText="1"/>
    </xf>
    <xf numFmtId="170" fontId="16" fillId="0" borderId="1" xfId="3" applyNumberFormat="1" applyFont="1" applyBorder="1" applyAlignment="1">
      <alignment horizontal="center" vertical="top" wrapText="1"/>
    </xf>
    <xf numFmtId="171" fontId="12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/>
    </xf>
    <xf numFmtId="43" fontId="15" fillId="0" borderId="1" xfId="1" applyFont="1" applyFill="1" applyBorder="1" applyAlignment="1">
      <alignment horizontal="center" vertical="center" wrapText="1"/>
    </xf>
    <xf numFmtId="43" fontId="13" fillId="0" borderId="1" xfId="1" applyFont="1" applyFill="1" applyBorder="1" applyAlignment="1">
      <alignment horizontal="center" vertical="center" wrapText="1"/>
    </xf>
    <xf numFmtId="171" fontId="14" fillId="0" borderId="1" xfId="3" applyNumberFormat="1" applyFont="1" applyFill="1" applyBorder="1" applyAlignment="1">
      <alignment horizontal="center" vertical="center" wrapText="1"/>
    </xf>
    <xf numFmtId="171" fontId="11" fillId="0" borderId="1" xfId="3" applyNumberFormat="1" applyFont="1" applyFill="1" applyBorder="1" applyAlignment="1">
      <alignment horizontal="right" vertical="center" wrapText="1"/>
    </xf>
    <xf numFmtId="171" fontId="14" fillId="0" borderId="1" xfId="3" applyNumberFormat="1" applyFont="1" applyFill="1" applyBorder="1" applyAlignment="1">
      <alignment horizontal="right" vertical="center" wrapText="1"/>
    </xf>
    <xf numFmtId="43" fontId="11" fillId="0" borderId="0" xfId="1" applyFont="1" applyFill="1" applyBorder="1" applyAlignment="1">
      <alignment horizontal="center" vertical="center" wrapText="1"/>
    </xf>
    <xf numFmtId="1" fontId="16" fillId="0" borderId="0" xfId="3" applyNumberFormat="1" applyFont="1" applyFill="1" applyBorder="1" applyAlignment="1">
      <alignment horizontal="center" vertical="center" wrapText="1"/>
    </xf>
    <xf numFmtId="170" fontId="16" fillId="0" borderId="0" xfId="3" applyNumberFormat="1" applyFont="1" applyBorder="1" applyAlignment="1">
      <alignment horizontal="center" vertical="top" wrapText="1"/>
    </xf>
    <xf numFmtId="171" fontId="14" fillId="0" borderId="0" xfId="3" applyNumberFormat="1" applyFont="1" applyFill="1" applyBorder="1" applyAlignment="1">
      <alignment horizontal="center" vertical="center" wrapText="1"/>
    </xf>
    <xf numFmtId="171" fontId="11" fillId="0" borderId="0" xfId="3" applyNumberFormat="1" applyFont="1" applyFill="1" applyBorder="1" applyAlignment="1">
      <alignment horizontal="right" vertical="center" wrapText="1"/>
    </xf>
    <xf numFmtId="171" fontId="14" fillId="0" borderId="0" xfId="3" applyNumberFormat="1" applyFont="1" applyFill="1" applyBorder="1" applyAlignment="1">
      <alignment horizontal="right" vertical="center" wrapText="1"/>
    </xf>
    <xf numFmtId="172" fontId="14" fillId="2" borderId="40" xfId="3" applyNumberFormat="1" applyFont="1" applyFill="1" applyBorder="1" applyAlignment="1">
      <alignment horizontal="right" vertical="center" wrapText="1"/>
    </xf>
    <xf numFmtId="172" fontId="14" fillId="2" borderId="0" xfId="3" applyNumberFormat="1" applyFont="1" applyFill="1" applyBorder="1" applyAlignment="1">
      <alignment horizontal="right" vertical="center" wrapText="1"/>
    </xf>
    <xf numFmtId="172" fontId="14" fillId="2" borderId="41" xfId="3" applyNumberFormat="1" applyFont="1" applyFill="1" applyBorder="1" applyAlignment="1">
      <alignment horizontal="right" vertical="center" wrapText="1"/>
    </xf>
    <xf numFmtId="172" fontId="14" fillId="2" borderId="42" xfId="3" applyNumberFormat="1" applyFont="1" applyFill="1" applyBorder="1" applyAlignment="1">
      <alignment horizontal="right" vertical="center" wrapText="1"/>
    </xf>
    <xf numFmtId="170" fontId="14" fillId="0" borderId="1" xfId="3" applyNumberFormat="1" applyFont="1" applyFill="1" applyBorder="1" applyAlignment="1">
      <alignment horizontal="right" vertical="center" wrapText="1"/>
    </xf>
    <xf numFmtId="0" fontId="13" fillId="0" borderId="51" xfId="0" applyFont="1" applyBorder="1" applyAlignment="1">
      <alignment horizontal="center" vertical="center" wrapText="1"/>
    </xf>
    <xf numFmtId="170" fontId="14" fillId="0" borderId="8" xfId="3" applyNumberFormat="1" applyFont="1" applyFill="1" applyBorder="1" applyAlignment="1">
      <alignment horizontal="right" vertical="center" wrapText="1"/>
    </xf>
    <xf numFmtId="168" fontId="14" fillId="0" borderId="8" xfId="3" applyFont="1" applyFill="1" applyBorder="1" applyAlignment="1">
      <alignment horizontal="right" vertical="center" wrapText="1"/>
    </xf>
    <xf numFmtId="168" fontId="11" fillId="0" borderId="29" xfId="3" applyFont="1" applyBorder="1" applyAlignment="1">
      <alignment wrapText="1"/>
    </xf>
    <xf numFmtId="168" fontId="11" fillId="0" borderId="45" xfId="3" applyFont="1" applyBorder="1" applyAlignment="1">
      <alignment wrapText="1"/>
    </xf>
    <xf numFmtId="168" fontId="14" fillId="2" borderId="8" xfId="3" applyFont="1" applyFill="1" applyBorder="1" applyAlignment="1">
      <alignment horizontal="right" vertical="center" wrapText="1"/>
    </xf>
    <xf numFmtId="168" fontId="11" fillId="0" borderId="30" xfId="3" applyFont="1" applyBorder="1" applyAlignment="1">
      <alignment vertical="center" wrapText="1"/>
    </xf>
    <xf numFmtId="168" fontId="11" fillId="0" borderId="43" xfId="3" applyFont="1" applyBorder="1" applyAlignment="1">
      <alignment vertical="center" wrapText="1"/>
    </xf>
    <xf numFmtId="43" fontId="11" fillId="0" borderId="0" xfId="1" applyFont="1" applyAlignment="1">
      <alignment wrapText="1"/>
    </xf>
    <xf numFmtId="170" fontId="14" fillId="0" borderId="1" xfId="3" applyNumberFormat="1" applyFont="1" applyBorder="1" applyAlignment="1">
      <alignment horizontal="left" vertical="center" wrapText="1"/>
    </xf>
    <xf numFmtId="168" fontId="11" fillId="0" borderId="4" xfId="3" applyFont="1" applyBorder="1" applyAlignment="1">
      <alignment wrapText="1"/>
    </xf>
    <xf numFmtId="168" fontId="11" fillId="0" borderId="54" xfId="3" applyFont="1" applyBorder="1" applyAlignment="1">
      <alignment vertical="center" wrapText="1"/>
    </xf>
    <xf numFmtId="10" fontId="13" fillId="14" borderId="1" xfId="9" applyNumberFormat="1" applyFont="1" applyFill="1" applyBorder="1" applyAlignment="1">
      <alignment horizontal="center" vertical="center" wrapText="1"/>
    </xf>
    <xf numFmtId="10" fontId="13" fillId="15" borderId="1" xfId="9" applyNumberFormat="1" applyFont="1" applyFill="1" applyBorder="1" applyAlignment="1">
      <alignment horizontal="center" vertical="center" wrapText="1"/>
    </xf>
    <xf numFmtId="43" fontId="14" fillId="0" borderId="1" xfId="1" applyFont="1" applyBorder="1" applyAlignment="1">
      <alignment horizontal="left" vertical="center" wrapText="1"/>
    </xf>
    <xf numFmtId="43" fontId="13" fillId="14" borderId="45" xfId="1" applyFont="1" applyFill="1" applyBorder="1" applyAlignment="1">
      <alignment horizontal="center" vertical="center" wrapText="1"/>
    </xf>
    <xf numFmtId="168" fontId="14" fillId="0" borderId="45" xfId="3" applyFont="1" applyFill="1" applyBorder="1" applyAlignment="1">
      <alignment horizontal="right" vertical="center" wrapText="1"/>
    </xf>
    <xf numFmtId="170" fontId="14" fillId="0" borderId="31" xfId="3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170" fontId="14" fillId="0" borderId="3" xfId="3" applyNumberFormat="1" applyFont="1" applyBorder="1" applyAlignment="1">
      <alignment horizontal="left" vertical="center" wrapText="1"/>
    </xf>
    <xf numFmtId="0" fontId="13" fillId="0" borderId="29" xfId="0" applyFont="1" applyBorder="1" applyAlignment="1">
      <alignment vertical="center" wrapText="1"/>
    </xf>
    <xf numFmtId="0" fontId="13" fillId="0" borderId="45" xfId="0" applyFont="1" applyBorder="1" applyAlignment="1">
      <alignment vertical="center" wrapText="1"/>
    </xf>
    <xf numFmtId="170" fontId="14" fillId="0" borderId="29" xfId="3" applyNumberFormat="1" applyFont="1" applyBorder="1" applyAlignment="1">
      <alignment horizontal="left" vertical="center" wrapText="1"/>
    </xf>
    <xf numFmtId="170" fontId="14" fillId="0" borderId="30" xfId="3" applyNumberFormat="1" applyFont="1" applyBorder="1" applyAlignment="1">
      <alignment horizontal="left" vertical="center" wrapText="1"/>
    </xf>
    <xf numFmtId="0" fontId="13" fillId="14" borderId="36" xfId="0" applyFont="1" applyFill="1" applyBorder="1" applyAlignment="1">
      <alignment vertical="center" wrapText="1"/>
    </xf>
    <xf numFmtId="10" fontId="13" fillId="14" borderId="35" xfId="9" applyNumberFormat="1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vertical="center" wrapText="1"/>
    </xf>
    <xf numFmtId="170" fontId="14" fillId="0" borderId="35" xfId="3" applyNumberFormat="1" applyFont="1" applyBorder="1" applyAlignment="1">
      <alignment horizontal="left" vertical="center" wrapText="1"/>
    </xf>
    <xf numFmtId="170" fontId="14" fillId="0" borderId="58" xfId="3" applyNumberFormat="1" applyFont="1" applyBorder="1" applyAlignment="1">
      <alignment horizontal="left" vertical="center" wrapText="1"/>
    </xf>
    <xf numFmtId="0" fontId="13" fillId="15" borderId="32" xfId="0" applyFont="1" applyFill="1" applyBorder="1" applyAlignment="1">
      <alignment vertical="center" wrapText="1"/>
    </xf>
    <xf numFmtId="10" fontId="13" fillId="15" borderId="29" xfId="9" applyNumberFormat="1" applyFont="1" applyFill="1" applyBorder="1" applyAlignment="1">
      <alignment horizontal="center" vertical="center" wrapText="1"/>
    </xf>
    <xf numFmtId="43" fontId="13" fillId="15" borderId="45" xfId="1" applyFont="1" applyFill="1" applyBorder="1" applyAlignment="1">
      <alignment horizontal="center" vertical="center" wrapText="1"/>
    </xf>
    <xf numFmtId="43" fontId="14" fillId="0" borderId="31" xfId="1" applyFont="1" applyBorder="1" applyAlignment="1">
      <alignment horizontal="left" vertical="center" wrapText="1"/>
    </xf>
    <xf numFmtId="170" fontId="14" fillId="0" borderId="43" xfId="3" applyNumberFormat="1" applyFont="1" applyBorder="1" applyAlignment="1">
      <alignment horizontal="left" vertical="center" wrapText="1"/>
    </xf>
    <xf numFmtId="0" fontId="14" fillId="0" borderId="22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5" fillId="6" borderId="0" xfId="0" applyFont="1" applyFill="1" applyAlignment="1">
      <alignment vertical="center" wrapText="1"/>
    </xf>
    <xf numFmtId="43" fontId="15" fillId="6" borderId="0" xfId="1" applyFont="1" applyFill="1" applyAlignment="1">
      <alignment vertical="center" wrapText="1"/>
    </xf>
    <xf numFmtId="43" fontId="11" fillId="0" borderId="0" xfId="1" applyFont="1" applyAlignment="1">
      <alignment vertical="center" wrapText="1"/>
    </xf>
    <xf numFmtId="166" fontId="11" fillId="0" borderId="0" xfId="4" applyFont="1" applyBorder="1" applyAlignment="1">
      <alignment horizontal="center" vertical="center" wrapText="1"/>
    </xf>
    <xf numFmtId="168" fontId="11" fillId="0" borderId="0" xfId="3" applyFont="1" applyAlignment="1">
      <alignment horizontal="center" vertical="center" wrapText="1"/>
    </xf>
    <xf numFmtId="168" fontId="11" fillId="0" borderId="0" xfId="3" applyFont="1" applyAlignment="1">
      <alignment vertical="center" wrapText="1"/>
    </xf>
    <xf numFmtId="168" fontId="15" fillId="6" borderId="0" xfId="3" applyFont="1" applyFill="1" applyAlignment="1">
      <alignment vertical="center" wrapText="1"/>
    </xf>
    <xf numFmtId="10" fontId="11" fillId="0" borderId="0" xfId="0" applyNumberFormat="1" applyFont="1" applyAlignment="1">
      <alignment vertical="center" wrapText="1"/>
    </xf>
    <xf numFmtId="172" fontId="14" fillId="0" borderId="40" xfId="3" applyNumberFormat="1" applyFont="1" applyFill="1" applyBorder="1" applyAlignment="1">
      <alignment horizontal="right" vertical="center" wrapText="1"/>
    </xf>
    <xf numFmtId="170" fontId="14" fillId="0" borderId="0" xfId="3" applyNumberFormat="1" applyFont="1" applyFill="1" applyBorder="1" applyAlignment="1">
      <alignment horizontal="center" vertical="center" wrapText="1"/>
    </xf>
    <xf numFmtId="170" fontId="14" fillId="0" borderId="0" xfId="3" applyNumberFormat="1" applyFont="1" applyFill="1" applyBorder="1" applyAlignment="1">
      <alignment horizontal="left" vertical="center" wrapText="1"/>
    </xf>
    <xf numFmtId="0" fontId="18" fillId="16" borderId="59" xfId="0" applyFont="1" applyFill="1" applyBorder="1" applyAlignment="1">
      <alignment vertical="center" wrapText="1"/>
    </xf>
    <xf numFmtId="0" fontId="18" fillId="16" borderId="59" xfId="0" applyFont="1" applyFill="1" applyBorder="1" applyAlignment="1">
      <alignment horizontal="center" vertical="center" wrapText="1"/>
    </xf>
    <xf numFmtId="43" fontId="18" fillId="16" borderId="59" xfId="1" applyFont="1" applyFill="1" applyBorder="1" applyAlignment="1">
      <alignment vertical="center" wrapText="1"/>
    </xf>
    <xf numFmtId="43" fontId="18" fillId="16" borderId="64" xfId="1" applyFont="1" applyFill="1" applyBorder="1" applyAlignment="1">
      <alignment vertical="center" wrapText="1"/>
    </xf>
    <xf numFmtId="170" fontId="14" fillId="0" borderId="30" xfId="3" applyNumberFormat="1" applyFont="1" applyFill="1" applyBorder="1" applyAlignment="1">
      <alignment horizontal="left" vertical="center" wrapText="1"/>
    </xf>
    <xf numFmtId="43" fontId="14" fillId="0" borderId="31" xfId="1" applyFont="1" applyFill="1" applyBorder="1" applyAlignment="1">
      <alignment horizontal="left" vertical="center" wrapText="1"/>
    </xf>
    <xf numFmtId="170" fontId="14" fillId="0" borderId="31" xfId="3" applyNumberFormat="1" applyFont="1" applyFill="1" applyBorder="1" applyAlignment="1">
      <alignment horizontal="left" vertical="center" wrapText="1"/>
    </xf>
    <xf numFmtId="172" fontId="15" fillId="0" borderId="66" xfId="0" applyNumberFormat="1" applyFont="1" applyBorder="1" applyAlignment="1">
      <alignment horizontal="right" vertical="center" wrapText="1"/>
    </xf>
    <xf numFmtId="0" fontId="14" fillId="0" borderId="23" xfId="0" applyFont="1" applyBorder="1" applyAlignment="1">
      <alignment vertical="center" wrapText="1"/>
    </xf>
    <xf numFmtId="43" fontId="13" fillId="0" borderId="29" xfId="1" applyFont="1" applyFill="1" applyBorder="1" applyAlignment="1">
      <alignment horizontal="center" vertical="center" wrapText="1"/>
    </xf>
    <xf numFmtId="43" fontId="13" fillId="0" borderId="45" xfId="1" applyFont="1" applyFill="1" applyBorder="1" applyAlignment="1">
      <alignment horizontal="center" vertical="center" wrapText="1"/>
    </xf>
    <xf numFmtId="172" fontId="14" fillId="0" borderId="1" xfId="3" applyNumberFormat="1" applyFont="1" applyFill="1" applyBorder="1" applyAlignment="1">
      <alignment horizontal="right" vertical="center" wrapText="1"/>
    </xf>
    <xf numFmtId="170" fontId="14" fillId="0" borderId="29" xfId="3" applyNumberFormat="1" applyFont="1" applyFill="1" applyBorder="1" applyAlignment="1">
      <alignment horizontal="left" vertical="center" wrapText="1"/>
    </xf>
    <xf numFmtId="43" fontId="14" fillId="0" borderId="1" xfId="1" applyFont="1" applyFill="1" applyBorder="1" applyAlignment="1">
      <alignment horizontal="left" vertical="center" wrapText="1"/>
    </xf>
    <xf numFmtId="170" fontId="14" fillId="0" borderId="1" xfId="3" applyNumberFormat="1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171" fontId="14" fillId="6" borderId="3" xfId="3" applyNumberFormat="1" applyFont="1" applyFill="1" applyBorder="1" applyAlignment="1">
      <alignment horizontal="right" vertical="center" wrapText="1"/>
    </xf>
    <xf numFmtId="171" fontId="11" fillId="6" borderId="3" xfId="3" applyNumberFormat="1" applyFont="1" applyFill="1" applyBorder="1" applyAlignment="1">
      <alignment horizontal="right" vertical="center" wrapText="1"/>
    </xf>
    <xf numFmtId="171" fontId="14" fillId="0" borderId="3" xfId="3" applyNumberFormat="1" applyFont="1" applyFill="1" applyBorder="1" applyAlignment="1">
      <alignment horizontal="right" vertical="center" wrapText="1"/>
    </xf>
    <xf numFmtId="172" fontId="14" fillId="2" borderId="70" xfId="3" applyNumberFormat="1" applyFont="1" applyFill="1" applyBorder="1" applyAlignment="1">
      <alignment horizontal="right" vertical="center" wrapText="1"/>
    </xf>
    <xf numFmtId="172" fontId="14" fillId="2" borderId="28" xfId="3" applyNumberFormat="1" applyFont="1" applyFill="1" applyBorder="1" applyAlignment="1">
      <alignment horizontal="right" vertical="center" wrapText="1"/>
    </xf>
    <xf numFmtId="172" fontId="14" fillId="2" borderId="3" xfId="3" applyNumberFormat="1" applyFont="1" applyFill="1" applyBorder="1" applyAlignment="1">
      <alignment horizontal="right" vertical="center" wrapText="1"/>
    </xf>
    <xf numFmtId="172" fontId="14" fillId="2" borderId="71" xfId="3" applyNumberFormat="1" applyFont="1" applyFill="1" applyBorder="1" applyAlignment="1">
      <alignment horizontal="right" vertical="center" wrapText="1"/>
    </xf>
    <xf numFmtId="172" fontId="14" fillId="2" borderId="7" xfId="3" applyNumberFormat="1" applyFont="1" applyFill="1" applyBorder="1" applyAlignment="1">
      <alignment horizontal="right" vertical="center" wrapText="1"/>
    </xf>
    <xf numFmtId="170" fontId="14" fillId="0" borderId="28" xfId="3" applyNumberFormat="1" applyFont="1" applyBorder="1" applyAlignment="1">
      <alignment horizontal="left" vertical="center" wrapText="1"/>
    </xf>
    <xf numFmtId="43" fontId="14" fillId="0" borderId="3" xfId="1" applyFont="1" applyBorder="1" applyAlignment="1">
      <alignment horizontal="left" vertical="center" wrapText="1"/>
    </xf>
    <xf numFmtId="168" fontId="14" fillId="0" borderId="71" xfId="3" applyFont="1" applyFill="1" applyBorder="1" applyAlignment="1">
      <alignment horizontal="right" vertical="center" wrapText="1"/>
    </xf>
    <xf numFmtId="0" fontId="13" fillId="0" borderId="71" xfId="0" applyFont="1" applyBorder="1" applyAlignment="1">
      <alignment vertical="center" wrapText="1"/>
    </xf>
    <xf numFmtId="169" fontId="11" fillId="0" borderId="0" xfId="0" applyNumberFormat="1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70" fontId="14" fillId="0" borderId="1" xfId="3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43" fontId="18" fillId="2" borderId="0" xfId="1" applyFont="1" applyFill="1" applyBorder="1" applyAlignment="1">
      <alignment vertical="center" wrapText="1"/>
    </xf>
    <xf numFmtId="0" fontId="11" fillId="2" borderId="0" xfId="0" applyFont="1" applyFill="1" applyAlignment="1">
      <alignment vertical="center" wrapText="1"/>
    </xf>
    <xf numFmtId="170" fontId="14" fillId="0" borderId="62" xfId="3" applyNumberFormat="1" applyFont="1" applyBorder="1" applyAlignment="1">
      <alignment horizontal="left" vertical="center" wrapText="1"/>
    </xf>
    <xf numFmtId="170" fontId="14" fillId="0" borderId="2" xfId="3" applyNumberFormat="1" applyFont="1" applyFill="1" applyBorder="1" applyAlignment="1">
      <alignment horizontal="left" vertical="center" wrapText="1"/>
    </xf>
    <xf numFmtId="170" fontId="14" fillId="0" borderId="72" xfId="3" applyNumberFormat="1" applyFont="1" applyFill="1" applyBorder="1" applyAlignment="1">
      <alignment horizontal="right" vertical="center" wrapText="1"/>
    </xf>
    <xf numFmtId="168" fontId="14" fillId="0" borderId="72" xfId="3" applyFont="1" applyFill="1" applyBorder="1" applyAlignment="1">
      <alignment horizontal="right" vertical="center" wrapText="1"/>
    </xf>
    <xf numFmtId="170" fontId="14" fillId="0" borderId="29" xfId="3" applyNumberFormat="1" applyFont="1" applyFill="1" applyBorder="1" applyAlignment="1">
      <alignment horizontal="right" vertical="center" wrapText="1"/>
    </xf>
    <xf numFmtId="170" fontId="14" fillId="0" borderId="28" xfId="3" applyNumberFormat="1" applyFont="1" applyFill="1" applyBorder="1" applyAlignment="1">
      <alignment horizontal="right" vertical="center" wrapText="1"/>
    </xf>
    <xf numFmtId="170" fontId="14" fillId="0" borderId="30" xfId="3" applyNumberFormat="1" applyFont="1" applyFill="1" applyBorder="1" applyAlignment="1">
      <alignment horizontal="right" vertical="center" wrapText="1"/>
    </xf>
    <xf numFmtId="168" fontId="18" fillId="16" borderId="64" xfId="3" applyFont="1" applyFill="1" applyBorder="1" applyAlignment="1">
      <alignment vertical="center" wrapText="1"/>
    </xf>
    <xf numFmtId="43" fontId="13" fillId="0" borderId="75" xfId="1" applyFont="1" applyFill="1" applyBorder="1" applyAlignment="1">
      <alignment horizontal="center" vertical="center" wrapText="1"/>
    </xf>
    <xf numFmtId="43" fontId="13" fillId="4" borderId="82" xfId="1" applyFont="1" applyFill="1" applyBorder="1" applyAlignment="1">
      <alignment horizontal="center" vertical="center" wrapText="1"/>
    </xf>
    <xf numFmtId="43" fontId="13" fillId="4" borderId="73" xfId="1" applyFont="1" applyFill="1" applyBorder="1" applyAlignment="1">
      <alignment horizontal="center" vertical="center" wrapText="1"/>
    </xf>
    <xf numFmtId="43" fontId="13" fillId="4" borderId="74" xfId="1" applyFont="1" applyFill="1" applyBorder="1" applyAlignment="1">
      <alignment horizontal="center" vertical="center" wrapText="1"/>
    </xf>
    <xf numFmtId="43" fontId="13" fillId="4" borderId="79" xfId="1" applyFont="1" applyFill="1" applyBorder="1" applyAlignment="1">
      <alignment horizontal="center" vertical="center" wrapText="1"/>
    </xf>
    <xf numFmtId="43" fontId="13" fillId="4" borderId="75" xfId="1" applyFont="1" applyFill="1" applyBorder="1" applyAlignment="1">
      <alignment horizontal="center" vertical="center" wrapText="1"/>
    </xf>
    <xf numFmtId="43" fontId="13" fillId="2" borderId="75" xfId="1" applyFont="1" applyFill="1" applyBorder="1" applyAlignment="1">
      <alignment horizontal="center" vertical="center" wrapText="1"/>
    </xf>
    <xf numFmtId="0" fontId="13" fillId="5" borderId="75" xfId="0" applyFont="1" applyFill="1" applyBorder="1" applyAlignment="1">
      <alignment vertical="center" wrapText="1"/>
    </xf>
    <xf numFmtId="0" fontId="13" fillId="2" borderId="75" xfId="0" applyFont="1" applyFill="1" applyBorder="1" applyAlignment="1">
      <alignment vertical="center" wrapText="1"/>
    </xf>
    <xf numFmtId="0" fontId="15" fillId="11" borderId="62" xfId="7" applyFont="1" applyFill="1" applyBorder="1" applyAlignment="1">
      <alignment vertical="center" wrapText="1"/>
    </xf>
    <xf numFmtId="0" fontId="15" fillId="11" borderId="63" xfId="7" applyFont="1" applyFill="1" applyBorder="1" applyAlignment="1">
      <alignment vertical="center" wrapText="1"/>
    </xf>
    <xf numFmtId="43" fontId="15" fillId="4" borderId="63" xfId="1" applyFont="1" applyFill="1" applyBorder="1" applyAlignment="1">
      <alignment horizontal="center" vertical="center" wrapText="1"/>
    </xf>
    <xf numFmtId="43" fontId="15" fillId="6" borderId="1" xfId="1" applyFont="1" applyFill="1" applyBorder="1" applyAlignment="1">
      <alignment horizontal="center" vertical="center" wrapText="1"/>
    </xf>
    <xf numFmtId="43" fontId="13" fillId="2" borderId="1" xfId="1" applyFont="1" applyFill="1" applyBorder="1" applyAlignment="1">
      <alignment horizontal="center" vertical="center" wrapText="1"/>
    </xf>
    <xf numFmtId="43" fontId="13" fillId="3" borderId="29" xfId="1" applyFont="1" applyFill="1" applyBorder="1" applyAlignment="1">
      <alignment horizontal="center" vertical="center" wrapText="1"/>
    </xf>
    <xf numFmtId="43" fontId="13" fillId="3" borderId="45" xfId="1" applyFont="1" applyFill="1" applyBorder="1" applyAlignment="1">
      <alignment horizontal="center" vertical="center" wrapText="1"/>
    </xf>
    <xf numFmtId="10" fontId="13" fillId="18" borderId="29" xfId="9" applyNumberFormat="1" applyFont="1" applyFill="1" applyBorder="1" applyAlignment="1">
      <alignment horizontal="center" vertical="center" wrapText="1"/>
    </xf>
    <xf numFmtId="10" fontId="13" fillId="18" borderId="1" xfId="9" applyNumberFormat="1" applyFont="1" applyFill="1" applyBorder="1" applyAlignment="1">
      <alignment horizontal="center" vertical="center" wrapText="1"/>
    </xf>
    <xf numFmtId="43" fontId="13" fillId="18" borderId="45" xfId="1" applyFont="1" applyFill="1" applyBorder="1" applyAlignment="1">
      <alignment horizontal="center" vertical="center" wrapText="1"/>
    </xf>
    <xf numFmtId="10" fontId="13" fillId="8" borderId="29" xfId="9" applyNumberFormat="1" applyFont="1" applyFill="1" applyBorder="1" applyAlignment="1">
      <alignment horizontal="center" vertical="center" wrapText="1"/>
    </xf>
    <xf numFmtId="10" fontId="13" fillId="8" borderId="1" xfId="9" applyNumberFormat="1" applyFont="1" applyFill="1" applyBorder="1" applyAlignment="1">
      <alignment horizontal="center" vertical="center" wrapText="1"/>
    </xf>
    <xf numFmtId="43" fontId="13" fillId="8" borderId="45" xfId="1" applyFont="1" applyFill="1" applyBorder="1" applyAlignment="1">
      <alignment horizontal="center" vertical="center" wrapText="1"/>
    </xf>
    <xf numFmtId="168" fontId="14" fillId="2" borderId="0" xfId="3" applyFont="1" applyFill="1" applyBorder="1" applyAlignment="1">
      <alignment horizontal="right" vertical="center" wrapText="1"/>
    </xf>
    <xf numFmtId="171" fontId="14" fillId="6" borderId="1" xfId="3" applyNumberFormat="1" applyFont="1" applyFill="1" applyBorder="1" applyAlignment="1">
      <alignment horizontal="right" vertical="center" wrapText="1"/>
    </xf>
    <xf numFmtId="171" fontId="11" fillId="6" borderId="1" xfId="3" applyNumberFormat="1" applyFont="1" applyFill="1" applyBorder="1" applyAlignment="1">
      <alignment horizontal="right" vertical="center" wrapText="1"/>
    </xf>
    <xf numFmtId="172" fontId="14" fillId="2" borderId="65" xfId="3" applyNumberFormat="1" applyFont="1" applyFill="1" applyBorder="1" applyAlignment="1">
      <alignment horizontal="right" vertical="center" wrapText="1"/>
    </xf>
    <xf numFmtId="172" fontId="14" fillId="2" borderId="29" xfId="3" applyNumberFormat="1" applyFont="1" applyFill="1" applyBorder="1" applyAlignment="1">
      <alignment horizontal="right" vertical="center" wrapText="1"/>
    </xf>
    <xf numFmtId="172" fontId="14" fillId="2" borderId="45" xfId="3" applyNumberFormat="1" applyFont="1" applyFill="1" applyBorder="1" applyAlignment="1">
      <alignment horizontal="right" vertical="center" wrapText="1"/>
    </xf>
    <xf numFmtId="172" fontId="14" fillId="2" borderId="4" xfId="3" applyNumberFormat="1" applyFont="1" applyFill="1" applyBorder="1" applyAlignment="1">
      <alignment horizontal="right" vertical="center" wrapText="1"/>
    </xf>
    <xf numFmtId="170" fontId="14" fillId="0" borderId="72" xfId="3" applyNumberFormat="1" applyFont="1" applyBorder="1" applyAlignment="1">
      <alignment horizontal="left" vertical="center" wrapText="1"/>
    </xf>
    <xf numFmtId="43" fontId="14" fillId="0" borderId="2" xfId="1" applyFont="1" applyBorder="1" applyAlignment="1">
      <alignment horizontal="left" vertical="center" wrapText="1"/>
    </xf>
    <xf numFmtId="168" fontId="14" fillId="0" borderId="80" xfId="3" applyFont="1" applyFill="1" applyBorder="1" applyAlignment="1">
      <alignment horizontal="right" vertical="center" wrapText="1"/>
    </xf>
    <xf numFmtId="0" fontId="14" fillId="0" borderId="67" xfId="0" applyFont="1" applyBorder="1" applyAlignment="1">
      <alignment horizontal="center" vertical="center"/>
    </xf>
    <xf numFmtId="0" fontId="15" fillId="0" borderId="8" xfId="7" applyFont="1" applyBorder="1" applyAlignment="1">
      <alignment vertical="center" wrapText="1"/>
    </xf>
    <xf numFmtId="171" fontId="14" fillId="6" borderId="8" xfId="3" applyNumberFormat="1" applyFont="1" applyFill="1" applyBorder="1" applyAlignment="1">
      <alignment horizontal="right" vertical="center" wrapText="1"/>
    </xf>
    <xf numFmtId="171" fontId="11" fillId="6" borderId="8" xfId="3" applyNumberFormat="1" applyFont="1" applyFill="1" applyBorder="1" applyAlignment="1">
      <alignment horizontal="right" vertical="center" wrapText="1"/>
    </xf>
    <xf numFmtId="171" fontId="14" fillId="0" borderId="8" xfId="3" applyNumberFormat="1" applyFont="1" applyFill="1" applyBorder="1" applyAlignment="1">
      <alignment horizontal="right" vertical="center" wrapText="1"/>
    </xf>
    <xf numFmtId="172" fontId="14" fillId="2" borderId="68" xfId="3" applyNumberFormat="1" applyFont="1" applyFill="1" applyBorder="1" applyAlignment="1">
      <alignment horizontal="right" vertical="center" wrapText="1"/>
    </xf>
    <xf numFmtId="172" fontId="14" fillId="2" borderId="67" xfId="3" applyNumberFormat="1" applyFont="1" applyFill="1" applyBorder="1" applyAlignment="1">
      <alignment horizontal="right" vertical="center" wrapText="1"/>
    </xf>
    <xf numFmtId="172" fontId="14" fillId="2" borderId="8" xfId="3" applyNumberFormat="1" applyFont="1" applyFill="1" applyBorder="1" applyAlignment="1">
      <alignment horizontal="right" vertical="center" wrapText="1"/>
    </xf>
    <xf numFmtId="172" fontId="14" fillId="2" borderId="57" xfId="3" applyNumberFormat="1" applyFont="1" applyFill="1" applyBorder="1" applyAlignment="1">
      <alignment horizontal="right" vertical="center" wrapText="1"/>
    </xf>
    <xf numFmtId="172" fontId="14" fillId="2" borderId="69" xfId="3" applyNumberFormat="1" applyFont="1" applyFill="1" applyBorder="1" applyAlignment="1">
      <alignment horizontal="right" vertical="center" wrapText="1"/>
    </xf>
    <xf numFmtId="170" fontId="14" fillId="0" borderId="67" xfId="3" applyNumberFormat="1" applyFont="1" applyFill="1" applyBorder="1" applyAlignment="1">
      <alignment horizontal="right" vertical="center" wrapText="1"/>
    </xf>
    <xf numFmtId="168" fontId="14" fillId="0" borderId="57" xfId="3" applyFont="1" applyFill="1" applyBorder="1" applyAlignment="1">
      <alignment horizontal="right" vertical="center" wrapText="1"/>
    </xf>
    <xf numFmtId="170" fontId="14" fillId="0" borderId="67" xfId="3" applyNumberFormat="1" applyFont="1" applyBorder="1" applyAlignment="1">
      <alignment horizontal="left" vertical="center" wrapText="1"/>
    </xf>
    <xf numFmtId="43" fontId="14" fillId="0" borderId="8" xfId="1" applyFont="1" applyBorder="1" applyAlignment="1">
      <alignment horizontal="left" vertical="center" wrapText="1"/>
    </xf>
    <xf numFmtId="1" fontId="11" fillId="2" borderId="72" xfId="8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 wrapText="1"/>
    </xf>
    <xf numFmtId="1" fontId="14" fillId="0" borderId="0" xfId="3" applyNumberFormat="1" applyFont="1" applyFill="1" applyBorder="1" applyAlignment="1">
      <alignment horizontal="center" vertical="center" wrapText="1"/>
    </xf>
    <xf numFmtId="170" fontId="14" fillId="0" borderId="0" xfId="3" applyNumberFormat="1" applyFont="1" applyFill="1" applyBorder="1" applyAlignment="1">
      <alignment horizontal="center" vertical="top" wrapText="1"/>
    </xf>
    <xf numFmtId="170" fontId="14" fillId="0" borderId="63" xfId="3" applyNumberFormat="1" applyFont="1" applyBorder="1" applyAlignment="1">
      <alignment horizontal="left" vertical="center" wrapText="1"/>
    </xf>
    <xf numFmtId="168" fontId="11" fillId="0" borderId="29" xfId="3" applyFont="1" applyBorder="1" applyAlignment="1">
      <alignment vertical="center" wrapText="1"/>
    </xf>
    <xf numFmtId="168" fontId="11" fillId="0" borderId="45" xfId="3" applyFont="1" applyBorder="1" applyAlignment="1">
      <alignment vertical="center" wrapText="1"/>
    </xf>
    <xf numFmtId="168" fontId="11" fillId="2" borderId="0" xfId="3" applyFont="1" applyFill="1" applyBorder="1" applyAlignment="1">
      <alignment vertical="center" wrapText="1"/>
    </xf>
    <xf numFmtId="1" fontId="11" fillId="0" borderId="0" xfId="0" applyNumberFormat="1" applyFont="1" applyAlignment="1">
      <alignment vertical="center" wrapText="1"/>
    </xf>
    <xf numFmtId="0" fontId="18" fillId="16" borderId="0" xfId="0" applyFont="1" applyFill="1" applyAlignment="1">
      <alignment horizontal="center" vertical="center" wrapText="1"/>
    </xf>
    <xf numFmtId="168" fontId="18" fillId="16" borderId="59" xfId="3" applyFont="1" applyFill="1" applyBorder="1" applyAlignment="1">
      <alignment vertical="center" wrapText="1"/>
    </xf>
    <xf numFmtId="169" fontId="11" fillId="5" borderId="0" xfId="0" applyNumberFormat="1" applyFont="1" applyFill="1" applyAlignment="1">
      <alignment vertical="center" wrapText="1"/>
    </xf>
    <xf numFmtId="170" fontId="11" fillId="0" borderId="0" xfId="0" applyNumberFormat="1" applyFont="1" applyAlignment="1">
      <alignment vertical="center" wrapText="1"/>
    </xf>
    <xf numFmtId="170" fontId="18" fillId="16" borderId="59" xfId="3" applyNumberFormat="1" applyFont="1" applyFill="1" applyBorder="1" applyAlignment="1">
      <alignment vertical="center" wrapText="1"/>
    </xf>
    <xf numFmtId="170" fontId="18" fillId="16" borderId="60" xfId="3" applyNumberFormat="1" applyFont="1" applyFill="1" applyBorder="1" applyAlignment="1">
      <alignment vertical="center" wrapText="1"/>
    </xf>
    <xf numFmtId="168" fontId="18" fillId="16" borderId="83" xfId="3" applyFont="1" applyFill="1" applyBorder="1" applyAlignment="1">
      <alignment vertical="center" wrapText="1"/>
    </xf>
    <xf numFmtId="43" fontId="18" fillId="16" borderId="83" xfId="1" applyFont="1" applyFill="1" applyBorder="1" applyAlignment="1">
      <alignment vertical="center" wrapText="1"/>
    </xf>
    <xf numFmtId="0" fontId="11" fillId="0" borderId="75" xfId="0" applyFont="1" applyBorder="1" applyAlignment="1">
      <alignment wrapText="1"/>
    </xf>
    <xf numFmtId="43" fontId="11" fillId="0" borderId="75" xfId="1" applyFont="1" applyBorder="1" applyAlignment="1">
      <alignment wrapText="1"/>
    </xf>
    <xf numFmtId="0" fontId="13" fillId="2" borderId="75" xfId="0" applyFont="1" applyFill="1" applyBorder="1" applyAlignment="1">
      <alignment horizontal="center" vertical="center" wrapText="1"/>
    </xf>
    <xf numFmtId="0" fontId="13" fillId="10" borderId="84" xfId="0" applyFont="1" applyFill="1" applyBorder="1" applyAlignment="1">
      <alignment vertical="center" wrapText="1"/>
    </xf>
    <xf numFmtId="43" fontId="18" fillId="16" borderId="87" xfId="1" applyFont="1" applyFill="1" applyBorder="1" applyAlignment="1">
      <alignment vertical="center" wrapText="1"/>
    </xf>
    <xf numFmtId="43" fontId="18" fillId="16" borderId="88" xfId="1" applyFont="1" applyFill="1" applyBorder="1" applyAlignment="1">
      <alignment vertical="center" wrapText="1"/>
    </xf>
    <xf numFmtId="0" fontId="11" fillId="0" borderId="77" xfId="0" applyFont="1" applyBorder="1" applyAlignment="1">
      <alignment vertical="center" wrapText="1"/>
    </xf>
    <xf numFmtId="43" fontId="18" fillId="2" borderId="77" xfId="1" applyFont="1" applyFill="1" applyBorder="1" applyAlignment="1">
      <alignment vertical="center" wrapText="1"/>
    </xf>
    <xf numFmtId="43" fontId="11" fillId="6" borderId="45" xfId="1" applyFont="1" applyFill="1" applyBorder="1" applyAlignment="1">
      <alignment horizontal="center" vertical="center" wrapText="1"/>
    </xf>
    <xf numFmtId="168" fontId="15" fillId="6" borderId="39" xfId="3" applyFont="1" applyFill="1" applyBorder="1" applyAlignment="1">
      <alignment horizontal="center" vertical="center" wrapText="1"/>
    </xf>
    <xf numFmtId="43" fontId="11" fillId="6" borderId="43" xfId="1" applyFont="1" applyFill="1" applyBorder="1" applyAlignment="1">
      <alignment horizontal="center" vertical="center" wrapText="1"/>
    </xf>
    <xf numFmtId="0" fontId="18" fillId="16" borderId="60" xfId="0" applyFont="1" applyFill="1" applyBorder="1" applyAlignment="1">
      <alignment horizontal="center" vertical="center" wrapText="1"/>
    </xf>
    <xf numFmtId="0" fontId="15" fillId="20" borderId="1" xfId="7" applyFont="1" applyFill="1" applyBorder="1" applyAlignment="1">
      <alignment vertical="center" wrapText="1"/>
    </xf>
    <xf numFmtId="43" fontId="15" fillId="6" borderId="2" xfId="1" applyFont="1" applyFill="1" applyBorder="1" applyAlignment="1">
      <alignment horizontal="center" vertical="center" wrapText="1"/>
    </xf>
    <xf numFmtId="43" fontId="15" fillId="0" borderId="2" xfId="1" applyFont="1" applyFill="1" applyBorder="1" applyAlignment="1">
      <alignment horizontal="center" vertical="center" wrapText="1"/>
    </xf>
    <xf numFmtId="43" fontId="19" fillId="0" borderId="2" xfId="1" applyFont="1" applyFill="1" applyBorder="1" applyAlignment="1">
      <alignment horizontal="center" vertical="center" wrapText="1"/>
    </xf>
    <xf numFmtId="43" fontId="15" fillId="6" borderId="46" xfId="1" applyFont="1" applyFill="1" applyBorder="1" applyAlignment="1">
      <alignment horizontal="center" vertical="center" wrapText="1"/>
    </xf>
    <xf numFmtId="43" fontId="11" fillId="6" borderId="53" xfId="1" applyFont="1" applyFill="1" applyBorder="1" applyAlignment="1">
      <alignment horizontal="center" vertical="center" wrapText="1"/>
    </xf>
    <xf numFmtId="43" fontId="11" fillId="6" borderId="93" xfId="1" applyFont="1" applyFill="1" applyBorder="1" applyAlignment="1">
      <alignment horizontal="center" vertical="center" wrapText="1"/>
    </xf>
    <xf numFmtId="43" fontId="11" fillId="6" borderId="92" xfId="1" applyFont="1" applyFill="1" applyBorder="1" applyAlignment="1">
      <alignment horizontal="center" vertical="center" wrapText="1"/>
    </xf>
    <xf numFmtId="168" fontId="15" fillId="6" borderId="91" xfId="3" applyFont="1" applyFill="1" applyBorder="1" applyAlignment="1">
      <alignment horizontal="center" vertical="center" wrapText="1"/>
    </xf>
    <xf numFmtId="43" fontId="15" fillId="0" borderId="46" xfId="1" applyFont="1" applyFill="1" applyBorder="1" applyAlignment="1">
      <alignment horizontal="center" vertical="center" wrapText="1"/>
    </xf>
    <xf numFmtId="43" fontId="13" fillId="0" borderId="2" xfId="1" applyFont="1" applyFill="1" applyBorder="1" applyAlignment="1">
      <alignment horizontal="center" vertical="center" wrapText="1"/>
    </xf>
    <xf numFmtId="171" fontId="14" fillId="0" borderId="37" xfId="3" applyNumberFormat="1" applyFont="1" applyFill="1" applyBorder="1" applyAlignment="1">
      <alignment horizontal="right" vertical="center" wrapText="1"/>
    </xf>
    <xf numFmtId="171" fontId="14" fillId="0" borderId="2" xfId="3" applyNumberFormat="1" applyFont="1" applyFill="1" applyBorder="1" applyAlignment="1">
      <alignment horizontal="right" vertical="center" wrapText="1"/>
    </xf>
    <xf numFmtId="171" fontId="14" fillId="0" borderId="9" xfId="3" applyNumberFormat="1" applyFont="1" applyFill="1" applyBorder="1" applyAlignment="1">
      <alignment horizontal="right" vertical="center" wrapText="1"/>
    </xf>
    <xf numFmtId="43" fontId="19" fillId="0" borderId="54" xfId="1" applyFont="1" applyFill="1" applyBorder="1" applyAlignment="1">
      <alignment horizontal="center" vertical="center" wrapText="1"/>
    </xf>
    <xf numFmtId="43" fontId="11" fillId="6" borderId="21" xfId="1" applyFont="1" applyFill="1" applyBorder="1" applyAlignment="1">
      <alignment horizontal="center" vertical="center" wrapText="1"/>
    </xf>
    <xf numFmtId="43" fontId="11" fillId="6" borderId="4" xfId="1" applyFont="1" applyFill="1" applyBorder="1" applyAlignment="1">
      <alignment horizontal="center" vertical="center" wrapText="1"/>
    </xf>
    <xf numFmtId="168" fontId="15" fillId="6" borderId="6" xfId="3" applyFont="1" applyFill="1" applyBorder="1" applyAlignment="1">
      <alignment horizontal="center" vertical="center" wrapText="1"/>
    </xf>
    <xf numFmtId="43" fontId="13" fillId="9" borderId="35" xfId="1" applyFont="1" applyFill="1" applyBorder="1" applyAlignment="1">
      <alignment horizontal="center" vertical="center" wrapText="1"/>
    </xf>
    <xf numFmtId="43" fontId="13" fillId="0" borderId="35" xfId="1" applyFont="1" applyFill="1" applyBorder="1" applyAlignment="1">
      <alignment horizontal="center" vertical="center" wrapText="1"/>
    </xf>
    <xf numFmtId="172" fontId="14" fillId="0" borderId="35" xfId="3" applyNumberFormat="1" applyFont="1" applyFill="1" applyBorder="1" applyAlignment="1">
      <alignment horizontal="right" vertical="center" wrapText="1"/>
    </xf>
    <xf numFmtId="43" fontId="14" fillId="2" borderId="0" xfId="1" applyFont="1" applyFill="1" applyBorder="1" applyAlignment="1">
      <alignment horizontal="center" vertical="center" wrapText="1"/>
    </xf>
    <xf numFmtId="0" fontId="13" fillId="10" borderId="84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168" fontId="15" fillId="2" borderId="0" xfId="3" applyFont="1" applyFill="1" applyBorder="1" applyAlignment="1">
      <alignment horizontal="center" vertical="center" wrapText="1"/>
    </xf>
    <xf numFmtId="43" fontId="11" fillId="2" borderId="0" xfId="1" applyFont="1" applyFill="1" applyAlignment="1">
      <alignment vertical="center" wrapText="1"/>
    </xf>
    <xf numFmtId="43" fontId="18" fillId="2" borderId="0" xfId="1" applyFont="1" applyFill="1" applyBorder="1" applyAlignment="1">
      <alignment horizontal="center" vertical="center" wrapText="1"/>
    </xf>
    <xf numFmtId="43" fontId="11" fillId="6" borderId="71" xfId="1" applyFont="1" applyFill="1" applyBorder="1" applyAlignment="1">
      <alignment horizontal="center" vertical="center" wrapText="1"/>
    </xf>
    <xf numFmtId="43" fontId="11" fillId="2" borderId="45" xfId="1" applyFont="1" applyFill="1" applyBorder="1" applyAlignment="1">
      <alignment horizontal="center" vertical="center" wrapText="1"/>
    </xf>
    <xf numFmtId="43" fontId="11" fillId="2" borderId="43" xfId="1" applyFont="1" applyFill="1" applyBorder="1" applyAlignment="1">
      <alignment horizontal="center" vertical="center" wrapText="1"/>
    </xf>
    <xf numFmtId="168" fontId="15" fillId="2" borderId="39" xfId="3" applyFont="1" applyFill="1" applyBorder="1" applyAlignment="1">
      <alignment horizontal="center" vertical="center" wrapText="1"/>
    </xf>
    <xf numFmtId="0" fontId="15" fillId="12" borderId="1" xfId="7" applyFont="1" applyFill="1" applyBorder="1" applyAlignment="1">
      <alignment horizontal="center" vertical="center" wrapText="1"/>
    </xf>
    <xf numFmtId="0" fontId="15" fillId="2" borderId="1" xfId="7" applyFont="1" applyFill="1" applyBorder="1" applyAlignment="1">
      <alignment vertical="center" wrapText="1"/>
    </xf>
    <xf numFmtId="171" fontId="14" fillId="2" borderId="1" xfId="3" applyNumberFormat="1" applyFont="1" applyFill="1" applyBorder="1" applyAlignment="1">
      <alignment horizontal="right" vertical="center" wrapText="1"/>
    </xf>
    <xf numFmtId="43" fontId="11" fillId="2" borderId="71" xfId="1" applyFont="1" applyFill="1" applyBorder="1" applyAlignment="1">
      <alignment horizontal="center" vertical="center" wrapText="1"/>
    </xf>
    <xf numFmtId="43" fontId="14" fillId="0" borderId="29" xfId="1" applyFont="1" applyBorder="1" applyAlignment="1">
      <alignment horizontal="left" vertical="center" wrapText="1"/>
    </xf>
    <xf numFmtId="170" fontId="14" fillId="0" borderId="45" xfId="3" applyNumberFormat="1" applyFont="1" applyBorder="1" applyAlignment="1">
      <alignment horizontal="left" vertical="center" wrapText="1"/>
    </xf>
    <xf numFmtId="43" fontId="13" fillId="3" borderId="28" xfId="1" applyFont="1" applyFill="1" applyBorder="1" applyAlignment="1">
      <alignment horizontal="center" vertical="center" wrapText="1"/>
    </xf>
    <xf numFmtId="10" fontId="13" fillId="18" borderId="28" xfId="9" applyNumberFormat="1" applyFont="1" applyFill="1" applyBorder="1" applyAlignment="1">
      <alignment horizontal="center" vertical="center" wrapText="1"/>
    </xf>
    <xf numFmtId="168" fontId="18" fillId="16" borderId="30" xfId="3" applyFont="1" applyFill="1" applyBorder="1" applyAlignment="1">
      <alignment vertical="center" wrapText="1"/>
    </xf>
    <xf numFmtId="10" fontId="13" fillId="18" borderId="71" xfId="9" applyNumberFormat="1" applyFont="1" applyFill="1" applyBorder="1" applyAlignment="1">
      <alignment horizontal="center" vertical="center" wrapText="1"/>
    </xf>
    <xf numFmtId="43" fontId="18" fillId="21" borderId="83" xfId="1" applyFont="1" applyFill="1" applyBorder="1" applyAlignment="1">
      <alignment vertical="center" wrapText="1"/>
    </xf>
    <xf numFmtId="169" fontId="11" fillId="22" borderId="0" xfId="0" applyNumberFormat="1" applyFont="1" applyFill="1" applyAlignment="1">
      <alignment vertical="center" wrapText="1"/>
    </xf>
    <xf numFmtId="168" fontId="11" fillId="0" borderId="34" xfId="3" applyFont="1" applyBorder="1" applyAlignment="1">
      <alignment vertical="center" wrapText="1"/>
    </xf>
    <xf numFmtId="43" fontId="18" fillId="16" borderId="97" xfId="1" applyFont="1" applyFill="1" applyBorder="1" applyAlignment="1">
      <alignment vertical="center" wrapText="1"/>
    </xf>
    <xf numFmtId="168" fontId="11" fillId="0" borderId="95" xfId="3" applyFont="1" applyBorder="1" applyAlignment="1">
      <alignment vertical="center" wrapText="1"/>
    </xf>
    <xf numFmtId="0" fontId="11" fillId="2" borderId="77" xfId="0" applyFont="1" applyFill="1" applyBorder="1" applyAlignment="1">
      <alignment vertical="center" wrapText="1"/>
    </xf>
    <xf numFmtId="1" fontId="14" fillId="2" borderId="0" xfId="3" applyNumberFormat="1" applyFont="1" applyFill="1" applyBorder="1" applyAlignment="1">
      <alignment horizontal="center" vertical="center" wrapText="1"/>
    </xf>
    <xf numFmtId="170" fontId="14" fillId="2" borderId="0" xfId="3" applyNumberFormat="1" applyFont="1" applyFill="1" applyBorder="1" applyAlignment="1">
      <alignment horizontal="center" vertical="top" wrapText="1"/>
    </xf>
    <xf numFmtId="0" fontId="14" fillId="2" borderId="0" xfId="0" applyFont="1" applyFill="1" applyAlignment="1">
      <alignment horizontal="center" vertical="center" wrapText="1"/>
    </xf>
    <xf numFmtId="171" fontId="11" fillId="2" borderId="0" xfId="3" applyNumberFormat="1" applyFont="1" applyFill="1" applyBorder="1" applyAlignment="1">
      <alignment horizontal="right" vertical="center" wrapText="1"/>
    </xf>
    <xf numFmtId="171" fontId="14" fillId="2" borderId="0" xfId="3" applyNumberFormat="1" applyFont="1" applyFill="1" applyBorder="1" applyAlignment="1">
      <alignment horizontal="right" vertical="center" wrapText="1"/>
    </xf>
    <xf numFmtId="43" fontId="11" fillId="2" borderId="0" xfId="1" applyFont="1" applyFill="1" applyBorder="1" applyAlignment="1">
      <alignment horizontal="center" vertical="center" wrapText="1"/>
    </xf>
    <xf numFmtId="170" fontId="14" fillId="2" borderId="0" xfId="3" applyNumberFormat="1" applyFont="1" applyFill="1" applyBorder="1" applyAlignment="1">
      <alignment horizontal="right" vertical="center" wrapTex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94" xfId="0" applyFont="1" applyFill="1" applyBorder="1" applyAlignment="1">
      <alignment horizontal="center" vertical="center" wrapText="1"/>
    </xf>
    <xf numFmtId="43" fontId="11" fillId="2" borderId="0" xfId="1" applyFont="1" applyFill="1" applyBorder="1" applyAlignment="1">
      <alignment wrapText="1"/>
    </xf>
    <xf numFmtId="1" fontId="11" fillId="2" borderId="0" xfId="0" applyNumberFormat="1" applyFont="1" applyFill="1" applyAlignment="1">
      <alignment horizontal="center" vertical="center" wrapText="1"/>
    </xf>
    <xf numFmtId="43" fontId="13" fillId="2" borderId="77" xfId="1" applyFont="1" applyFill="1" applyBorder="1" applyAlignment="1">
      <alignment horizontal="center" vertical="center" wrapText="1"/>
    </xf>
    <xf numFmtId="43" fontId="14" fillId="0" borderId="35" xfId="1" applyFont="1" applyFill="1" applyBorder="1" applyAlignment="1">
      <alignment horizontal="center" vertical="center" wrapText="1"/>
    </xf>
    <xf numFmtId="171" fontId="14" fillId="0" borderId="45" xfId="3" applyNumberFormat="1" applyFont="1" applyFill="1" applyBorder="1" applyAlignment="1">
      <alignment horizontal="right" vertical="center" wrapText="1"/>
    </xf>
    <xf numFmtId="1" fontId="14" fillId="0" borderId="30" xfId="3" applyNumberFormat="1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171" fontId="11" fillId="6" borderId="31" xfId="3" applyNumberFormat="1" applyFont="1" applyFill="1" applyBorder="1" applyAlignment="1">
      <alignment horizontal="right" vertical="center" wrapText="1"/>
    </xf>
    <xf numFmtId="171" fontId="14" fillId="0" borderId="31" xfId="3" applyNumberFormat="1" applyFont="1" applyFill="1" applyBorder="1" applyAlignment="1">
      <alignment horizontal="right" vertical="center" wrapText="1"/>
    </xf>
    <xf numFmtId="171" fontId="14" fillId="6" borderId="31" xfId="3" applyNumberFormat="1" applyFont="1" applyFill="1" applyBorder="1" applyAlignment="1">
      <alignment horizontal="right" vertical="center" wrapText="1"/>
    </xf>
    <xf numFmtId="171" fontId="14" fillId="0" borderId="43" xfId="3" applyNumberFormat="1" applyFont="1" applyFill="1" applyBorder="1" applyAlignment="1">
      <alignment horizontal="right" vertical="center" wrapText="1"/>
    </xf>
    <xf numFmtId="0" fontId="15" fillId="11" borderId="28" xfId="7" applyFont="1" applyFill="1" applyBorder="1" applyAlignment="1">
      <alignment vertical="center" wrapText="1"/>
    </xf>
    <xf numFmtId="0" fontId="15" fillId="11" borderId="3" xfId="7" applyFont="1" applyFill="1" applyBorder="1" applyAlignment="1">
      <alignment vertical="center" wrapText="1"/>
    </xf>
    <xf numFmtId="43" fontId="15" fillId="4" borderId="3" xfId="1" applyFont="1" applyFill="1" applyBorder="1" applyAlignment="1">
      <alignment horizontal="center" vertical="center" wrapText="1"/>
    </xf>
    <xf numFmtId="43" fontId="15" fillId="6" borderId="3" xfId="1" applyFont="1" applyFill="1" applyBorder="1" applyAlignment="1">
      <alignment horizontal="center" vertical="center" wrapText="1"/>
    </xf>
    <xf numFmtId="43" fontId="13" fillId="0" borderId="3" xfId="1" applyFont="1" applyFill="1" applyBorder="1" applyAlignment="1">
      <alignment horizontal="center" vertical="center" wrapText="1"/>
    </xf>
    <xf numFmtId="43" fontId="13" fillId="0" borderId="71" xfId="1" applyFont="1" applyFill="1" applyBorder="1" applyAlignment="1">
      <alignment horizontal="center" vertical="center" wrapText="1"/>
    </xf>
    <xf numFmtId="43" fontId="15" fillId="0" borderId="3" xfId="1" applyFont="1" applyFill="1" applyBorder="1" applyAlignment="1">
      <alignment horizontal="center" vertical="center" wrapText="1"/>
    </xf>
    <xf numFmtId="43" fontId="15" fillId="6" borderId="63" xfId="1" applyFont="1" applyFill="1" applyBorder="1" applyAlignment="1">
      <alignment horizontal="center" vertical="center" wrapText="1"/>
    </xf>
    <xf numFmtId="43" fontId="13" fillId="0" borderId="63" xfId="1" applyFont="1" applyFill="1" applyBorder="1" applyAlignment="1">
      <alignment horizontal="center" vertical="center" wrapText="1"/>
    </xf>
    <xf numFmtId="43" fontId="13" fillId="0" borderId="100" xfId="1" applyFont="1" applyFill="1" applyBorder="1" applyAlignment="1">
      <alignment horizontal="center" vertical="center" wrapText="1"/>
    </xf>
    <xf numFmtId="43" fontId="20" fillId="6" borderId="106" xfId="1" applyFont="1" applyFill="1" applyBorder="1" applyAlignment="1">
      <alignment horizontal="center" vertical="center" wrapText="1"/>
    </xf>
    <xf numFmtId="43" fontId="20" fillId="0" borderId="106" xfId="1" applyFont="1" applyFill="1" applyBorder="1" applyAlignment="1">
      <alignment horizontal="center" vertical="center" wrapText="1"/>
    </xf>
    <xf numFmtId="43" fontId="20" fillId="0" borderId="107" xfId="1" applyFont="1" applyFill="1" applyBorder="1" applyAlignment="1">
      <alignment horizontal="center" vertical="center" wrapText="1"/>
    </xf>
    <xf numFmtId="43" fontId="13" fillId="9" borderId="3" xfId="1" applyFont="1" applyFill="1" applyBorder="1" applyAlignment="1">
      <alignment horizontal="center" vertical="center" wrapText="1"/>
    </xf>
    <xf numFmtId="43" fontId="13" fillId="2" borderId="3" xfId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 wrapText="1"/>
    </xf>
    <xf numFmtId="10" fontId="13" fillId="18" borderId="3" xfId="9" applyNumberFormat="1" applyFont="1" applyFill="1" applyBorder="1" applyAlignment="1">
      <alignment horizontal="center" vertical="center" wrapText="1"/>
    </xf>
    <xf numFmtId="43" fontId="13" fillId="18" borderId="71" xfId="1" applyFont="1" applyFill="1" applyBorder="1" applyAlignment="1">
      <alignment horizontal="center" vertical="center" wrapText="1"/>
    </xf>
    <xf numFmtId="10" fontId="13" fillId="8" borderId="28" xfId="9" applyNumberFormat="1" applyFont="1" applyFill="1" applyBorder="1" applyAlignment="1">
      <alignment horizontal="center" vertical="center" wrapText="1"/>
    </xf>
    <xf numFmtId="10" fontId="13" fillId="8" borderId="3" xfId="9" applyNumberFormat="1" applyFont="1" applyFill="1" applyBorder="1" applyAlignment="1">
      <alignment horizontal="center" vertical="center" wrapText="1"/>
    </xf>
    <xf numFmtId="43" fontId="13" fillId="8" borderId="71" xfId="1" applyFont="1" applyFill="1" applyBorder="1" applyAlignment="1">
      <alignment horizontal="center" vertical="center" wrapText="1"/>
    </xf>
    <xf numFmtId="43" fontId="13" fillId="4" borderId="108" xfId="1" applyFont="1" applyFill="1" applyBorder="1" applyAlignment="1">
      <alignment horizontal="center" vertical="center" wrapText="1"/>
    </xf>
    <xf numFmtId="43" fontId="13" fillId="4" borderId="105" xfId="1" applyFont="1" applyFill="1" applyBorder="1" applyAlignment="1">
      <alignment horizontal="center" vertical="center" wrapText="1"/>
    </xf>
    <xf numFmtId="43" fontId="13" fillId="4" borderId="106" xfId="1" applyFont="1" applyFill="1" applyBorder="1" applyAlignment="1">
      <alignment horizontal="center" vertical="center" wrapText="1"/>
    </xf>
    <xf numFmtId="43" fontId="13" fillId="4" borderId="107" xfId="1" applyFont="1" applyFill="1" applyBorder="1" applyAlignment="1">
      <alignment horizontal="center" vertical="center" wrapText="1"/>
    </xf>
    <xf numFmtId="43" fontId="13" fillId="2" borderId="109" xfId="1" applyFont="1" applyFill="1" applyBorder="1" applyAlignment="1">
      <alignment horizontal="center" vertical="center" wrapText="1"/>
    </xf>
    <xf numFmtId="0" fontId="13" fillId="0" borderId="109" xfId="0" applyFont="1" applyBorder="1" applyAlignment="1">
      <alignment vertical="center" wrapText="1"/>
    </xf>
    <xf numFmtId="0" fontId="13" fillId="5" borderId="109" xfId="0" applyFont="1" applyFill="1" applyBorder="1" applyAlignment="1">
      <alignment vertical="center" wrapText="1"/>
    </xf>
    <xf numFmtId="0" fontId="13" fillId="2" borderId="109" xfId="0" applyFont="1" applyFill="1" applyBorder="1" applyAlignment="1">
      <alignment vertical="center" wrapText="1"/>
    </xf>
    <xf numFmtId="0" fontId="13" fillId="2" borderId="111" xfId="0" applyFont="1" applyFill="1" applyBorder="1" applyAlignment="1">
      <alignment horizontal="center" vertical="center" wrapText="1"/>
    </xf>
    <xf numFmtId="171" fontId="14" fillId="2" borderId="31" xfId="3" applyNumberFormat="1" applyFont="1" applyFill="1" applyBorder="1" applyAlignment="1">
      <alignment horizontal="right" vertical="center" wrapText="1"/>
    </xf>
    <xf numFmtId="43" fontId="20" fillId="2" borderId="106" xfId="1" applyFont="1" applyFill="1" applyBorder="1" applyAlignment="1">
      <alignment horizontal="center" vertical="center" wrapText="1"/>
    </xf>
    <xf numFmtId="0" fontId="13" fillId="2" borderId="109" xfId="0" applyFont="1" applyFill="1" applyBorder="1" applyAlignment="1">
      <alignment horizontal="center" vertical="center" wrapText="1"/>
    </xf>
    <xf numFmtId="43" fontId="13" fillId="2" borderId="58" xfId="1" applyFont="1" applyFill="1" applyBorder="1" applyAlignment="1">
      <alignment horizontal="center" vertical="center" wrapText="1"/>
    </xf>
    <xf numFmtId="170" fontId="14" fillId="0" borderId="35" xfId="3" applyNumberFormat="1" applyFont="1" applyFill="1" applyBorder="1" applyAlignment="1">
      <alignment horizontal="center" vertical="center" wrapText="1"/>
    </xf>
    <xf numFmtId="43" fontId="13" fillId="9" borderId="28" xfId="1" applyFont="1" applyFill="1" applyBorder="1" applyAlignment="1">
      <alignment horizontal="center" vertical="center" wrapText="1"/>
    </xf>
    <xf numFmtId="43" fontId="13" fillId="9" borderId="71" xfId="1" applyFont="1" applyFill="1" applyBorder="1" applyAlignment="1">
      <alignment horizontal="center" vertical="center" wrapText="1"/>
    </xf>
    <xf numFmtId="172" fontId="14" fillId="0" borderId="29" xfId="3" applyNumberFormat="1" applyFont="1" applyFill="1" applyBorder="1" applyAlignment="1">
      <alignment horizontal="right" vertical="center" wrapText="1"/>
    </xf>
    <xf numFmtId="172" fontId="14" fillId="0" borderId="45" xfId="3" applyNumberFormat="1" applyFont="1" applyFill="1" applyBorder="1" applyAlignment="1">
      <alignment horizontal="right" vertical="center" wrapText="1"/>
    </xf>
    <xf numFmtId="172" fontId="14" fillId="2" borderId="62" xfId="3" applyNumberFormat="1" applyFont="1" applyFill="1" applyBorder="1" applyAlignment="1">
      <alignment horizontal="right" vertical="center" wrapText="1"/>
    </xf>
    <xf numFmtId="172" fontId="14" fillId="2" borderId="63" xfId="3" applyNumberFormat="1" applyFont="1" applyFill="1" applyBorder="1" applyAlignment="1">
      <alignment horizontal="right" vertical="center" wrapText="1"/>
    </xf>
    <xf numFmtId="172" fontId="14" fillId="2" borderId="100" xfId="3" applyNumberFormat="1" applyFont="1" applyFill="1" applyBorder="1" applyAlignment="1">
      <alignment horizontal="right" vertical="center" wrapText="1"/>
    </xf>
    <xf numFmtId="43" fontId="18" fillId="16" borderId="43" xfId="1" applyFont="1" applyFill="1" applyBorder="1" applyAlignment="1">
      <alignment vertical="center" wrapText="1"/>
    </xf>
    <xf numFmtId="168" fontId="15" fillId="2" borderId="100" xfId="3" applyFont="1" applyFill="1" applyBorder="1" applyAlignment="1">
      <alignment horizontal="center" vertical="center" wrapText="1"/>
    </xf>
    <xf numFmtId="0" fontId="15" fillId="12" borderId="99" xfId="7" applyFont="1" applyFill="1" applyBorder="1" applyAlignment="1">
      <alignment horizontal="center" vertical="center" wrapText="1"/>
    </xf>
    <xf numFmtId="0" fontId="15" fillId="12" borderId="39" xfId="7" applyFont="1" applyFill="1" applyBorder="1" applyAlignment="1">
      <alignment horizontal="center" vertical="center" wrapText="1"/>
    </xf>
    <xf numFmtId="43" fontId="18" fillId="16" borderId="96" xfId="1" applyFont="1" applyFill="1" applyBorder="1" applyAlignment="1">
      <alignment vertical="center" wrapText="1"/>
    </xf>
    <xf numFmtId="43" fontId="11" fillId="6" borderId="101" xfId="1" applyFont="1" applyFill="1" applyBorder="1" applyAlignment="1">
      <alignment horizontal="center" vertical="center" wrapText="1"/>
    </xf>
    <xf numFmtId="168" fontId="15" fillId="20" borderId="39" xfId="3" applyFont="1" applyFill="1" applyBorder="1" applyAlignment="1">
      <alignment horizontal="center" vertical="center" wrapText="1"/>
    </xf>
    <xf numFmtId="43" fontId="11" fillId="20" borderId="0" xfId="1" applyFont="1" applyFill="1" applyBorder="1" applyAlignment="1">
      <alignment horizontal="center" vertical="center" wrapText="1"/>
    </xf>
    <xf numFmtId="169" fontId="11" fillId="2" borderId="0" xfId="0" applyNumberFormat="1" applyFont="1" applyFill="1" applyAlignment="1">
      <alignment vertical="center" wrapText="1"/>
    </xf>
    <xf numFmtId="43" fontId="11" fillId="2" borderId="104" xfId="1" applyFont="1" applyFill="1" applyBorder="1" applyAlignment="1">
      <alignment horizontal="center" vertical="center" wrapText="1"/>
    </xf>
    <xf numFmtId="0" fontId="15" fillId="0" borderId="33" xfId="7" applyFont="1" applyBorder="1" applyAlignment="1">
      <alignment vertical="center" wrapText="1"/>
    </xf>
    <xf numFmtId="43" fontId="0" fillId="0" borderId="0" xfId="1" applyFont="1"/>
    <xf numFmtId="0" fontId="0" fillId="0" borderId="0" xfId="0" applyAlignment="1">
      <alignment horizontal="center" vertical="center" wrapText="1"/>
    </xf>
    <xf numFmtId="43" fontId="0" fillId="0" borderId="0" xfId="1" applyFont="1" applyFill="1" applyBorder="1"/>
    <xf numFmtId="169" fontId="0" fillId="0" borderId="0" xfId="0" applyNumberFormat="1"/>
    <xf numFmtId="0" fontId="21" fillId="18" borderId="1" xfId="0" applyFont="1" applyFill="1" applyBorder="1" applyAlignment="1">
      <alignment horizontal="center" vertical="center" wrapText="1"/>
    </xf>
    <xf numFmtId="43" fontId="0" fillId="0" borderId="1" xfId="1" applyFont="1" applyBorder="1" applyAlignment="1">
      <alignment vertical="center"/>
    </xf>
    <xf numFmtId="43" fontId="0" fillId="0" borderId="0" xfId="1" applyFont="1" applyAlignment="1">
      <alignment vertical="center"/>
    </xf>
    <xf numFmtId="0" fontId="0" fillId="0" borderId="0" xfId="0" applyAlignment="1">
      <alignment vertical="center"/>
    </xf>
    <xf numFmtId="43" fontId="21" fillId="0" borderId="1" xfId="1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24" borderId="51" xfId="0" applyFont="1" applyFill="1" applyBorder="1" applyAlignment="1">
      <alignment horizontal="center" vertical="center" wrapText="1"/>
    </xf>
    <xf numFmtId="0" fontId="22" fillId="23" borderId="91" xfId="0" applyFont="1" applyFill="1" applyBorder="1" applyAlignment="1">
      <alignment horizontal="center" vertical="center" wrapText="1"/>
    </xf>
    <xf numFmtId="0" fontId="12" fillId="24" borderId="96" xfId="0" applyFont="1" applyFill="1" applyBorder="1" applyAlignment="1">
      <alignment horizontal="justify" vertical="center" wrapText="1"/>
    </xf>
    <xf numFmtId="9" fontId="12" fillId="23" borderId="89" xfId="0" applyNumberFormat="1" applyFont="1" applyFill="1" applyBorder="1" applyAlignment="1">
      <alignment horizontal="center" vertical="center" wrapText="1"/>
    </xf>
    <xf numFmtId="165" fontId="23" fillId="23" borderId="89" xfId="0" applyNumberFormat="1" applyFont="1" applyFill="1" applyBorder="1" applyAlignment="1">
      <alignment horizontal="center" vertical="center" wrapText="1"/>
    </xf>
    <xf numFmtId="169" fontId="15" fillId="23" borderId="89" xfId="0" applyNumberFormat="1" applyFont="1" applyFill="1" applyBorder="1" applyAlignment="1">
      <alignment horizontal="center" vertical="center" wrapText="1"/>
    </xf>
    <xf numFmtId="9" fontId="0" fillId="0" borderId="0" xfId="9" applyFont="1"/>
    <xf numFmtId="0" fontId="18" fillId="19" borderId="1" xfId="7" applyFont="1" applyFill="1" applyBorder="1" applyAlignment="1">
      <alignment horizontal="center" vertical="center" wrapText="1"/>
    </xf>
    <xf numFmtId="2" fontId="14" fillId="0" borderId="0" xfId="0" applyNumberFormat="1" applyFont="1" applyAlignment="1">
      <alignment vertical="center" wrapText="1"/>
    </xf>
    <xf numFmtId="9" fontId="11" fillId="2" borderId="3" xfId="9" applyFont="1" applyFill="1" applyBorder="1" applyAlignment="1">
      <alignment horizontal="center" vertical="center"/>
    </xf>
    <xf numFmtId="0" fontId="18" fillId="19" borderId="2" xfId="7" applyFont="1" applyFill="1" applyBorder="1" applyAlignment="1">
      <alignment horizontal="center" vertical="center" wrapText="1"/>
    </xf>
    <xf numFmtId="0" fontId="13" fillId="12" borderId="0" xfId="0" applyFont="1" applyFill="1" applyAlignment="1">
      <alignment horizontal="center" vertical="center"/>
    </xf>
    <xf numFmtId="171" fontId="13" fillId="0" borderId="0" xfId="0" applyNumberFormat="1" applyFont="1" applyAlignment="1">
      <alignment horizontal="center" vertical="center" wrapText="1"/>
    </xf>
    <xf numFmtId="170" fontId="14" fillId="0" borderId="8" xfId="3" applyNumberFormat="1" applyFont="1" applyFill="1" applyBorder="1" applyAlignment="1">
      <alignment horizontal="left" vertical="center" wrapText="1"/>
    </xf>
    <xf numFmtId="10" fontId="11" fillId="26" borderId="1" xfId="9" applyNumberFormat="1" applyFont="1" applyFill="1" applyBorder="1" applyAlignment="1">
      <alignment horizontal="center" vertical="center" wrapText="1"/>
    </xf>
    <xf numFmtId="170" fontId="14" fillId="2" borderId="1" xfId="3" applyNumberFormat="1" applyFont="1" applyFill="1" applyBorder="1" applyAlignment="1">
      <alignment horizontal="center" vertical="center" wrapText="1"/>
    </xf>
    <xf numFmtId="171" fontId="13" fillId="12" borderId="0" xfId="0" applyNumberFormat="1" applyFont="1" applyFill="1" applyAlignment="1">
      <alignment horizontal="center" vertical="center"/>
    </xf>
    <xf numFmtId="43" fontId="18" fillId="16" borderId="0" xfId="1" applyFont="1" applyFill="1" applyBorder="1" applyAlignment="1">
      <alignment vertical="center" wrapText="1"/>
    </xf>
    <xf numFmtId="0" fontId="27" fillId="0" borderId="0" xfId="30" applyFont="1"/>
    <xf numFmtId="0" fontId="27" fillId="0" borderId="0" xfId="30" applyFont="1" applyAlignment="1">
      <alignment horizontal="center"/>
    </xf>
    <xf numFmtId="0" fontId="29" fillId="12" borderId="116" xfId="30" applyFont="1" applyFill="1" applyBorder="1" applyAlignment="1">
      <alignment horizontal="center" vertical="center" wrapText="1"/>
    </xf>
    <xf numFmtId="0" fontId="29" fillId="12" borderId="117" xfId="30" applyFont="1" applyFill="1" applyBorder="1" applyAlignment="1">
      <alignment horizontal="center" vertical="center"/>
    </xf>
    <xf numFmtId="0" fontId="29" fillId="12" borderId="117" xfId="30" applyFont="1" applyFill="1" applyBorder="1" applyAlignment="1">
      <alignment horizontal="center" vertical="center" wrapText="1"/>
    </xf>
    <xf numFmtId="0" fontId="29" fillId="28" borderId="117" xfId="30" applyFont="1" applyFill="1" applyBorder="1" applyAlignment="1">
      <alignment horizontal="center" vertical="center" wrapText="1"/>
    </xf>
    <xf numFmtId="0" fontId="29" fillId="12" borderId="118" xfId="30" applyFont="1" applyFill="1" applyBorder="1" applyAlignment="1">
      <alignment horizontal="center" vertical="center" wrapText="1"/>
    </xf>
    <xf numFmtId="0" fontId="30" fillId="0" borderId="1" xfId="30" applyFont="1" applyBorder="1" applyAlignment="1">
      <alignment horizontal="center" vertical="center" wrapText="1"/>
    </xf>
    <xf numFmtId="0" fontId="31" fillId="0" borderId="119" xfId="30" applyFont="1" applyBorder="1" applyAlignment="1">
      <alignment horizontal="center" vertical="center" wrapText="1"/>
    </xf>
    <xf numFmtId="0" fontId="31" fillId="0" borderId="3" xfId="30" applyFont="1" applyBorder="1" applyAlignment="1">
      <alignment horizontal="center" vertical="center" wrapText="1"/>
    </xf>
    <xf numFmtId="9" fontId="31" fillId="0" borderId="3" xfId="30" applyNumberFormat="1" applyFont="1" applyBorder="1" applyAlignment="1">
      <alignment horizontal="center" vertical="center" wrapText="1"/>
    </xf>
    <xf numFmtId="0" fontId="32" fillId="0" borderId="3" xfId="30" applyFont="1" applyBorder="1" applyAlignment="1">
      <alignment horizontal="center" vertical="center" wrapText="1"/>
    </xf>
    <xf numFmtId="164" fontId="31" fillId="0" borderId="3" xfId="30" applyNumberFormat="1" applyFont="1" applyBorder="1" applyAlignment="1">
      <alignment horizontal="right" vertical="center"/>
    </xf>
    <xf numFmtId="164" fontId="31" fillId="0" borderId="37" xfId="30" applyNumberFormat="1" applyFont="1" applyBorder="1" applyAlignment="1">
      <alignment horizontal="right" vertical="center"/>
    </xf>
    <xf numFmtId="165" fontId="27" fillId="0" borderId="1" xfId="30" applyNumberFormat="1" applyFont="1" applyBorder="1"/>
    <xf numFmtId="165" fontId="27" fillId="0" borderId="0" xfId="30" applyNumberFormat="1" applyFont="1"/>
    <xf numFmtId="0" fontId="31" fillId="0" borderId="120" xfId="30" applyFont="1" applyBorder="1" applyAlignment="1">
      <alignment horizontal="center" vertical="center" wrapText="1"/>
    </xf>
    <xf numFmtId="0" fontId="31" fillId="0" borderId="1" xfId="30" quotePrefix="1" applyFont="1" applyBorder="1" applyAlignment="1">
      <alignment horizontal="center" vertical="center" wrapText="1"/>
    </xf>
    <xf numFmtId="0" fontId="31" fillId="0" borderId="1" xfId="30" applyFont="1" applyBorder="1" applyAlignment="1">
      <alignment horizontal="center" vertical="center" wrapText="1"/>
    </xf>
    <xf numFmtId="9" fontId="31" fillId="0" borderId="1" xfId="30" applyNumberFormat="1" applyFont="1" applyBorder="1" applyAlignment="1">
      <alignment horizontal="center" vertical="center" wrapText="1"/>
    </xf>
    <xf numFmtId="0" fontId="32" fillId="0" borderId="1" xfId="30" applyFont="1" applyBorder="1" applyAlignment="1">
      <alignment horizontal="center" vertical="center" wrapText="1"/>
    </xf>
    <xf numFmtId="164" fontId="31" fillId="0" borderId="1" xfId="30" applyNumberFormat="1" applyFont="1" applyBorder="1" applyAlignment="1">
      <alignment horizontal="right" vertical="center"/>
    </xf>
    <xf numFmtId="164" fontId="31" fillId="0" borderId="2" xfId="30" applyNumberFormat="1" applyFont="1" applyBorder="1" applyAlignment="1">
      <alignment horizontal="right" vertical="center"/>
    </xf>
    <xf numFmtId="165" fontId="33" fillId="0" borderId="1" xfId="30" applyNumberFormat="1" applyFont="1" applyBorder="1"/>
    <xf numFmtId="0" fontId="31" fillId="0" borderId="121" xfId="30" applyFont="1" applyBorder="1" applyAlignment="1">
      <alignment horizontal="center" vertical="center" wrapText="1"/>
    </xf>
    <xf numFmtId="0" fontId="31" fillId="0" borderId="122" xfId="30" quotePrefix="1" applyFont="1" applyBorder="1" applyAlignment="1">
      <alignment horizontal="center" vertical="center" wrapText="1"/>
    </xf>
    <xf numFmtId="0" fontId="31" fillId="0" borderId="122" xfId="30" applyFont="1" applyBorder="1" applyAlignment="1">
      <alignment horizontal="center" vertical="center" wrapText="1"/>
    </xf>
    <xf numFmtId="9" fontId="31" fillId="0" borderId="122" xfId="30" applyNumberFormat="1" applyFont="1" applyBorder="1" applyAlignment="1">
      <alignment horizontal="center" vertical="center" wrapText="1"/>
    </xf>
    <xf numFmtId="0" fontId="32" fillId="0" borderId="122" xfId="30" applyFont="1" applyBorder="1" applyAlignment="1">
      <alignment horizontal="center" vertical="center" wrapText="1"/>
    </xf>
    <xf numFmtId="164" fontId="31" fillId="0" borderId="122" xfId="30" applyNumberFormat="1" applyFont="1" applyBorder="1" applyAlignment="1">
      <alignment horizontal="right" vertical="center"/>
    </xf>
    <xf numFmtId="164" fontId="31" fillId="0" borderId="123" xfId="30" applyNumberFormat="1" applyFont="1" applyBorder="1" applyAlignment="1">
      <alignment horizontal="right" vertical="center"/>
    </xf>
    <xf numFmtId="0" fontId="31" fillId="0" borderId="0" xfId="30" applyFont="1" applyAlignment="1">
      <alignment vertical="center" wrapText="1"/>
    </xf>
    <xf numFmtId="0" fontId="29" fillId="0" borderId="0" xfId="30" applyFont="1" applyAlignment="1">
      <alignment horizontal="center" vertical="center" wrapText="1"/>
    </xf>
    <xf numFmtId="0" fontId="29" fillId="0" borderId="0" xfId="30" applyFont="1" applyAlignment="1">
      <alignment horizontal="centerContinuous" vertical="center" wrapText="1"/>
    </xf>
    <xf numFmtId="0" fontId="29" fillId="0" borderId="7" xfId="30" applyFont="1" applyBorder="1" applyAlignment="1">
      <alignment vertical="center"/>
    </xf>
    <xf numFmtId="0" fontId="29" fillId="0" borderId="0" xfId="30" applyFont="1" applyAlignment="1">
      <alignment vertical="center"/>
    </xf>
    <xf numFmtId="0" fontId="29" fillId="0" borderId="0" xfId="30" applyFont="1" applyAlignment="1">
      <alignment horizontal="center" vertical="center"/>
    </xf>
    <xf numFmtId="0" fontId="29" fillId="12" borderId="124" xfId="30" applyFont="1" applyFill="1" applyBorder="1" applyAlignment="1">
      <alignment horizontal="center" vertical="center" wrapText="1"/>
    </xf>
    <xf numFmtId="0" fontId="29" fillId="12" borderId="125" xfId="30" applyFont="1" applyFill="1" applyBorder="1" applyAlignment="1">
      <alignment horizontal="center" vertical="center" wrapText="1"/>
    </xf>
    <xf numFmtId="0" fontId="29" fillId="12" borderId="126" xfId="30" applyFont="1" applyFill="1" applyBorder="1" applyAlignment="1">
      <alignment horizontal="center" vertical="center" wrapText="1"/>
    </xf>
    <xf numFmtId="0" fontId="34" fillId="3" borderId="127" xfId="30" applyFont="1" applyFill="1" applyBorder="1" applyAlignment="1">
      <alignment horizontal="center" vertical="center" wrapText="1"/>
    </xf>
    <xf numFmtId="164" fontId="35" fillId="0" borderId="128" xfId="30" applyNumberFormat="1" applyFont="1" applyBorder="1" applyAlignment="1">
      <alignment vertical="center"/>
    </xf>
    <xf numFmtId="164" fontId="35" fillId="0" borderId="0" xfId="30" applyNumberFormat="1" applyFont="1" applyAlignment="1">
      <alignment vertical="center"/>
    </xf>
    <xf numFmtId="0" fontId="34" fillId="3" borderId="129" xfId="30" applyFont="1" applyFill="1" applyBorder="1" applyAlignment="1">
      <alignment horizontal="center" vertical="center" wrapText="1"/>
    </xf>
    <xf numFmtId="164" fontId="30" fillId="3" borderId="1" xfId="30" applyNumberFormat="1" applyFont="1" applyFill="1" applyBorder="1" applyAlignment="1">
      <alignment vertical="center"/>
    </xf>
    <xf numFmtId="0" fontId="31" fillId="0" borderId="130" xfId="30" applyFont="1" applyBorder="1" applyAlignment="1">
      <alignment horizontal="center" vertical="center" wrapText="1"/>
    </xf>
    <xf numFmtId="0" fontId="31" fillId="0" borderId="131" xfId="30" quotePrefix="1" applyFont="1" applyBorder="1" applyAlignment="1">
      <alignment horizontal="center" vertical="center" wrapText="1"/>
    </xf>
    <xf numFmtId="164" fontId="31" fillId="0" borderId="131" xfId="30" applyNumberFormat="1" applyFont="1" applyBorder="1" applyAlignment="1">
      <alignment horizontal="right" vertical="center"/>
    </xf>
    <xf numFmtId="164" fontId="31" fillId="0" borderId="132" xfId="30" applyNumberFormat="1" applyFont="1" applyBorder="1" applyAlignment="1">
      <alignment horizontal="right" vertical="center"/>
    </xf>
    <xf numFmtId="0" fontId="34" fillId="3" borderId="120" xfId="30" applyFont="1" applyFill="1" applyBorder="1" applyAlignment="1">
      <alignment horizontal="center" vertical="center" wrapText="1"/>
    </xf>
    <xf numFmtId="164" fontId="35" fillId="0" borderId="2" xfId="30" applyNumberFormat="1" applyFont="1" applyBorder="1" applyAlignment="1">
      <alignment vertical="center"/>
    </xf>
    <xf numFmtId="0" fontId="31" fillId="0" borderId="133" xfId="30" quotePrefix="1" applyFont="1" applyBorder="1" applyAlignment="1">
      <alignment horizontal="center" vertical="center" wrapText="1"/>
    </xf>
    <xf numFmtId="164" fontId="27" fillId="0" borderId="1" xfId="30" applyNumberFormat="1" applyFont="1" applyBorder="1" applyAlignment="1">
      <alignment vertical="center"/>
    </xf>
    <xf numFmtId="0" fontId="31" fillId="0" borderId="134" xfId="30" applyFont="1" applyBorder="1" applyAlignment="1">
      <alignment horizontal="center" vertical="center" wrapText="1"/>
    </xf>
    <xf numFmtId="0" fontId="31" fillId="0" borderId="135" xfId="30" quotePrefix="1" applyFont="1" applyBorder="1" applyAlignment="1">
      <alignment horizontal="center" vertical="center" wrapText="1"/>
    </xf>
    <xf numFmtId="164" fontId="31" fillId="0" borderId="135" xfId="30" applyNumberFormat="1" applyFont="1" applyBorder="1" applyAlignment="1">
      <alignment horizontal="right" vertical="center"/>
    </xf>
    <xf numFmtId="0" fontId="34" fillId="3" borderId="136" xfId="30" applyFont="1" applyFill="1" applyBorder="1" applyAlignment="1">
      <alignment horizontal="center" vertical="center" wrapText="1"/>
    </xf>
    <xf numFmtId="164" fontId="35" fillId="0" borderId="9" xfId="30" applyNumberFormat="1" applyFont="1" applyBorder="1" applyAlignment="1">
      <alignment vertical="center"/>
    </xf>
    <xf numFmtId="0" fontId="31" fillId="0" borderId="137" xfId="30" quotePrefix="1" applyFont="1" applyBorder="1" applyAlignment="1">
      <alignment horizontal="center" vertical="center" wrapText="1"/>
    </xf>
    <xf numFmtId="0" fontId="31" fillId="0" borderId="138" xfId="30" applyFont="1" applyBorder="1" applyAlignment="1">
      <alignment horizontal="center" vertical="center" wrapText="1"/>
    </xf>
    <xf numFmtId="0" fontId="31" fillId="0" borderId="139" xfId="30" quotePrefix="1" applyFont="1" applyBorder="1" applyAlignment="1">
      <alignment horizontal="center" vertical="center" wrapText="1"/>
    </xf>
    <xf numFmtId="164" fontId="31" fillId="0" borderId="139" xfId="30" applyNumberFormat="1" applyFont="1" applyBorder="1" applyAlignment="1">
      <alignment horizontal="right" vertical="center"/>
    </xf>
    <xf numFmtId="0" fontId="31" fillId="0" borderId="140" xfId="30" quotePrefix="1" applyFont="1" applyBorder="1" applyAlignment="1">
      <alignment horizontal="center" vertical="center" wrapText="1"/>
    </xf>
    <xf numFmtId="0" fontId="29" fillId="29" borderId="116" xfId="30" applyFont="1" applyFill="1" applyBorder="1" applyAlignment="1">
      <alignment horizontal="center" vertical="center" wrapText="1"/>
    </xf>
    <xf numFmtId="164" fontId="35" fillId="29" borderId="118" xfId="38" applyNumberFormat="1" applyFont="1" applyFill="1" applyBorder="1" applyAlignment="1">
      <alignment horizontal="right" vertical="center" wrapText="1"/>
    </xf>
    <xf numFmtId="164" fontId="35" fillId="29" borderId="0" xfId="38" applyNumberFormat="1" applyFont="1" applyFill="1" applyBorder="1" applyAlignment="1">
      <alignment horizontal="right" vertical="center" wrapText="1"/>
    </xf>
    <xf numFmtId="0" fontId="34" fillId="3" borderId="141" xfId="30" applyFont="1" applyFill="1" applyBorder="1" applyAlignment="1">
      <alignment horizontal="center" vertical="center" wrapText="1"/>
    </xf>
    <xf numFmtId="164" fontId="30" fillId="3" borderId="1" xfId="30" applyNumberFormat="1" applyFont="1" applyFill="1" applyBorder="1"/>
    <xf numFmtId="164" fontId="27" fillId="0" borderId="0" xfId="30" applyNumberFormat="1" applyFont="1" applyAlignment="1">
      <alignment horizontal="center"/>
    </xf>
    <xf numFmtId="0" fontId="34" fillId="3" borderId="142" xfId="30" applyFont="1" applyFill="1" applyBorder="1" applyAlignment="1">
      <alignment horizontal="center" vertical="center" wrapText="1"/>
    </xf>
    <xf numFmtId="164" fontId="27" fillId="3" borderId="1" xfId="30" applyNumberFormat="1" applyFont="1" applyFill="1" applyBorder="1"/>
    <xf numFmtId="0" fontId="29" fillId="29" borderId="143" xfId="30" applyFont="1" applyFill="1" applyBorder="1" applyAlignment="1">
      <alignment horizontal="center" vertical="center" wrapText="1"/>
    </xf>
    <xf numFmtId="164" fontId="27" fillId="0" borderId="1" xfId="30" applyNumberFormat="1" applyFont="1" applyBorder="1"/>
    <xf numFmtId="0" fontId="36" fillId="27" borderId="0" xfId="30" applyFont="1" applyFill="1" applyAlignment="1">
      <alignment horizontal="left" vertical="center"/>
    </xf>
    <xf numFmtId="0" fontId="36" fillId="27" borderId="0" xfId="30" applyFont="1" applyFill="1" applyAlignment="1">
      <alignment horizontal="center" vertical="center"/>
    </xf>
    <xf numFmtId="0" fontId="37" fillId="27" borderId="0" xfId="30" applyFont="1" applyFill="1" applyAlignment="1">
      <alignment horizontal="left" vertical="center" wrapText="1"/>
    </xf>
    <xf numFmtId="164" fontId="27" fillId="0" borderId="0" xfId="30" applyNumberFormat="1" applyFont="1"/>
    <xf numFmtId="0" fontId="27" fillId="0" borderId="1" xfId="30" applyFont="1" applyBorder="1"/>
    <xf numFmtId="10" fontId="27" fillId="0" borderId="1" xfId="32" applyNumberFormat="1" applyFont="1" applyBorder="1"/>
    <xf numFmtId="10" fontId="33" fillId="0" borderId="1" xfId="32" applyNumberFormat="1" applyFont="1" applyBorder="1"/>
    <xf numFmtId="164" fontId="27" fillId="3" borderId="1" xfId="30" applyNumberFormat="1" applyFont="1" applyFill="1" applyBorder="1" applyAlignment="1">
      <alignment vertical="center"/>
    </xf>
    <xf numFmtId="165" fontId="27" fillId="0" borderId="1" xfId="30" applyNumberFormat="1" applyFont="1" applyBorder="1" applyAlignment="1">
      <alignment vertical="center"/>
    </xf>
    <xf numFmtId="10" fontId="33" fillId="0" borderId="1" xfId="32" applyNumberFormat="1" applyFont="1" applyBorder="1" applyAlignment="1">
      <alignment vertical="center"/>
    </xf>
    <xf numFmtId="10" fontId="27" fillId="0" borderId="1" xfId="32" applyNumberFormat="1" applyFont="1" applyBorder="1" applyAlignment="1">
      <alignment vertical="center"/>
    </xf>
    <xf numFmtId="172" fontId="11" fillId="2" borderId="28" xfId="3" applyNumberFormat="1" applyFont="1" applyFill="1" applyBorder="1" applyAlignment="1">
      <alignment horizontal="right" vertical="center" wrapText="1"/>
    </xf>
    <xf numFmtId="172" fontId="11" fillId="2" borderId="3" xfId="3" applyNumberFormat="1" applyFont="1" applyFill="1" applyBorder="1" applyAlignment="1">
      <alignment horizontal="right" vertical="center" wrapText="1"/>
    </xf>
    <xf numFmtId="172" fontId="11" fillId="2" borderId="71" xfId="3" applyNumberFormat="1" applyFont="1" applyFill="1" applyBorder="1" applyAlignment="1">
      <alignment horizontal="right" vertical="center" wrapText="1"/>
    </xf>
    <xf numFmtId="170" fontId="11" fillId="2" borderId="0" xfId="3" applyNumberFormat="1" applyFont="1" applyFill="1" applyBorder="1" applyAlignment="1">
      <alignment horizontal="center" vertical="center" wrapText="1"/>
    </xf>
    <xf numFmtId="170" fontId="11" fillId="2" borderId="0" xfId="3" applyNumberFormat="1" applyFont="1" applyFill="1" applyBorder="1" applyAlignment="1">
      <alignment horizontal="left" vertical="center" wrapText="1"/>
    </xf>
    <xf numFmtId="43" fontId="15" fillId="2" borderId="0" xfId="1" applyFont="1" applyFill="1" applyBorder="1" applyAlignment="1">
      <alignment horizontal="center" vertical="center" wrapText="1"/>
    </xf>
    <xf numFmtId="168" fontId="11" fillId="2" borderId="0" xfId="3" applyFont="1" applyFill="1" applyBorder="1" applyAlignment="1">
      <alignment horizontal="right" vertical="center" wrapText="1"/>
    </xf>
    <xf numFmtId="43" fontId="27" fillId="0" borderId="0" xfId="1" applyFont="1"/>
    <xf numFmtId="171" fontId="13" fillId="2" borderId="0" xfId="0" applyNumberFormat="1" applyFont="1" applyFill="1" applyAlignment="1">
      <alignment horizontal="center" vertical="center"/>
    </xf>
    <xf numFmtId="10" fontId="11" fillId="2" borderId="0" xfId="9" applyNumberFormat="1" applyFont="1" applyFill="1" applyBorder="1" applyAlignment="1">
      <alignment horizontal="center" vertical="center" wrapText="1"/>
    </xf>
    <xf numFmtId="9" fontId="11" fillId="0" borderId="0" xfId="9" applyFont="1" applyAlignment="1">
      <alignment vertical="center" wrapText="1"/>
    </xf>
    <xf numFmtId="0" fontId="14" fillId="2" borderId="29" xfId="0" applyFont="1" applyFill="1" applyBorder="1" applyAlignment="1">
      <alignment horizontal="center" vertical="center"/>
    </xf>
    <xf numFmtId="173" fontId="14" fillId="2" borderId="3" xfId="3" applyNumberFormat="1" applyFont="1" applyFill="1" applyBorder="1" applyAlignment="1">
      <alignment horizontal="right" vertical="center" wrapText="1"/>
    </xf>
    <xf numFmtId="171" fontId="14" fillId="2" borderId="3" xfId="3" applyNumberFormat="1" applyFont="1" applyFill="1" applyBorder="1" applyAlignment="1">
      <alignment horizontal="right" vertical="center" wrapText="1"/>
    </xf>
    <xf numFmtId="170" fontId="14" fillId="2" borderId="29" xfId="3" applyNumberFormat="1" applyFont="1" applyFill="1" applyBorder="1" applyAlignment="1">
      <alignment horizontal="right" vertical="center" wrapText="1"/>
    </xf>
    <xf numFmtId="170" fontId="14" fillId="2" borderId="45" xfId="3" applyNumberFormat="1" applyFont="1" applyFill="1" applyBorder="1" applyAlignment="1">
      <alignment horizontal="left" vertical="center" wrapText="1"/>
    </xf>
    <xf numFmtId="43" fontId="14" fillId="2" borderId="29" xfId="1" applyFont="1" applyFill="1" applyBorder="1" applyAlignment="1">
      <alignment horizontal="left" vertical="center" wrapText="1"/>
    </xf>
    <xf numFmtId="170" fontId="14" fillId="2" borderId="1" xfId="3" applyNumberFormat="1" applyFont="1" applyFill="1" applyBorder="1" applyAlignment="1">
      <alignment horizontal="left" vertical="center" wrapText="1"/>
    </xf>
    <xf numFmtId="168" fontId="14" fillId="2" borderId="45" xfId="3" applyFont="1" applyFill="1" applyBorder="1" applyAlignment="1">
      <alignment horizontal="right" vertical="center" wrapText="1"/>
    </xf>
    <xf numFmtId="170" fontId="14" fillId="2" borderId="28" xfId="3" applyNumberFormat="1" applyFont="1" applyFill="1" applyBorder="1" applyAlignment="1">
      <alignment horizontal="left" vertical="center" wrapText="1"/>
    </xf>
    <xf numFmtId="170" fontId="14" fillId="2" borderId="3" xfId="3" applyNumberFormat="1" applyFont="1" applyFill="1" applyBorder="1" applyAlignment="1">
      <alignment horizontal="left" vertical="center" wrapText="1"/>
    </xf>
    <xf numFmtId="0" fontId="11" fillId="2" borderId="29" xfId="0" applyFont="1" applyFill="1" applyBorder="1" applyAlignment="1">
      <alignment horizontal="center" vertical="center"/>
    </xf>
    <xf numFmtId="173" fontId="11" fillId="2" borderId="3" xfId="3" applyNumberFormat="1" applyFont="1" applyFill="1" applyBorder="1" applyAlignment="1">
      <alignment horizontal="right" vertical="center" wrapText="1"/>
    </xf>
    <xf numFmtId="171" fontId="11" fillId="2" borderId="3" xfId="3" applyNumberFormat="1" applyFont="1" applyFill="1" applyBorder="1" applyAlignment="1">
      <alignment horizontal="right" vertical="center" wrapText="1"/>
    </xf>
    <xf numFmtId="0" fontId="15" fillId="2" borderId="0" xfId="0" applyFont="1" applyFill="1" applyAlignment="1">
      <alignment vertical="center" wrapText="1"/>
    </xf>
    <xf numFmtId="170" fontId="11" fillId="2" borderId="29" xfId="3" applyNumberFormat="1" applyFont="1" applyFill="1" applyBorder="1" applyAlignment="1">
      <alignment horizontal="right" vertical="center" wrapText="1"/>
    </xf>
    <xf numFmtId="170" fontId="11" fillId="2" borderId="45" xfId="3" applyNumberFormat="1" applyFont="1" applyFill="1" applyBorder="1" applyAlignment="1">
      <alignment horizontal="left" vertical="center" wrapText="1"/>
    </xf>
    <xf numFmtId="43" fontId="11" fillId="2" borderId="29" xfId="1" applyFont="1" applyFill="1" applyBorder="1" applyAlignment="1">
      <alignment horizontal="left" vertical="center" wrapText="1"/>
    </xf>
    <xf numFmtId="170" fontId="11" fillId="2" borderId="1" xfId="3" applyNumberFormat="1" applyFont="1" applyFill="1" applyBorder="1" applyAlignment="1">
      <alignment horizontal="left" vertical="center" wrapText="1"/>
    </xf>
    <xf numFmtId="168" fontId="11" fillId="2" borderId="45" xfId="3" applyFont="1" applyFill="1" applyBorder="1" applyAlignment="1">
      <alignment horizontal="right" vertical="center" wrapText="1"/>
    </xf>
    <xf numFmtId="170" fontId="11" fillId="2" borderId="28" xfId="3" applyNumberFormat="1" applyFont="1" applyFill="1" applyBorder="1" applyAlignment="1">
      <alignment horizontal="left" vertical="center" wrapText="1"/>
    </xf>
    <xf numFmtId="170" fontId="11" fillId="2" borderId="3" xfId="3" applyNumberFormat="1" applyFont="1" applyFill="1" applyBorder="1" applyAlignment="1">
      <alignment horizontal="left" vertical="center" wrapText="1"/>
    </xf>
    <xf numFmtId="168" fontId="11" fillId="2" borderId="57" xfId="3" applyFont="1" applyFill="1" applyBorder="1" applyAlignment="1">
      <alignment horizontal="right" vertical="center" wrapText="1"/>
    </xf>
    <xf numFmtId="168" fontId="14" fillId="2" borderId="71" xfId="3" applyFont="1" applyFill="1" applyBorder="1" applyAlignment="1">
      <alignment horizontal="right" vertical="center" wrapText="1"/>
    </xf>
    <xf numFmtId="168" fontId="14" fillId="2" borderId="57" xfId="3" applyFont="1" applyFill="1" applyBorder="1" applyAlignment="1">
      <alignment horizontal="right" vertical="center" wrapText="1"/>
    </xf>
    <xf numFmtId="1" fontId="14" fillId="2" borderId="30" xfId="3" applyNumberFormat="1" applyFont="1" applyFill="1" applyBorder="1" applyAlignment="1">
      <alignment horizontal="center" vertical="center" wrapText="1"/>
    </xf>
    <xf numFmtId="0" fontId="15" fillId="2" borderId="31" xfId="7" applyFont="1" applyFill="1" applyBorder="1" applyAlignment="1">
      <alignment vertical="center" wrapText="1"/>
    </xf>
    <xf numFmtId="0" fontId="14" fillId="2" borderId="31" xfId="0" applyFont="1" applyFill="1" applyBorder="1" applyAlignment="1">
      <alignment horizontal="center" vertical="center" wrapText="1"/>
    </xf>
    <xf numFmtId="43" fontId="15" fillId="6" borderId="71" xfId="1" applyFont="1" applyFill="1" applyBorder="1" applyAlignment="1">
      <alignment horizontal="center" vertical="center" wrapText="1"/>
    </xf>
    <xf numFmtId="0" fontId="18" fillId="19" borderId="45" xfId="7" applyFont="1" applyFill="1" applyBorder="1" applyAlignment="1">
      <alignment horizontal="center" vertical="center" wrapText="1"/>
    </xf>
    <xf numFmtId="171" fontId="14" fillId="2" borderId="71" xfId="3" applyNumberFormat="1" applyFont="1" applyFill="1" applyBorder="1" applyAlignment="1">
      <alignment horizontal="right" vertical="center" wrapText="1"/>
    </xf>
    <xf numFmtId="171" fontId="11" fillId="2" borderId="71" xfId="3" applyNumberFormat="1" applyFont="1" applyFill="1" applyBorder="1" applyAlignment="1">
      <alignment horizontal="right" vertical="center" wrapText="1"/>
    </xf>
    <xf numFmtId="0" fontId="24" fillId="0" borderId="0" xfId="39" applyFont="1"/>
    <xf numFmtId="0" fontId="24" fillId="5" borderId="0" xfId="39" applyFont="1" applyFill="1"/>
    <xf numFmtId="0" fontId="24" fillId="0" borderId="0" xfId="40" applyFont="1" applyAlignment="1">
      <alignment vertical="center"/>
    </xf>
    <xf numFmtId="0" fontId="39" fillId="0" borderId="0" xfId="40" applyFont="1" applyAlignment="1">
      <alignment vertical="center"/>
    </xf>
    <xf numFmtId="0" fontId="40" fillId="0" borderId="0" xfId="42" applyFont="1" applyAlignment="1">
      <alignment horizontal="center" vertical="center" wrapText="1"/>
    </xf>
    <xf numFmtId="0" fontId="40" fillId="5" borderId="0" xfId="42" applyFont="1" applyFill="1" applyAlignment="1">
      <alignment horizontal="center" vertical="center" wrapText="1"/>
    </xf>
    <xf numFmtId="0" fontId="39" fillId="0" borderId="0" xfId="39" applyFont="1"/>
    <xf numFmtId="0" fontId="21" fillId="4" borderId="8" xfId="40" applyFont="1" applyFill="1" applyBorder="1" applyAlignment="1">
      <alignment vertical="center" wrapText="1"/>
    </xf>
    <xf numFmtId="0" fontId="21" fillId="4" borderId="8" xfId="40" applyFont="1" applyFill="1" applyBorder="1" applyAlignment="1">
      <alignment vertical="center" textRotation="90" wrapText="1"/>
    </xf>
    <xf numFmtId="0" fontId="21" fillId="4" borderId="1" xfId="42" applyFont="1" applyFill="1" applyBorder="1" applyAlignment="1">
      <alignment horizontal="center" vertical="center" wrapText="1"/>
    </xf>
    <xf numFmtId="0" fontId="21" fillId="5" borderId="1" xfId="42" applyFont="1" applyFill="1" applyBorder="1" applyAlignment="1">
      <alignment horizontal="center" vertical="center" wrapText="1"/>
    </xf>
    <xf numFmtId="10" fontId="21" fillId="4" borderId="1" xfId="43" applyNumberFormat="1" applyFont="1" applyFill="1" applyBorder="1" applyAlignment="1">
      <alignment horizontal="center" vertical="center" wrapText="1"/>
    </xf>
    <xf numFmtId="170" fontId="38" fillId="4" borderId="1" xfId="42" applyNumberFormat="1" applyFont="1" applyFill="1" applyBorder="1" applyAlignment="1">
      <alignment horizontal="center" vertical="center" wrapText="1"/>
    </xf>
    <xf numFmtId="0" fontId="38" fillId="4" borderId="1" xfId="42" applyFont="1" applyFill="1" applyBorder="1" applyAlignment="1">
      <alignment horizontal="center" vertical="center" wrapText="1"/>
    </xf>
    <xf numFmtId="9" fontId="21" fillId="4" borderId="1" xfId="43" applyFont="1" applyFill="1" applyBorder="1" applyAlignment="1">
      <alignment horizontal="center" vertical="center" wrapText="1"/>
    </xf>
    <xf numFmtId="10" fontId="21" fillId="5" borderId="1" xfId="43" applyNumberFormat="1" applyFont="1" applyFill="1" applyBorder="1" applyAlignment="1">
      <alignment horizontal="center" vertical="center" wrapText="1"/>
    </xf>
    <xf numFmtId="170" fontId="24" fillId="0" borderId="1" xfId="42" applyNumberFormat="1" applyFont="1" applyBorder="1" applyAlignment="1">
      <alignment vertical="center"/>
    </xf>
    <xf numFmtId="170" fontId="42" fillId="0" borderId="1" xfId="44" applyNumberFormat="1" applyFont="1" applyBorder="1" applyAlignment="1">
      <alignment horizontal="left" vertical="center" wrapText="1"/>
    </xf>
    <xf numFmtId="0" fontId="7" fillId="0" borderId="1" xfId="42" applyBorder="1" applyAlignment="1">
      <alignment horizontal="justify" vertical="center" wrapText="1"/>
    </xf>
    <xf numFmtId="172" fontId="7" fillId="0" borderId="1" xfId="44" applyNumberFormat="1" applyFont="1" applyBorder="1" applyAlignment="1">
      <alignment horizontal="center" vertical="center" wrapText="1"/>
    </xf>
    <xf numFmtId="0" fontId="24" fillId="0" borderId="1" xfId="42" applyFont="1" applyBorder="1" applyAlignment="1">
      <alignment horizontal="center" vertical="center" wrapText="1"/>
    </xf>
    <xf numFmtId="9" fontId="24" fillId="0" borderId="1" xfId="35" applyFont="1" applyBorder="1" applyAlignment="1">
      <alignment horizontal="center" vertical="center"/>
    </xf>
    <xf numFmtId="1" fontId="7" fillId="0" borderId="1" xfId="42" applyNumberFormat="1" applyBorder="1" applyAlignment="1">
      <alignment horizontal="center" vertical="center" wrapText="1"/>
    </xf>
    <xf numFmtId="181" fontId="24" fillId="22" borderId="1" xfId="45" applyNumberFormat="1" applyFont="1" applyFill="1" applyBorder="1" applyAlignment="1">
      <alignment vertical="center"/>
    </xf>
    <xf numFmtId="182" fontId="7" fillId="0" borderId="1" xfId="46" applyNumberFormat="1" applyFont="1" applyFill="1" applyBorder="1" applyAlignment="1">
      <alignment horizontal="right" vertical="center"/>
    </xf>
    <xf numFmtId="168" fontId="7" fillId="0" borderId="1" xfId="46" applyNumberFormat="1" applyFont="1" applyFill="1" applyBorder="1" applyAlignment="1">
      <alignment horizontal="right" vertical="center"/>
    </xf>
    <xf numFmtId="182" fontId="7" fillId="5" borderId="1" xfId="46" applyNumberFormat="1" applyFont="1" applyFill="1" applyBorder="1" applyAlignment="1">
      <alignment horizontal="right" vertical="center"/>
    </xf>
    <xf numFmtId="183" fontId="7" fillId="0" borderId="1" xfId="47" applyFont="1" applyFill="1" applyBorder="1" applyAlignment="1">
      <alignment horizontal="left" vertical="center"/>
    </xf>
    <xf numFmtId="181" fontId="7" fillId="0" borderId="1" xfId="46" applyNumberFormat="1" applyFont="1" applyFill="1" applyBorder="1" applyAlignment="1">
      <alignment horizontal="left" vertical="center"/>
    </xf>
    <xf numFmtId="43" fontId="21" fillId="3" borderId="1" xfId="48" applyFont="1" applyFill="1" applyBorder="1" applyAlignment="1">
      <alignment horizontal="right" vertical="center"/>
    </xf>
    <xf numFmtId="178" fontId="7" fillId="0" borderId="1" xfId="49" applyNumberFormat="1" applyFont="1" applyFill="1" applyBorder="1" applyAlignment="1">
      <alignment horizontal="left" vertical="center"/>
    </xf>
    <xf numFmtId="184" fontId="7" fillId="2" borderId="1" xfId="46" applyNumberFormat="1" applyFont="1" applyFill="1" applyBorder="1" applyAlignment="1">
      <alignment horizontal="right" vertical="center"/>
    </xf>
    <xf numFmtId="0" fontId="24" fillId="0" borderId="0" xfId="39" applyFont="1" applyAlignment="1">
      <alignment vertical="center"/>
    </xf>
    <xf numFmtId="0" fontId="24" fillId="0" borderId="1" xfId="42" applyFont="1" applyBorder="1" applyAlignment="1">
      <alignment vertical="center" wrapText="1"/>
    </xf>
    <xf numFmtId="170" fontId="24" fillId="0" borderId="1" xfId="42" applyNumberFormat="1" applyFont="1" applyBorder="1" applyAlignment="1">
      <alignment vertical="center" wrapText="1"/>
    </xf>
    <xf numFmtId="0" fontId="7" fillId="0" borderId="1" xfId="42" applyBorder="1" applyAlignment="1">
      <alignment horizontal="center" vertical="center" wrapText="1"/>
    </xf>
    <xf numFmtId="0" fontId="44" fillId="0" borderId="0" xfId="42" applyFont="1" applyAlignment="1">
      <alignment horizontal="center" vertical="center" wrapText="1"/>
    </xf>
    <xf numFmtId="0" fontId="44" fillId="0" borderId="1" xfId="42" applyFont="1" applyBorder="1" applyAlignment="1">
      <alignment vertical="center"/>
    </xf>
    <xf numFmtId="0" fontId="44" fillId="2" borderId="1" xfId="42" applyFont="1" applyFill="1" applyBorder="1" applyAlignment="1">
      <alignment horizontal="left" vertical="center"/>
    </xf>
    <xf numFmtId="43" fontId="24" fillId="0" borderId="0" xfId="48" applyFont="1"/>
    <xf numFmtId="169" fontId="24" fillId="0" borderId="0" xfId="39" applyNumberFormat="1" applyFont="1"/>
    <xf numFmtId="0" fontId="45" fillId="0" borderId="1" xfId="42" applyFont="1" applyBorder="1" applyAlignment="1">
      <alignment vertical="center"/>
    </xf>
    <xf numFmtId="185" fontId="45" fillId="0" borderId="1" xfId="50" applyNumberFormat="1" applyFont="1" applyFill="1" applyBorder="1" applyAlignment="1">
      <alignment vertical="center"/>
    </xf>
    <xf numFmtId="0" fontId="45" fillId="20" borderId="1" xfId="42" applyFont="1" applyFill="1" applyBorder="1" applyAlignment="1">
      <alignment vertical="center"/>
    </xf>
    <xf numFmtId="185" fontId="45" fillId="20" borderId="1" xfId="50" applyNumberFormat="1" applyFont="1" applyFill="1" applyBorder="1" applyAlignment="1">
      <alignment vertical="center"/>
    </xf>
    <xf numFmtId="0" fontId="44" fillId="0" borderId="1" xfId="42" applyFont="1" applyBorder="1" applyAlignment="1">
      <alignment horizontal="right" vertical="center" wrapText="1"/>
    </xf>
    <xf numFmtId="185" fontId="44" fillId="0" borderId="1" xfId="42" applyNumberFormat="1" applyFont="1" applyBorder="1" applyAlignment="1">
      <alignment horizontal="center" vertical="center" wrapText="1"/>
    </xf>
    <xf numFmtId="0" fontId="38" fillId="4" borderId="1" xfId="39" applyFont="1" applyFill="1" applyBorder="1" applyAlignment="1">
      <alignment horizontal="center" vertical="center" wrapText="1"/>
    </xf>
    <xf numFmtId="0" fontId="44" fillId="4" borderId="1" xfId="42" applyFont="1" applyFill="1" applyBorder="1" applyAlignment="1">
      <alignment horizontal="center" vertical="center" wrapText="1"/>
    </xf>
    <xf numFmtId="0" fontId="24" fillId="0" borderId="1" xfId="39" applyFont="1" applyBorder="1" applyAlignment="1">
      <alignment vertical="center"/>
    </xf>
    <xf numFmtId="0" fontId="45" fillId="0" borderId="1" xfId="42" applyFont="1" applyBorder="1" applyAlignment="1">
      <alignment horizontal="center" vertical="center" wrapText="1"/>
    </xf>
    <xf numFmtId="164" fontId="44" fillId="0" borderId="1" xfId="42" applyNumberFormat="1" applyFont="1" applyBorder="1" applyAlignment="1">
      <alignment horizontal="center" vertical="center" wrapText="1"/>
    </xf>
    <xf numFmtId="0" fontId="24" fillId="5" borderId="0" xfId="39" applyFont="1" applyFill="1" applyAlignment="1">
      <alignment vertical="center"/>
    </xf>
    <xf numFmtId="164" fontId="24" fillId="0" borderId="1" xfId="39" applyNumberFormat="1" applyFont="1" applyBorder="1" applyAlignment="1">
      <alignment vertical="center"/>
    </xf>
    <xf numFmtId="164" fontId="24" fillId="20" borderId="1" xfId="39" applyNumberFormat="1" applyFont="1" applyFill="1" applyBorder="1" applyAlignment="1">
      <alignment vertical="center"/>
    </xf>
    <xf numFmtId="0" fontId="24" fillId="20" borderId="1" xfId="39" applyFont="1" applyFill="1" applyBorder="1" applyAlignment="1">
      <alignment vertical="center"/>
    </xf>
    <xf numFmtId="170" fontId="42" fillId="20" borderId="1" xfId="44" applyNumberFormat="1" applyFont="1" applyFill="1" applyBorder="1" applyAlignment="1">
      <alignment horizontal="left" vertical="center" wrapText="1"/>
    </xf>
    <xf numFmtId="170" fontId="14" fillId="20" borderId="1" xfId="3" applyNumberFormat="1" applyFont="1" applyFill="1" applyBorder="1" applyAlignment="1">
      <alignment horizontal="left" vertical="center" wrapText="1"/>
    </xf>
    <xf numFmtId="186" fontId="14" fillId="2" borderId="1" xfId="9" applyNumberFormat="1" applyFont="1" applyFill="1" applyBorder="1" applyAlignment="1">
      <alignment horizontal="center" vertical="center" wrapText="1"/>
    </xf>
    <xf numFmtId="186" fontId="14" fillId="20" borderId="1" xfId="9" applyNumberFormat="1" applyFont="1" applyFill="1" applyBorder="1" applyAlignment="1">
      <alignment horizontal="center" vertical="center" wrapText="1"/>
    </xf>
    <xf numFmtId="170" fontId="42" fillId="0" borderId="1" xfId="44" applyNumberFormat="1" applyFont="1" applyFill="1" applyBorder="1" applyAlignment="1">
      <alignment horizontal="left" vertical="center" wrapText="1"/>
    </xf>
    <xf numFmtId="172" fontId="47" fillId="0" borderId="1" xfId="44" applyNumberFormat="1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2" fontId="13" fillId="0" borderId="0" xfId="0" applyNumberFormat="1" applyFont="1" applyAlignment="1">
      <alignment vertical="center" wrapText="1"/>
    </xf>
    <xf numFmtId="0" fontId="14" fillId="2" borderId="50" xfId="0" applyFont="1" applyFill="1" applyBorder="1" applyAlignment="1">
      <alignment horizontal="center" vertical="center" wrapText="1"/>
    </xf>
    <xf numFmtId="168" fontId="11" fillId="2" borderId="0" xfId="0" applyNumberFormat="1" applyFont="1" applyFill="1" applyAlignment="1">
      <alignment vertical="center" wrapText="1"/>
    </xf>
    <xf numFmtId="188" fontId="11" fillId="2" borderId="1" xfId="8" applyNumberFormat="1" applyFont="1" applyFill="1" applyBorder="1" applyAlignment="1">
      <alignment horizontal="center" vertical="center"/>
    </xf>
    <xf numFmtId="189" fontId="14" fillId="2" borderId="28" xfId="3" applyNumberFormat="1" applyFont="1" applyFill="1" applyBorder="1" applyAlignment="1">
      <alignment horizontal="right" vertical="center" wrapText="1"/>
    </xf>
    <xf numFmtId="189" fontId="14" fillId="2" borderId="0" xfId="3" applyNumberFormat="1" applyFont="1" applyFill="1" applyBorder="1" applyAlignment="1">
      <alignment horizontal="left" vertical="center" wrapText="1"/>
    </xf>
    <xf numFmtId="189" fontId="14" fillId="2" borderId="29" xfId="3" applyNumberFormat="1" applyFont="1" applyFill="1" applyBorder="1" applyAlignment="1">
      <alignment horizontal="right" vertical="center" wrapText="1"/>
    </xf>
    <xf numFmtId="189" fontId="13" fillId="2" borderId="0" xfId="1" applyNumberFormat="1" applyFont="1" applyFill="1" applyBorder="1" applyAlignment="1">
      <alignment horizontal="center" vertical="center" wrapText="1"/>
    </xf>
    <xf numFmtId="189" fontId="14" fillId="2" borderId="45" xfId="3" applyNumberFormat="1" applyFont="1" applyFill="1" applyBorder="1" applyAlignment="1">
      <alignment horizontal="right" vertical="center" wrapText="1"/>
    </xf>
    <xf numFmtId="189" fontId="11" fillId="2" borderId="0" xfId="0" applyNumberFormat="1" applyFont="1" applyFill="1" applyAlignment="1">
      <alignment wrapText="1"/>
    </xf>
    <xf numFmtId="189" fontId="14" fillId="2" borderId="29" xfId="1" applyNumberFormat="1" applyFont="1" applyFill="1" applyBorder="1" applyAlignment="1">
      <alignment horizontal="right" vertical="center" wrapText="1"/>
    </xf>
    <xf numFmtId="189" fontId="49" fillId="2" borderId="45" xfId="3" applyNumberFormat="1" applyFont="1" applyFill="1" applyBorder="1" applyAlignment="1">
      <alignment horizontal="right" vertical="center" wrapText="1"/>
    </xf>
    <xf numFmtId="189" fontId="11" fillId="2" borderId="0" xfId="0" applyNumberFormat="1" applyFont="1" applyFill="1" applyAlignment="1">
      <alignment horizontal="right" wrapText="1"/>
    </xf>
    <xf numFmtId="190" fontId="14" fillId="2" borderId="3" xfId="3" applyNumberFormat="1" applyFont="1" applyFill="1" applyBorder="1" applyAlignment="1">
      <alignment horizontal="right" vertical="center" wrapText="1"/>
    </xf>
    <xf numFmtId="190" fontId="14" fillId="2" borderId="71" xfId="3" applyNumberFormat="1" applyFont="1" applyFill="1" applyBorder="1" applyAlignment="1">
      <alignment horizontal="right" vertical="center" wrapText="1"/>
    </xf>
    <xf numFmtId="190" fontId="14" fillId="2" borderId="0" xfId="3" applyNumberFormat="1" applyFont="1" applyFill="1" applyBorder="1" applyAlignment="1">
      <alignment horizontal="right" vertical="center" wrapText="1"/>
    </xf>
    <xf numFmtId="190" fontId="14" fillId="2" borderId="29" xfId="3" applyNumberFormat="1" applyFont="1" applyFill="1" applyBorder="1" applyAlignment="1">
      <alignment horizontal="right" vertical="center" wrapText="1"/>
    </xf>
    <xf numFmtId="190" fontId="14" fillId="2" borderId="45" xfId="3" applyNumberFormat="1" applyFont="1" applyFill="1" applyBorder="1" applyAlignment="1">
      <alignment horizontal="right" vertical="center" wrapText="1"/>
    </xf>
    <xf numFmtId="190" fontId="13" fillId="2" borderId="0" xfId="1" applyNumberFormat="1" applyFont="1" applyFill="1" applyBorder="1" applyAlignment="1">
      <alignment horizontal="right" vertical="center" wrapText="1"/>
    </xf>
    <xf numFmtId="190" fontId="14" fillId="2" borderId="1" xfId="3" applyNumberFormat="1" applyFont="1" applyFill="1" applyBorder="1" applyAlignment="1">
      <alignment horizontal="right" vertical="center" wrapText="1"/>
    </xf>
    <xf numFmtId="190" fontId="49" fillId="2" borderId="3" xfId="3" applyNumberFormat="1" applyFont="1" applyFill="1" applyBorder="1" applyAlignment="1">
      <alignment horizontal="right" vertical="center" wrapText="1"/>
    </xf>
    <xf numFmtId="190" fontId="49" fillId="2" borderId="71" xfId="3" applyNumberFormat="1" applyFont="1" applyFill="1" applyBorder="1" applyAlignment="1">
      <alignment horizontal="right" vertical="center" wrapText="1"/>
    </xf>
    <xf numFmtId="190" fontId="11" fillId="2" borderId="3" xfId="3" applyNumberFormat="1" applyFont="1" applyFill="1" applyBorder="1" applyAlignment="1">
      <alignment horizontal="right" vertical="center" wrapText="1"/>
    </xf>
    <xf numFmtId="190" fontId="11" fillId="2" borderId="71" xfId="3" applyNumberFormat="1" applyFont="1" applyFill="1" applyBorder="1" applyAlignment="1">
      <alignment horizontal="right" vertical="center" wrapText="1"/>
    </xf>
    <xf numFmtId="190" fontId="11" fillId="2" borderId="0" xfId="3" applyNumberFormat="1" applyFont="1" applyFill="1" applyBorder="1" applyAlignment="1">
      <alignment horizontal="right" vertical="center" wrapText="1"/>
    </xf>
    <xf numFmtId="190" fontId="15" fillId="2" borderId="0" xfId="1" applyNumberFormat="1" applyFont="1" applyFill="1" applyBorder="1" applyAlignment="1">
      <alignment horizontal="right" vertical="center" wrapText="1"/>
    </xf>
    <xf numFmtId="190" fontId="18" fillId="19" borderId="1" xfId="7" applyNumberFormat="1" applyFont="1" applyFill="1" applyBorder="1" applyAlignment="1">
      <alignment horizontal="right" vertical="center" wrapText="1"/>
    </xf>
    <xf numFmtId="190" fontId="18" fillId="19" borderId="45" xfId="7" applyNumberFormat="1" applyFont="1" applyFill="1" applyBorder="1" applyAlignment="1">
      <alignment horizontal="right" vertical="center" wrapText="1"/>
    </xf>
    <xf numFmtId="190" fontId="14" fillId="2" borderId="0" xfId="0" applyNumberFormat="1" applyFont="1" applyFill="1" applyAlignment="1">
      <alignment horizontal="right" vertical="center" wrapText="1"/>
    </xf>
    <xf numFmtId="190" fontId="11" fillId="2" borderId="0" xfId="0" applyNumberFormat="1" applyFont="1" applyFill="1" applyAlignment="1">
      <alignment horizontal="right" wrapText="1"/>
    </xf>
    <xf numFmtId="43" fontId="13" fillId="9" borderId="80" xfId="1" applyFont="1" applyFill="1" applyBorder="1" applyAlignment="1">
      <alignment horizontal="center" vertical="center" wrapText="1"/>
    </xf>
    <xf numFmtId="190" fontId="11" fillId="2" borderId="147" xfId="0" applyNumberFormat="1" applyFont="1" applyFill="1" applyBorder="1" applyAlignment="1">
      <alignment horizontal="right" wrapText="1"/>
    </xf>
    <xf numFmtId="190" fontId="11" fillId="2" borderId="86" xfId="0" applyNumberFormat="1" applyFont="1" applyFill="1" applyBorder="1" applyAlignment="1">
      <alignment horizontal="right" wrapText="1"/>
    </xf>
    <xf numFmtId="190" fontId="11" fillId="2" borderId="56" xfId="0" applyNumberFormat="1" applyFont="1" applyFill="1" applyBorder="1" applyAlignment="1">
      <alignment horizontal="right" wrapText="1"/>
    </xf>
    <xf numFmtId="190" fontId="14" fillId="2" borderId="43" xfId="3" applyNumberFormat="1" applyFont="1" applyFill="1" applyBorder="1" applyAlignment="1">
      <alignment horizontal="right" vertical="center" wrapText="1"/>
    </xf>
    <xf numFmtId="10" fontId="13" fillId="2" borderId="0" xfId="9" applyNumberFormat="1" applyFont="1" applyFill="1" applyBorder="1" applyAlignment="1">
      <alignment horizontal="right" vertical="center" wrapText="1"/>
    </xf>
    <xf numFmtId="189" fontId="14" fillId="31" borderId="1" xfId="3" applyNumberFormat="1" applyFont="1" applyFill="1" applyBorder="1" applyAlignment="1">
      <alignment horizontal="right" vertical="center" wrapText="1"/>
    </xf>
    <xf numFmtId="189" fontId="14" fillId="31" borderId="29" xfId="3" applyNumberFormat="1" applyFont="1" applyFill="1" applyBorder="1" applyAlignment="1">
      <alignment horizontal="right" vertical="center" wrapText="1"/>
    </xf>
    <xf numFmtId="189" fontId="14" fillId="31" borderId="3" xfId="3" applyNumberFormat="1" applyFont="1" applyFill="1" applyBorder="1" applyAlignment="1">
      <alignment horizontal="right" vertical="center" wrapText="1"/>
    </xf>
    <xf numFmtId="189" fontId="11" fillId="31" borderId="3" xfId="3" applyNumberFormat="1" applyFont="1" applyFill="1" applyBorder="1" applyAlignment="1">
      <alignment horizontal="right" vertical="center" wrapText="1"/>
    </xf>
    <xf numFmtId="189" fontId="11" fillId="2" borderId="0" xfId="1" applyNumberFormat="1" applyFont="1" applyFill="1" applyBorder="1" applyAlignment="1">
      <alignment wrapText="1"/>
    </xf>
    <xf numFmtId="189" fontId="18" fillId="16" borderId="100" xfId="1" applyNumberFormat="1" applyFont="1" applyFill="1" applyBorder="1" applyAlignment="1">
      <alignment horizontal="right" vertical="center" wrapText="1"/>
    </xf>
    <xf numFmtId="189" fontId="18" fillId="16" borderId="149" xfId="1" applyNumberFormat="1" applyFont="1" applyFill="1" applyBorder="1" applyAlignment="1">
      <alignment horizontal="right" vertical="center" wrapText="1"/>
    </xf>
    <xf numFmtId="189" fontId="14" fillId="2" borderId="47" xfId="1" applyNumberFormat="1" applyFont="1" applyFill="1" applyBorder="1" applyAlignment="1">
      <alignment horizontal="right" vertical="center" wrapText="1"/>
    </xf>
    <xf numFmtId="189" fontId="14" fillId="31" borderId="99" xfId="3" applyNumberFormat="1" applyFont="1" applyFill="1" applyBorder="1" applyAlignment="1">
      <alignment horizontal="right" vertical="center" wrapText="1"/>
    </xf>
    <xf numFmtId="189" fontId="14" fillId="2" borderId="39" xfId="3" applyNumberFormat="1" applyFont="1" applyFill="1" applyBorder="1" applyAlignment="1">
      <alignment horizontal="right" vertical="center" wrapText="1"/>
    </xf>
    <xf numFmtId="189" fontId="14" fillId="2" borderId="47" xfId="3" applyNumberFormat="1" applyFont="1" applyFill="1" applyBorder="1" applyAlignment="1">
      <alignment horizontal="right" vertical="center" wrapText="1"/>
    </xf>
    <xf numFmtId="189" fontId="18" fillId="16" borderId="62" xfId="3" applyNumberFormat="1" applyFont="1" applyFill="1" applyBorder="1" applyAlignment="1">
      <alignment horizontal="right" vertical="center" wrapText="1"/>
    </xf>
    <xf numFmtId="189" fontId="14" fillId="31" borderId="47" xfId="3" applyNumberFormat="1" applyFont="1" applyFill="1" applyBorder="1" applyAlignment="1">
      <alignment horizontal="right" vertical="center" wrapText="1"/>
    </xf>
    <xf numFmtId="189" fontId="11" fillId="0" borderId="95" xfId="3" applyNumberFormat="1" applyFont="1" applyBorder="1" applyAlignment="1">
      <alignment vertical="center" wrapText="1"/>
    </xf>
    <xf numFmtId="189" fontId="18" fillId="16" borderId="96" xfId="1" applyNumberFormat="1" applyFont="1" applyFill="1" applyBorder="1" applyAlignment="1">
      <alignment vertical="center" wrapText="1"/>
    </xf>
    <xf numFmtId="189" fontId="14" fillId="0" borderId="148" xfId="3" applyNumberFormat="1" applyFont="1" applyBorder="1" applyAlignment="1">
      <alignment horizontal="left" vertical="center" wrapText="1"/>
    </xf>
    <xf numFmtId="189" fontId="11" fillId="0" borderId="95" xfId="3" applyNumberFormat="1" applyFont="1" applyBorder="1" applyAlignment="1">
      <alignment horizontal="right" vertical="center" wrapText="1"/>
    </xf>
    <xf numFmtId="189" fontId="18" fillId="16" borderId="96" xfId="1" applyNumberFormat="1" applyFont="1" applyFill="1" applyBorder="1" applyAlignment="1">
      <alignment horizontal="right" vertical="center" wrapText="1"/>
    </xf>
    <xf numFmtId="189" fontId="14" fillId="0" borderId="148" xfId="3" applyNumberFormat="1" applyFont="1" applyBorder="1" applyAlignment="1">
      <alignment horizontal="right" vertical="center" wrapText="1"/>
    </xf>
    <xf numFmtId="172" fontId="13" fillId="2" borderId="0" xfId="0" applyNumberFormat="1" applyFont="1" applyFill="1" applyAlignment="1">
      <alignment horizontal="center" vertical="center" wrapText="1"/>
    </xf>
    <xf numFmtId="171" fontId="48" fillId="2" borderId="0" xfId="0" applyNumberFormat="1" applyFont="1" applyFill="1" applyAlignment="1">
      <alignment horizontal="center" vertical="center" wrapText="1"/>
    </xf>
    <xf numFmtId="187" fontId="14" fillId="2" borderId="0" xfId="0" applyNumberFormat="1" applyFont="1" applyFill="1" applyAlignment="1">
      <alignment vertical="center" wrapText="1"/>
    </xf>
    <xf numFmtId="0" fontId="18" fillId="16" borderId="60" xfId="0" applyFont="1" applyFill="1" applyBorder="1" applyAlignment="1">
      <alignment vertical="center" wrapText="1"/>
    </xf>
    <xf numFmtId="0" fontId="18" fillId="16" borderId="1" xfId="0" applyFont="1" applyFill="1" applyBorder="1" applyAlignment="1">
      <alignment horizontal="center" vertical="center" wrapText="1"/>
    </xf>
    <xf numFmtId="170" fontId="18" fillId="16" borderId="1" xfId="3" applyNumberFormat="1" applyFont="1" applyFill="1" applyBorder="1" applyAlignment="1">
      <alignment horizontal="center" vertical="center" wrapText="1"/>
    </xf>
    <xf numFmtId="189" fontId="11" fillId="2" borderId="0" xfId="0" applyNumberFormat="1" applyFont="1" applyFill="1" applyAlignment="1">
      <alignment vertical="center" wrapText="1"/>
    </xf>
    <xf numFmtId="189" fontId="11" fillId="6" borderId="101" xfId="1" applyNumberFormat="1" applyFont="1" applyFill="1" applyBorder="1" applyAlignment="1">
      <alignment horizontal="center" vertical="center" wrapText="1"/>
    </xf>
    <xf numFmtId="189" fontId="11" fillId="2" borderId="0" xfId="0" applyNumberFormat="1" applyFont="1" applyFill="1" applyAlignment="1">
      <alignment horizontal="right" vertical="center" wrapText="1"/>
    </xf>
    <xf numFmtId="189" fontId="11" fillId="6" borderId="101" xfId="1" applyNumberFormat="1" applyFont="1" applyFill="1" applyBorder="1" applyAlignment="1">
      <alignment horizontal="right" vertical="center" wrapText="1"/>
    </xf>
    <xf numFmtId="189" fontId="13" fillId="10" borderId="84" xfId="0" applyNumberFormat="1" applyFont="1" applyFill="1" applyBorder="1" applyAlignment="1">
      <alignment horizontal="center" vertical="center" wrapText="1"/>
    </xf>
    <xf numFmtId="189" fontId="14" fillId="0" borderId="92" xfId="3" applyNumberFormat="1" applyFont="1" applyBorder="1" applyAlignment="1">
      <alignment horizontal="right" vertical="center" wrapText="1"/>
    </xf>
    <xf numFmtId="189" fontId="14" fillId="2" borderId="2" xfId="3" applyNumberFormat="1" applyFont="1" applyFill="1" applyBorder="1" applyAlignment="1">
      <alignment horizontal="center" vertical="center" wrapText="1"/>
    </xf>
    <xf numFmtId="189" fontId="15" fillId="0" borderId="95" xfId="3" applyNumberFormat="1" applyFont="1" applyBorder="1" applyAlignment="1">
      <alignment horizontal="right" vertical="center" wrapText="1"/>
    </xf>
    <xf numFmtId="10" fontId="13" fillId="8" borderId="32" xfId="9" applyNumberFormat="1" applyFont="1" applyFill="1" applyBorder="1" applyAlignment="1">
      <alignment horizontal="center" vertical="center" wrapText="1"/>
    </xf>
    <xf numFmtId="43" fontId="13" fillId="3" borderId="32" xfId="1" applyFont="1" applyFill="1" applyBorder="1" applyAlignment="1">
      <alignment horizontal="center" vertical="center" wrapText="1"/>
    </xf>
    <xf numFmtId="10" fontId="13" fillId="18" borderId="44" xfId="9" applyNumberFormat="1" applyFont="1" applyFill="1" applyBorder="1" applyAlignment="1">
      <alignment horizontal="center" vertical="center" wrapText="1"/>
    </xf>
    <xf numFmtId="0" fontId="11" fillId="2" borderId="147" xfId="0" applyFont="1" applyFill="1" applyBorder="1" applyAlignment="1">
      <alignment wrapText="1"/>
    </xf>
    <xf numFmtId="0" fontId="11" fillId="2" borderId="86" xfId="0" applyFont="1" applyFill="1" applyBorder="1" applyAlignment="1">
      <alignment wrapText="1"/>
    </xf>
    <xf numFmtId="189" fontId="11" fillId="2" borderId="147" xfId="0" applyNumberFormat="1" applyFont="1" applyFill="1" applyBorder="1" applyAlignment="1">
      <alignment wrapText="1"/>
    </xf>
    <xf numFmtId="189" fontId="11" fillId="2" borderId="86" xfId="0" applyNumberFormat="1" applyFont="1" applyFill="1" applyBorder="1" applyAlignment="1">
      <alignment wrapText="1"/>
    </xf>
    <xf numFmtId="189" fontId="11" fillId="2" borderId="147" xfId="0" applyNumberFormat="1" applyFont="1" applyFill="1" applyBorder="1" applyAlignment="1">
      <alignment horizontal="right" wrapText="1"/>
    </xf>
    <xf numFmtId="189" fontId="11" fillId="2" borderId="86" xfId="0" applyNumberFormat="1" applyFont="1" applyFill="1" applyBorder="1" applyAlignment="1">
      <alignment horizontal="right" wrapText="1"/>
    </xf>
    <xf numFmtId="0" fontId="11" fillId="2" borderId="0" xfId="0" applyFont="1" applyFill="1" applyAlignment="1">
      <alignment horizontal="center" vertical="center" wrapText="1"/>
    </xf>
    <xf numFmtId="166" fontId="11" fillId="2" borderId="0" xfId="4" applyFont="1" applyFill="1" applyBorder="1" applyAlignment="1">
      <alignment horizontal="center" vertical="center" wrapText="1"/>
    </xf>
    <xf numFmtId="170" fontId="11" fillId="2" borderId="0" xfId="0" applyNumberFormat="1" applyFont="1" applyFill="1" applyAlignment="1">
      <alignment vertical="center" wrapText="1"/>
    </xf>
    <xf numFmtId="168" fontId="11" fillId="2" borderId="0" xfId="3" applyFont="1" applyFill="1" applyAlignment="1">
      <alignment vertical="center" wrapText="1"/>
    </xf>
    <xf numFmtId="10" fontId="11" fillId="2" borderId="0" xfId="0" applyNumberFormat="1" applyFont="1" applyFill="1" applyAlignment="1">
      <alignment vertical="center" wrapText="1"/>
    </xf>
    <xf numFmtId="9" fontId="11" fillId="2" borderId="0" xfId="9" applyFont="1" applyFill="1" applyAlignment="1">
      <alignment vertical="center" wrapText="1"/>
    </xf>
    <xf numFmtId="168" fontId="11" fillId="2" borderId="0" xfId="3" applyFont="1" applyFill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/>
    </xf>
    <xf numFmtId="0" fontId="15" fillId="2" borderId="3" xfId="7" applyFont="1" applyFill="1" applyBorder="1" applyAlignment="1">
      <alignment vertical="center" wrapText="1"/>
    </xf>
    <xf numFmtId="189" fontId="14" fillId="31" borderId="28" xfId="3" applyNumberFormat="1" applyFont="1" applyFill="1" applyBorder="1" applyAlignment="1">
      <alignment horizontal="right" vertical="center" wrapText="1"/>
    </xf>
    <xf numFmtId="189" fontId="14" fillId="2" borderId="71" xfId="3" applyNumberFormat="1" applyFont="1" applyFill="1" applyBorder="1" applyAlignment="1">
      <alignment horizontal="right" vertical="center" wrapText="1"/>
    </xf>
    <xf numFmtId="189" fontId="11" fillId="2" borderId="95" xfId="3" applyNumberFormat="1" applyFont="1" applyFill="1" applyBorder="1" applyAlignment="1">
      <alignment vertical="center" wrapText="1"/>
    </xf>
    <xf numFmtId="189" fontId="11" fillId="2" borderId="95" xfId="3" applyNumberFormat="1" applyFont="1" applyFill="1" applyBorder="1" applyAlignment="1">
      <alignment horizontal="right" vertical="center" wrapText="1"/>
    </xf>
    <xf numFmtId="189" fontId="11" fillId="2" borderId="101" xfId="1" applyNumberFormat="1" applyFont="1" applyFill="1" applyBorder="1" applyAlignment="1">
      <alignment horizontal="right" vertical="center" wrapText="1"/>
    </xf>
    <xf numFmtId="189" fontId="11" fillId="2" borderId="101" xfId="1" applyNumberFormat="1" applyFont="1" applyFill="1" applyBorder="1" applyAlignment="1">
      <alignment horizontal="center" vertical="center" wrapText="1"/>
    </xf>
    <xf numFmtId="189" fontId="14" fillId="2" borderId="0" xfId="1" applyNumberFormat="1" applyFont="1" applyFill="1" applyBorder="1" applyAlignment="1">
      <alignment horizontal="center" vertical="center" wrapText="1"/>
    </xf>
    <xf numFmtId="191" fontId="11" fillId="2" borderId="154" xfId="0" applyNumberFormat="1" applyFont="1" applyFill="1" applyBorder="1" applyAlignment="1">
      <alignment vertical="center" wrapText="1"/>
    </xf>
    <xf numFmtId="191" fontId="11" fillId="2" borderId="0" xfId="0" applyNumberFormat="1" applyFont="1" applyFill="1" applyAlignment="1">
      <alignment vertical="center" wrapText="1"/>
    </xf>
    <xf numFmtId="43" fontId="22" fillId="2" borderId="0" xfId="1" applyFont="1" applyFill="1" applyBorder="1" applyAlignment="1">
      <alignment horizontal="center" vertical="center" wrapText="1"/>
    </xf>
    <xf numFmtId="44" fontId="11" fillId="2" borderId="0" xfId="0" applyNumberFormat="1" applyFont="1" applyFill="1" applyAlignment="1">
      <alignment wrapText="1"/>
    </xf>
    <xf numFmtId="43" fontId="18" fillId="16" borderId="85" xfId="1" applyFont="1" applyFill="1" applyBorder="1" applyAlignment="1">
      <alignment horizontal="center" vertical="center" wrapText="1"/>
    </xf>
    <xf numFmtId="43" fontId="18" fillId="16" borderId="86" xfId="1" applyFont="1" applyFill="1" applyBorder="1" applyAlignment="1">
      <alignment horizontal="center" vertical="center" wrapText="1"/>
    </xf>
    <xf numFmtId="43" fontId="18" fillId="16" borderId="89" xfId="1" applyFont="1" applyFill="1" applyBorder="1" applyAlignment="1">
      <alignment horizontal="center" vertical="center" wrapText="1"/>
    </xf>
    <xf numFmtId="0" fontId="13" fillId="9" borderId="108" xfId="0" applyFont="1" applyFill="1" applyBorder="1" applyAlignment="1">
      <alignment horizontal="center" vertical="center" wrapText="1"/>
    </xf>
    <xf numFmtId="0" fontId="13" fillId="9" borderId="109" xfId="0" applyFont="1" applyFill="1" applyBorder="1" applyAlignment="1">
      <alignment horizontal="center" vertical="center" wrapText="1"/>
    </xf>
    <xf numFmtId="0" fontId="13" fillId="9" borderId="110" xfId="0" applyFont="1" applyFill="1" applyBorder="1" applyAlignment="1">
      <alignment horizontal="center" vertical="center" wrapText="1"/>
    </xf>
    <xf numFmtId="0" fontId="13" fillId="10" borderId="52" xfId="0" applyFont="1" applyFill="1" applyBorder="1" applyAlignment="1">
      <alignment horizontal="center" vertical="center" wrapText="1"/>
    </xf>
    <xf numFmtId="0" fontId="13" fillId="10" borderId="53" xfId="0" applyFont="1" applyFill="1" applyBorder="1" applyAlignment="1">
      <alignment horizontal="center" vertical="center" wrapText="1"/>
    </xf>
    <xf numFmtId="0" fontId="11" fillId="0" borderId="81" xfId="0" applyFont="1" applyBorder="1" applyAlignment="1">
      <alignment horizontal="center" vertical="center" wrapText="1"/>
    </xf>
    <xf numFmtId="0" fontId="13" fillId="10" borderId="98" xfId="0" applyFont="1" applyFill="1" applyBorder="1" applyAlignment="1">
      <alignment horizontal="center" vertical="center" wrapText="1"/>
    </xf>
    <xf numFmtId="0" fontId="13" fillId="10" borderId="80" xfId="0" applyFont="1" applyFill="1" applyBorder="1" applyAlignment="1">
      <alignment horizontal="center" vertical="center" wrapText="1"/>
    </xf>
    <xf numFmtId="0" fontId="18" fillId="16" borderId="60" xfId="0" applyFont="1" applyFill="1" applyBorder="1" applyAlignment="1">
      <alignment horizontal="center" vertical="center" wrapText="1"/>
    </xf>
    <xf numFmtId="0" fontId="18" fillId="16" borderId="61" xfId="0" applyFont="1" applyFill="1" applyBorder="1" applyAlignment="1">
      <alignment horizontal="center" vertical="center" wrapText="1"/>
    </xf>
    <xf numFmtId="0" fontId="18" fillId="16" borderId="59" xfId="0" applyFont="1" applyFill="1" applyBorder="1" applyAlignment="1">
      <alignment horizontal="center" vertical="center" wrapText="1"/>
    </xf>
    <xf numFmtId="0" fontId="13" fillId="12" borderId="5" xfId="0" applyFont="1" applyFill="1" applyBorder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13" fillId="10" borderId="108" xfId="0" applyFont="1" applyFill="1" applyBorder="1" applyAlignment="1">
      <alignment horizontal="center" vertical="center" wrapText="1"/>
    </xf>
    <xf numFmtId="0" fontId="13" fillId="10" borderId="110" xfId="0" applyFont="1" applyFill="1" applyBorder="1" applyAlignment="1">
      <alignment horizontal="center" vertical="center" wrapText="1"/>
    </xf>
    <xf numFmtId="0" fontId="13" fillId="10" borderId="109" xfId="0" applyFont="1" applyFill="1" applyBorder="1" applyAlignment="1">
      <alignment horizontal="center" vertical="center" wrapText="1"/>
    </xf>
    <xf numFmtId="43" fontId="11" fillId="6" borderId="30" xfId="1" applyFont="1" applyFill="1" applyBorder="1" applyAlignment="1">
      <alignment horizontal="center" vertical="center" wrapText="1"/>
    </xf>
    <xf numFmtId="43" fontId="11" fillId="6" borderId="43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75" xfId="0" applyFont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 wrapText="1"/>
    </xf>
    <xf numFmtId="43" fontId="13" fillId="3" borderId="105" xfId="1" applyFont="1" applyFill="1" applyBorder="1" applyAlignment="1">
      <alignment horizontal="center" vertical="center" wrapText="1"/>
    </xf>
    <xf numFmtId="43" fontId="13" fillId="3" borderId="106" xfId="1" applyFont="1" applyFill="1" applyBorder="1" applyAlignment="1">
      <alignment horizontal="center" vertical="center" wrapText="1"/>
    </xf>
    <xf numFmtId="0" fontId="18" fillId="19" borderId="28" xfId="7" applyFont="1" applyFill="1" applyBorder="1" applyAlignment="1">
      <alignment horizontal="center" vertical="center" wrapText="1"/>
    </xf>
    <xf numFmtId="0" fontId="18" fillId="19" borderId="3" xfId="7" applyFont="1" applyFill="1" applyBorder="1" applyAlignment="1">
      <alignment horizontal="center" vertical="center" wrapText="1"/>
    </xf>
    <xf numFmtId="0" fontId="18" fillId="19" borderId="29" xfId="7" applyFont="1" applyFill="1" applyBorder="1" applyAlignment="1">
      <alignment horizontal="center" vertical="center" wrapText="1"/>
    </xf>
    <xf numFmtId="0" fontId="18" fillId="19" borderId="1" xfId="7" applyFont="1" applyFill="1" applyBorder="1" applyAlignment="1">
      <alignment horizontal="center" vertical="center" wrapText="1"/>
    </xf>
    <xf numFmtId="0" fontId="15" fillId="12" borderId="56" xfId="7" applyFont="1" applyFill="1" applyBorder="1" applyAlignment="1">
      <alignment horizontal="center" vertical="center" wrapText="1"/>
    </xf>
    <xf numFmtId="0" fontId="15" fillId="12" borderId="77" xfId="7" applyFont="1" applyFill="1" applyBorder="1" applyAlignment="1">
      <alignment horizontal="center" vertical="center" wrapText="1"/>
    </xf>
    <xf numFmtId="0" fontId="15" fillId="12" borderId="78" xfId="7" applyFont="1" applyFill="1" applyBorder="1" applyAlignment="1">
      <alignment horizontal="center" vertical="center" wrapText="1"/>
    </xf>
    <xf numFmtId="0" fontId="11" fillId="0" borderId="3" xfId="7" applyFont="1" applyBorder="1" applyAlignment="1">
      <alignment horizontal="center" vertical="center" wrapText="1"/>
    </xf>
    <xf numFmtId="0" fontId="11" fillId="0" borderId="37" xfId="7" applyFont="1" applyBorder="1" applyAlignment="1">
      <alignment horizontal="center" vertical="center" wrapText="1"/>
    </xf>
    <xf numFmtId="0" fontId="11" fillId="0" borderId="1" xfId="7" applyFont="1" applyBorder="1" applyAlignment="1">
      <alignment horizontal="center" vertical="center" wrapText="1"/>
    </xf>
    <xf numFmtId="0" fontId="11" fillId="0" borderId="2" xfId="7" applyFont="1" applyBorder="1" applyAlignment="1">
      <alignment horizontal="center" vertical="center" wrapText="1"/>
    </xf>
    <xf numFmtId="0" fontId="11" fillId="0" borderId="8" xfId="7" applyFont="1" applyBorder="1" applyAlignment="1">
      <alignment horizontal="center" vertical="center" wrapText="1"/>
    </xf>
    <xf numFmtId="0" fontId="11" fillId="0" borderId="9" xfId="7" applyFont="1" applyBorder="1" applyAlignment="1">
      <alignment horizontal="center" vertical="center" wrapText="1"/>
    </xf>
    <xf numFmtId="0" fontId="13" fillId="17" borderId="108" xfId="0" applyFont="1" applyFill="1" applyBorder="1" applyAlignment="1">
      <alignment horizontal="center" vertical="center" wrapText="1"/>
    </xf>
    <xf numFmtId="0" fontId="13" fillId="17" borderId="109" xfId="0" applyFont="1" applyFill="1" applyBorder="1" applyAlignment="1">
      <alignment horizontal="center" vertical="center" wrapText="1"/>
    </xf>
    <xf numFmtId="0" fontId="13" fillId="17" borderId="110" xfId="0" applyFont="1" applyFill="1" applyBorder="1" applyAlignment="1">
      <alignment horizontal="center" vertical="center" wrapText="1"/>
    </xf>
    <xf numFmtId="0" fontId="11" fillId="0" borderId="28" xfId="7" applyFont="1" applyBorder="1" applyAlignment="1">
      <alignment horizontal="center" vertical="center" wrapText="1"/>
    </xf>
    <xf numFmtId="0" fontId="11" fillId="0" borderId="29" xfId="7" applyFont="1" applyBorder="1" applyAlignment="1">
      <alignment horizontal="center" vertical="center" wrapText="1"/>
    </xf>
    <xf numFmtId="0" fontId="11" fillId="0" borderId="102" xfId="7" applyFont="1" applyBorder="1" applyAlignment="1">
      <alignment horizontal="center" vertical="center" wrapText="1"/>
    </xf>
    <xf numFmtId="0" fontId="11" fillId="0" borderId="103" xfId="7" applyFont="1" applyBorder="1" applyAlignment="1">
      <alignment horizontal="center" vertical="center" wrapText="1"/>
    </xf>
    <xf numFmtId="0" fontId="11" fillId="0" borderId="112" xfId="7" applyFont="1" applyBorder="1" applyAlignment="1">
      <alignment horizontal="center" vertical="center" wrapText="1"/>
    </xf>
    <xf numFmtId="0" fontId="13" fillId="12" borderId="56" xfId="0" applyFont="1" applyFill="1" applyBorder="1" applyAlignment="1">
      <alignment horizontal="center" vertical="center"/>
    </xf>
    <xf numFmtId="0" fontId="13" fillId="12" borderId="77" xfId="0" applyFont="1" applyFill="1" applyBorder="1" applyAlignment="1">
      <alignment horizontal="center" vertical="center"/>
    </xf>
    <xf numFmtId="0" fontId="15" fillId="12" borderId="5" xfId="7" applyFont="1" applyFill="1" applyBorder="1" applyAlignment="1">
      <alignment horizontal="center" vertical="center" wrapText="1"/>
    </xf>
    <xf numFmtId="0" fontId="15" fillId="12" borderId="6" xfId="7" applyFont="1" applyFill="1" applyBorder="1" applyAlignment="1">
      <alignment horizontal="center" vertical="center" wrapText="1"/>
    </xf>
    <xf numFmtId="0" fontId="15" fillId="12" borderId="38" xfId="7" applyFont="1" applyFill="1" applyBorder="1" applyAlignment="1">
      <alignment horizontal="center" vertical="center" wrapText="1"/>
    </xf>
    <xf numFmtId="0" fontId="13" fillId="2" borderId="55" xfId="0" applyFont="1" applyFill="1" applyBorder="1" applyAlignment="1">
      <alignment horizontal="center" vertical="center" wrapText="1"/>
    </xf>
    <xf numFmtId="0" fontId="13" fillId="2" borderId="75" xfId="0" applyFont="1" applyFill="1" applyBorder="1" applyAlignment="1">
      <alignment horizontal="center" vertical="center" wrapText="1"/>
    </xf>
    <xf numFmtId="43" fontId="13" fillId="3" borderId="108" xfId="1" applyFont="1" applyFill="1" applyBorder="1" applyAlignment="1">
      <alignment horizontal="center" vertical="center" wrapText="1"/>
    </xf>
    <xf numFmtId="43" fontId="13" fillId="3" borderId="109" xfId="1" applyFont="1" applyFill="1" applyBorder="1" applyAlignment="1">
      <alignment horizontal="center" vertical="center" wrapText="1"/>
    </xf>
    <xf numFmtId="43" fontId="13" fillId="3" borderId="115" xfId="1" applyFont="1" applyFill="1" applyBorder="1" applyAlignment="1">
      <alignment horizontal="center" vertical="center" wrapText="1"/>
    </xf>
    <xf numFmtId="43" fontId="13" fillId="3" borderId="114" xfId="1" applyFont="1" applyFill="1" applyBorder="1" applyAlignment="1">
      <alignment horizontal="center" vertical="center" wrapText="1"/>
    </xf>
    <xf numFmtId="43" fontId="13" fillId="3" borderId="110" xfId="1" applyFont="1" applyFill="1" applyBorder="1" applyAlignment="1">
      <alignment horizontal="center" vertical="center" wrapText="1"/>
    </xf>
    <xf numFmtId="43" fontId="13" fillId="4" borderId="108" xfId="1" applyFont="1" applyFill="1" applyBorder="1" applyAlignment="1">
      <alignment horizontal="center" vertical="center" wrapText="1"/>
    </xf>
    <xf numFmtId="43" fontId="13" fillId="4" borderId="110" xfId="1" applyFont="1" applyFill="1" applyBorder="1" applyAlignment="1">
      <alignment horizontal="center" vertical="center" wrapText="1"/>
    </xf>
    <xf numFmtId="0" fontId="13" fillId="2" borderId="56" xfId="0" applyFont="1" applyFill="1" applyBorder="1" applyAlignment="1">
      <alignment horizontal="center" vertical="center" wrapText="1"/>
    </xf>
    <xf numFmtId="0" fontId="13" fillId="2" borderId="77" xfId="0" applyFont="1" applyFill="1" applyBorder="1" applyAlignment="1">
      <alignment horizontal="center" vertical="center" wrapText="1"/>
    </xf>
    <xf numFmtId="0" fontId="18" fillId="19" borderId="34" xfId="7" applyFont="1" applyFill="1" applyBorder="1" applyAlignment="1">
      <alignment horizontal="center" vertical="center" wrapText="1"/>
    </xf>
    <xf numFmtId="0" fontId="18" fillId="19" borderId="4" xfId="7" applyFont="1" applyFill="1" applyBorder="1" applyAlignment="1">
      <alignment horizontal="center" vertical="center" wrapText="1"/>
    </xf>
    <xf numFmtId="0" fontId="18" fillId="19" borderId="35" xfId="7" applyFont="1" applyFill="1" applyBorder="1" applyAlignment="1">
      <alignment horizontal="center" vertical="center" wrapText="1"/>
    </xf>
    <xf numFmtId="0" fontId="13" fillId="9" borderId="55" xfId="0" applyFont="1" applyFill="1" applyBorder="1" applyAlignment="1">
      <alignment horizontal="center" vertical="center" wrapText="1"/>
    </xf>
    <xf numFmtId="0" fontId="13" fillId="9" borderId="75" xfId="0" applyFont="1" applyFill="1" applyBorder="1" applyAlignment="1">
      <alignment horizontal="center" vertical="center" wrapText="1"/>
    </xf>
    <xf numFmtId="0" fontId="13" fillId="9" borderId="76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" fontId="11" fillId="2" borderId="2" xfId="8" applyNumberFormat="1" applyFont="1" applyFill="1" applyBorder="1" applyAlignment="1">
      <alignment horizontal="center" vertical="center"/>
    </xf>
    <xf numFmtId="1" fontId="11" fillId="2" borderId="4" xfId="8" applyNumberFormat="1" applyFont="1" applyFill="1" applyBorder="1" applyAlignment="1">
      <alignment horizontal="center" vertical="center"/>
    </xf>
    <xf numFmtId="190" fontId="11" fillId="2" borderId="2" xfId="3" applyNumberFormat="1" applyFont="1" applyFill="1" applyBorder="1" applyAlignment="1">
      <alignment horizontal="center" vertical="center" wrapText="1"/>
    </xf>
    <xf numFmtId="190" fontId="11" fillId="2" borderId="35" xfId="3" applyNumberFormat="1" applyFont="1" applyFill="1" applyBorder="1" applyAlignment="1">
      <alignment horizontal="center" vertical="center" wrapText="1"/>
    </xf>
    <xf numFmtId="190" fontId="11" fillId="2" borderId="93" xfId="3" applyNumberFormat="1" applyFont="1" applyFill="1" applyBorder="1" applyAlignment="1">
      <alignment horizontal="center" vertical="center" wrapText="1"/>
    </xf>
    <xf numFmtId="190" fontId="11" fillId="2" borderId="34" xfId="0" applyNumberFormat="1" applyFont="1" applyFill="1" applyBorder="1" applyAlignment="1">
      <alignment horizontal="center" wrapText="1"/>
    </xf>
    <xf numFmtId="190" fontId="11" fillId="2" borderId="4" xfId="0" applyNumberFormat="1" applyFont="1" applyFill="1" applyBorder="1" applyAlignment="1">
      <alignment horizontal="center" wrapText="1"/>
    </xf>
    <xf numFmtId="190" fontId="11" fillId="2" borderId="93" xfId="0" applyNumberFormat="1" applyFont="1" applyFill="1" applyBorder="1" applyAlignment="1">
      <alignment horizontal="center" wrapText="1"/>
    </xf>
    <xf numFmtId="0" fontId="18" fillId="19" borderId="2" xfId="7" applyFont="1" applyFill="1" applyBorder="1" applyAlignment="1">
      <alignment horizontal="center" vertical="center" wrapText="1"/>
    </xf>
    <xf numFmtId="171" fontId="11" fillId="0" borderId="34" xfId="7" applyNumberFormat="1" applyFont="1" applyBorder="1" applyAlignment="1">
      <alignment horizontal="center" vertical="center" wrapText="1"/>
    </xf>
    <xf numFmtId="171" fontId="11" fillId="0" borderId="4" xfId="7" applyNumberFormat="1" applyFont="1" applyBorder="1" applyAlignment="1">
      <alignment horizontal="center" vertical="center" wrapText="1"/>
    </xf>
    <xf numFmtId="171" fontId="11" fillId="0" borderId="35" xfId="7" applyNumberFormat="1" applyFont="1" applyBorder="1" applyAlignment="1">
      <alignment horizontal="center" vertical="center" wrapText="1"/>
    </xf>
    <xf numFmtId="171" fontId="11" fillId="0" borderId="1" xfId="7" applyNumberFormat="1" applyFont="1" applyBorder="1" applyAlignment="1">
      <alignment horizontal="center" vertical="center" wrapText="1"/>
    </xf>
    <xf numFmtId="0" fontId="11" fillId="0" borderId="45" xfId="7" applyFont="1" applyBorder="1" applyAlignment="1">
      <alignment horizontal="center" vertical="center" wrapText="1"/>
    </xf>
    <xf numFmtId="171" fontId="11" fillId="0" borderId="150" xfId="7" applyNumberFormat="1" applyFont="1" applyBorder="1" applyAlignment="1">
      <alignment horizontal="center" vertical="center" wrapText="1"/>
    </xf>
    <xf numFmtId="171" fontId="11" fillId="0" borderId="145" xfId="7" applyNumberFormat="1" applyFont="1" applyBorder="1" applyAlignment="1">
      <alignment horizontal="center" vertical="center" wrapText="1"/>
    </xf>
    <xf numFmtId="171" fontId="11" fillId="0" borderId="146" xfId="7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71" fontId="13" fillId="12" borderId="151" xfId="0" applyNumberFormat="1" applyFont="1" applyFill="1" applyBorder="1" applyAlignment="1">
      <alignment horizontal="center" vertical="center"/>
    </xf>
    <xf numFmtId="171" fontId="13" fillId="12" borderId="54" xfId="0" applyNumberFormat="1" applyFont="1" applyFill="1" applyBorder="1" applyAlignment="1">
      <alignment horizontal="center" vertical="center"/>
    </xf>
    <xf numFmtId="171" fontId="13" fillId="12" borderId="46" xfId="0" applyNumberFormat="1" applyFont="1" applyFill="1" applyBorder="1" applyAlignment="1">
      <alignment horizontal="center" vertical="center"/>
    </xf>
    <xf numFmtId="171" fontId="13" fillId="12" borderId="31" xfId="0" applyNumberFormat="1" applyFont="1" applyFill="1" applyBorder="1" applyAlignment="1">
      <alignment horizontal="center" vertical="center"/>
    </xf>
    <xf numFmtId="0" fontId="13" fillId="12" borderId="31" xfId="0" applyFont="1" applyFill="1" applyBorder="1" applyAlignment="1">
      <alignment horizontal="center" vertical="center"/>
    </xf>
    <xf numFmtId="0" fontId="13" fillId="12" borderId="43" xfId="0" applyFont="1" applyFill="1" applyBorder="1" applyAlignment="1">
      <alignment horizontal="center" vertical="center"/>
    </xf>
    <xf numFmtId="0" fontId="18" fillId="16" borderId="1" xfId="0" applyFont="1" applyFill="1" applyBorder="1" applyAlignment="1">
      <alignment horizontal="center" vertical="center" wrapText="1"/>
    </xf>
    <xf numFmtId="190" fontId="11" fillId="2" borderId="31" xfId="3" applyNumberFormat="1" applyFont="1" applyFill="1" applyBorder="1" applyAlignment="1">
      <alignment horizontal="center" vertical="center" wrapText="1"/>
    </xf>
    <xf numFmtId="190" fontId="11" fillId="2" borderId="50" xfId="3" applyNumberFormat="1" applyFont="1" applyFill="1" applyBorder="1" applyAlignment="1">
      <alignment horizontal="center" vertical="center" wrapText="1"/>
    </xf>
    <xf numFmtId="190" fontId="11" fillId="2" borderId="46" xfId="3" applyNumberFormat="1" applyFont="1" applyFill="1" applyBorder="1" applyAlignment="1">
      <alignment horizontal="center" vertical="center" wrapText="1"/>
    </xf>
    <xf numFmtId="190" fontId="11" fillId="2" borderId="43" xfId="3" applyNumberFormat="1" applyFont="1" applyFill="1" applyBorder="1" applyAlignment="1">
      <alignment horizontal="center" vertical="center" wrapText="1"/>
    </xf>
    <xf numFmtId="0" fontId="18" fillId="19" borderId="93" xfId="7" applyFont="1" applyFill="1" applyBorder="1" applyAlignment="1">
      <alignment horizontal="center" vertical="center" wrapText="1"/>
    </xf>
    <xf numFmtId="171" fontId="13" fillId="12" borderId="2" xfId="0" applyNumberFormat="1" applyFont="1" applyFill="1" applyBorder="1" applyAlignment="1">
      <alignment horizontal="center" vertical="center"/>
    </xf>
    <xf numFmtId="171" fontId="13" fillId="12" borderId="4" xfId="0" applyNumberFormat="1" applyFont="1" applyFill="1" applyBorder="1" applyAlignment="1">
      <alignment horizontal="center" vertical="center"/>
    </xf>
    <xf numFmtId="171" fontId="13" fillId="12" borderId="35" xfId="0" applyNumberFormat="1" applyFont="1" applyFill="1" applyBorder="1" applyAlignment="1">
      <alignment horizontal="center" vertical="center"/>
    </xf>
    <xf numFmtId="171" fontId="11" fillId="2" borderId="31" xfId="3" applyNumberFormat="1" applyFont="1" applyFill="1" applyBorder="1" applyAlignment="1">
      <alignment horizontal="center" vertical="center" wrapText="1"/>
    </xf>
    <xf numFmtId="171" fontId="11" fillId="2" borderId="50" xfId="3" applyNumberFormat="1" applyFont="1" applyFill="1" applyBorder="1" applyAlignment="1">
      <alignment horizontal="center" vertical="center" wrapText="1"/>
    </xf>
    <xf numFmtId="171" fontId="11" fillId="2" borderId="92" xfId="3" applyNumberFormat="1" applyFont="1" applyFill="1" applyBorder="1" applyAlignment="1">
      <alignment horizontal="center" vertical="center" wrapText="1"/>
    </xf>
    <xf numFmtId="171" fontId="11" fillId="0" borderId="144" xfId="7" applyNumberFormat="1" applyFont="1" applyBorder="1" applyAlignment="1">
      <alignment horizontal="center" vertical="center" wrapText="1"/>
    </xf>
    <xf numFmtId="171" fontId="11" fillId="0" borderId="2" xfId="7" applyNumberFormat="1" applyFont="1" applyBorder="1" applyAlignment="1">
      <alignment horizontal="center" vertical="center" wrapText="1"/>
    </xf>
    <xf numFmtId="171" fontId="11" fillId="2" borderId="9" xfId="3" applyNumberFormat="1" applyFont="1" applyFill="1" applyBorder="1" applyAlignment="1">
      <alignment horizontal="center" vertical="center" wrapText="1"/>
    </xf>
    <xf numFmtId="171" fontId="11" fillId="2" borderId="85" xfId="3" applyNumberFormat="1" applyFont="1" applyFill="1" applyBorder="1" applyAlignment="1">
      <alignment horizontal="center" vertical="center" wrapText="1"/>
    </xf>
    <xf numFmtId="171" fontId="11" fillId="2" borderId="113" xfId="3" applyNumberFormat="1" applyFont="1" applyFill="1" applyBorder="1" applyAlignment="1">
      <alignment horizontal="center" vertical="center" wrapText="1"/>
    </xf>
    <xf numFmtId="1" fontId="11" fillId="2" borderId="35" xfId="8" applyNumberFormat="1" applyFont="1" applyFill="1" applyBorder="1" applyAlignment="1">
      <alignment horizontal="center" vertical="center"/>
    </xf>
    <xf numFmtId="171" fontId="13" fillId="12" borderId="1" xfId="0" applyNumberFormat="1" applyFont="1" applyFill="1" applyBorder="1" applyAlignment="1">
      <alignment horizontal="center" vertical="center"/>
    </xf>
    <xf numFmtId="0" fontId="13" fillId="12" borderId="1" xfId="0" applyFont="1" applyFill="1" applyBorder="1" applyAlignment="1">
      <alignment horizontal="center" vertical="center"/>
    </xf>
    <xf numFmtId="0" fontId="36" fillId="27" borderId="69" xfId="30" applyFont="1" applyFill="1" applyBorder="1" applyAlignment="1">
      <alignment horizontal="center" vertical="center"/>
    </xf>
    <xf numFmtId="0" fontId="28" fillId="27" borderId="2" xfId="30" applyFont="1" applyFill="1" applyBorder="1" applyAlignment="1">
      <alignment horizontal="left" vertical="center" wrapText="1"/>
    </xf>
    <xf numFmtId="0" fontId="28" fillId="27" borderId="4" xfId="30" applyFont="1" applyFill="1" applyBorder="1" applyAlignment="1">
      <alignment horizontal="left" vertical="center" wrapText="1"/>
    </xf>
    <xf numFmtId="0" fontId="28" fillId="27" borderId="35" xfId="30" applyFont="1" applyFill="1" applyBorder="1" applyAlignment="1">
      <alignment horizontal="left" vertical="center" wrapText="1"/>
    </xf>
    <xf numFmtId="0" fontId="37" fillId="27" borderId="2" xfId="30" applyFont="1" applyFill="1" applyBorder="1" applyAlignment="1">
      <alignment horizontal="left" vertical="center" wrapText="1"/>
    </xf>
    <xf numFmtId="0" fontId="37" fillId="27" borderId="4" xfId="30" applyFont="1" applyFill="1" applyBorder="1" applyAlignment="1">
      <alignment horizontal="left" vertical="center" wrapText="1"/>
    </xf>
    <xf numFmtId="0" fontId="37" fillId="27" borderId="35" xfId="30" applyFont="1" applyFill="1" applyBorder="1" applyAlignment="1">
      <alignment horizontal="left" vertical="center" wrapText="1"/>
    </xf>
    <xf numFmtId="0" fontId="28" fillId="27" borderId="0" xfId="30" applyFont="1" applyFill="1" applyAlignment="1">
      <alignment horizontal="center" vertical="center"/>
    </xf>
    <xf numFmtId="0" fontId="29" fillId="0" borderId="131" xfId="30" applyFont="1" applyBorder="1" applyAlignment="1">
      <alignment horizontal="center" vertical="center" wrapText="1"/>
    </xf>
    <xf numFmtId="0" fontId="29" fillId="0" borderId="135" xfId="30" applyFont="1" applyBorder="1" applyAlignment="1">
      <alignment horizontal="center" vertical="center" wrapText="1"/>
    </xf>
    <xf numFmtId="0" fontId="29" fillId="0" borderId="139" xfId="30" applyFont="1" applyBorder="1" applyAlignment="1">
      <alignment horizontal="center" vertical="center" wrapText="1"/>
    </xf>
    <xf numFmtId="0" fontId="24" fillId="0" borderId="1" xfId="39" applyFont="1" applyBorder="1" applyAlignment="1">
      <alignment horizontal="center" vertical="center" wrapText="1"/>
    </xf>
    <xf numFmtId="10" fontId="21" fillId="4" borderId="1" xfId="43" applyNumberFormat="1" applyFont="1" applyFill="1" applyBorder="1" applyAlignment="1">
      <alignment horizontal="center" vertical="center" wrapText="1"/>
    </xf>
    <xf numFmtId="0" fontId="21" fillId="4" borderId="1" xfId="42" applyFont="1" applyFill="1" applyBorder="1" applyAlignment="1">
      <alignment horizontal="center" vertical="center" wrapText="1"/>
    </xf>
    <xf numFmtId="0" fontId="38" fillId="30" borderId="2" xfId="41" applyFont="1" applyFill="1" applyBorder="1" applyAlignment="1">
      <alignment horizontal="center" vertical="center"/>
    </xf>
    <xf numFmtId="0" fontId="38" fillId="30" borderId="4" xfId="41" applyFont="1" applyFill="1" applyBorder="1" applyAlignment="1">
      <alignment horizontal="center" vertical="center"/>
    </xf>
    <xf numFmtId="0" fontId="38" fillId="30" borderId="35" xfId="41" applyFont="1" applyFill="1" applyBorder="1" applyAlignment="1">
      <alignment horizontal="center" vertical="center"/>
    </xf>
    <xf numFmtId="0" fontId="21" fillId="4" borderId="1" xfId="40" applyFont="1" applyFill="1" applyBorder="1" applyAlignment="1">
      <alignment horizontal="center" vertical="center" wrapText="1"/>
    </xf>
    <xf numFmtId="0" fontId="21" fillId="4" borderId="8" xfId="40" applyFont="1" applyFill="1" applyBorder="1" applyAlignment="1">
      <alignment horizontal="center" vertical="center" wrapText="1"/>
    </xf>
    <xf numFmtId="0" fontId="21" fillId="4" borderId="3" xfId="40" applyFont="1" applyFill="1" applyBorder="1" applyAlignment="1">
      <alignment horizontal="center" vertical="center" wrapText="1"/>
    </xf>
    <xf numFmtId="0" fontId="21" fillId="4" borderId="1" xfId="40" applyFont="1" applyFill="1" applyBorder="1" applyAlignment="1">
      <alignment horizontal="center" vertical="center" textRotation="90" wrapText="1"/>
    </xf>
    <xf numFmtId="0" fontId="13" fillId="9" borderId="5" xfId="0" applyFont="1" applyFill="1" applyBorder="1" applyAlignment="1">
      <alignment horizontal="center" vertical="center" wrapText="1"/>
    </xf>
    <xf numFmtId="0" fontId="13" fillId="9" borderId="91" xfId="0" applyFont="1" applyFill="1" applyBorder="1" applyAlignment="1">
      <alignment horizontal="center" vertical="center" wrapText="1"/>
    </xf>
    <xf numFmtId="1" fontId="11" fillId="2" borderId="152" xfId="8" applyNumberFormat="1" applyFont="1" applyFill="1" applyBorder="1" applyAlignment="1">
      <alignment horizontal="center" vertical="center"/>
    </xf>
    <xf numFmtId="1" fontId="11" fillId="2" borderId="0" xfId="8" applyNumberFormat="1" applyFont="1" applyFill="1" applyBorder="1" applyAlignment="1">
      <alignment horizontal="center" vertical="center"/>
    </xf>
    <xf numFmtId="0" fontId="14" fillId="2" borderId="152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2" borderId="153" xfId="0" applyFont="1" applyFill="1" applyBorder="1" applyAlignment="1">
      <alignment horizontal="center" vertical="center" wrapText="1"/>
    </xf>
    <xf numFmtId="0" fontId="14" fillId="2" borderId="77" xfId="0" applyFont="1" applyFill="1" applyBorder="1" applyAlignment="1">
      <alignment horizontal="center" vertical="center" wrapText="1"/>
    </xf>
    <xf numFmtId="190" fontId="11" fillId="2" borderId="98" xfId="0" applyNumberFormat="1" applyFont="1" applyFill="1" applyBorder="1" applyAlignment="1">
      <alignment horizontal="center" wrapText="1"/>
    </xf>
    <xf numFmtId="190" fontId="11" fillId="2" borderId="7" xfId="0" applyNumberFormat="1" applyFont="1" applyFill="1" applyBorder="1" applyAlignment="1">
      <alignment horizontal="center" wrapText="1"/>
    </xf>
    <xf numFmtId="190" fontId="11" fillId="2" borderId="80" xfId="0" applyNumberFormat="1" applyFont="1" applyFill="1" applyBorder="1" applyAlignment="1">
      <alignment horizontal="center" wrapText="1"/>
    </xf>
    <xf numFmtId="168" fontId="21" fillId="0" borderId="1" xfId="3" applyFont="1" applyBorder="1" applyAlignment="1">
      <alignment horizontal="center" vertical="center"/>
    </xf>
    <xf numFmtId="0" fontId="13" fillId="15" borderId="33" xfId="0" applyFont="1" applyFill="1" applyBorder="1" applyAlignment="1">
      <alignment horizontal="center" vertical="center" wrapText="1"/>
    </xf>
    <xf numFmtId="0" fontId="13" fillId="15" borderId="44" xfId="0" applyFont="1" applyFill="1" applyBorder="1" applyAlignment="1">
      <alignment horizontal="center" vertical="center" wrapText="1"/>
    </xf>
    <xf numFmtId="0" fontId="13" fillId="14" borderId="33" xfId="0" applyFont="1" applyFill="1" applyBorder="1" applyAlignment="1">
      <alignment horizontal="center" vertical="center" wrapText="1"/>
    </xf>
    <xf numFmtId="0" fontId="13" fillId="14" borderId="44" xfId="0" applyFont="1" applyFill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 wrapText="1"/>
    </xf>
    <xf numFmtId="43" fontId="11" fillId="0" borderId="29" xfId="1" applyFont="1" applyFill="1" applyBorder="1" applyAlignment="1">
      <alignment horizontal="center" vertical="center" wrapText="1"/>
    </xf>
    <xf numFmtId="43" fontId="11" fillId="0" borderId="45" xfId="1" applyFont="1" applyFill="1" applyBorder="1" applyAlignment="1">
      <alignment horizontal="center" vertical="center" wrapText="1"/>
    </xf>
    <xf numFmtId="43" fontId="15" fillId="0" borderId="1" xfId="1" applyFont="1" applyFill="1" applyBorder="1" applyAlignment="1">
      <alignment horizontal="center" vertical="center" wrapText="1"/>
    </xf>
    <xf numFmtId="43" fontId="11" fillId="0" borderId="30" xfId="1" applyFont="1" applyFill="1" applyBorder="1" applyAlignment="1">
      <alignment horizontal="center" vertical="center" wrapText="1"/>
    </xf>
    <xf numFmtId="43" fontId="11" fillId="0" borderId="43" xfId="1" applyFont="1" applyFill="1" applyBorder="1" applyAlignment="1">
      <alignment horizontal="center" vertical="center" wrapText="1"/>
    </xf>
    <xf numFmtId="168" fontId="15" fillId="13" borderId="47" xfId="3" applyFont="1" applyFill="1" applyBorder="1" applyAlignment="1">
      <alignment horizontal="center" vertical="center" wrapText="1"/>
    </xf>
    <xf numFmtId="168" fontId="15" fillId="13" borderId="39" xfId="3" applyFont="1" applyFill="1" applyBorder="1" applyAlignment="1">
      <alignment horizontal="center" vertical="center" wrapText="1"/>
    </xf>
    <xf numFmtId="43" fontId="15" fillId="0" borderId="32" xfId="1" applyFont="1" applyFill="1" applyBorder="1" applyAlignment="1">
      <alignment horizontal="center" vertical="center" wrapText="1"/>
    </xf>
    <xf numFmtId="43" fontId="15" fillId="0" borderId="44" xfId="1" applyFont="1" applyFill="1" applyBorder="1" applyAlignment="1">
      <alignment horizontal="center" vertical="center" wrapText="1"/>
    </xf>
    <xf numFmtId="43" fontId="11" fillId="0" borderId="32" xfId="1" applyFont="1" applyFill="1" applyBorder="1" applyAlignment="1">
      <alignment horizontal="center" vertical="center" wrapText="1"/>
    </xf>
    <xf numFmtId="43" fontId="11" fillId="0" borderId="44" xfId="1" applyFont="1" applyFill="1" applyBorder="1" applyAlignment="1">
      <alignment horizontal="center" vertical="center" wrapText="1"/>
    </xf>
    <xf numFmtId="43" fontId="15" fillId="0" borderId="47" xfId="1" applyFont="1" applyFill="1" applyBorder="1" applyAlignment="1">
      <alignment horizontal="center" vertical="center" wrapText="1"/>
    </xf>
    <xf numFmtId="43" fontId="15" fillId="0" borderId="39" xfId="1" applyFont="1" applyFill="1" applyBorder="1" applyAlignment="1">
      <alignment horizontal="center" vertical="center" wrapText="1"/>
    </xf>
    <xf numFmtId="0" fontId="15" fillId="11" borderId="34" xfId="7" applyFont="1" applyFill="1" applyBorder="1" applyAlignment="1">
      <alignment horizontal="center" vertical="center" wrapText="1"/>
    </xf>
    <xf numFmtId="0" fontId="15" fillId="11" borderId="4" xfId="7" applyFont="1" applyFill="1" applyBorder="1" applyAlignment="1">
      <alignment horizontal="center" vertical="center" wrapText="1"/>
    </xf>
    <xf numFmtId="0" fontId="15" fillId="11" borderId="35" xfId="7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43" fontId="13" fillId="3" borderId="2" xfId="1" applyFont="1" applyFill="1" applyBorder="1" applyAlignment="1">
      <alignment horizontal="center" vertical="center" wrapText="1"/>
    </xf>
    <xf numFmtId="43" fontId="13" fillId="3" borderId="4" xfId="1" applyFont="1" applyFill="1" applyBorder="1" applyAlignment="1">
      <alignment horizontal="center" vertical="center" wrapText="1"/>
    </xf>
    <xf numFmtId="1" fontId="14" fillId="0" borderId="21" xfId="1" applyNumberFormat="1" applyFont="1" applyFill="1" applyBorder="1" applyAlignment="1">
      <alignment horizontal="center" vertical="center" wrapText="1"/>
    </xf>
    <xf numFmtId="43" fontId="11" fillId="0" borderId="2" xfId="1" applyFont="1" applyFill="1" applyBorder="1" applyAlignment="1">
      <alignment horizontal="center" vertical="center" wrapText="1"/>
    </xf>
    <xf numFmtId="43" fontId="11" fillId="0" borderId="46" xfId="1" applyFont="1" applyFill="1" applyBorder="1" applyAlignment="1">
      <alignment horizontal="center" vertical="center" wrapText="1"/>
    </xf>
    <xf numFmtId="43" fontId="11" fillId="0" borderId="50" xfId="1" applyFont="1" applyFill="1" applyBorder="1" applyAlignment="1">
      <alignment horizontal="center" vertical="center" wrapText="1"/>
    </xf>
    <xf numFmtId="43" fontId="11" fillId="0" borderId="35" xfId="1" applyFont="1" applyFill="1" applyBorder="1" applyAlignment="1">
      <alignment horizontal="center" vertical="center" wrapText="1"/>
    </xf>
    <xf numFmtId="43" fontId="11" fillId="0" borderId="36" xfId="1" applyFont="1" applyFill="1" applyBorder="1" applyAlignment="1">
      <alignment horizontal="center" vertical="center" wrapText="1"/>
    </xf>
    <xf numFmtId="43" fontId="11" fillId="0" borderId="49" xfId="1" applyFont="1" applyFill="1" applyBorder="1" applyAlignment="1">
      <alignment horizontal="center" vertical="center" wrapText="1"/>
    </xf>
    <xf numFmtId="43" fontId="15" fillId="0" borderId="38" xfId="1" applyFont="1" applyFill="1" applyBorder="1" applyAlignment="1">
      <alignment horizontal="center" vertical="center" wrapText="1"/>
    </xf>
    <xf numFmtId="43" fontId="15" fillId="0" borderId="48" xfId="1" applyFont="1" applyFill="1" applyBorder="1" applyAlignment="1">
      <alignment horizontal="center" vertical="center" wrapText="1"/>
    </xf>
    <xf numFmtId="168" fontId="15" fillId="13" borderId="38" xfId="3" applyFont="1" applyFill="1" applyBorder="1" applyAlignment="1">
      <alignment horizontal="center" vertical="center" wrapText="1"/>
    </xf>
    <xf numFmtId="168" fontId="15" fillId="13" borderId="48" xfId="3" applyFont="1" applyFill="1" applyBorder="1" applyAlignment="1">
      <alignment horizontal="center" vertical="center" wrapText="1"/>
    </xf>
    <xf numFmtId="168" fontId="15" fillId="20" borderId="38" xfId="3" applyFont="1" applyFill="1" applyBorder="1" applyAlignment="1">
      <alignment horizontal="center" vertical="center" wrapText="1"/>
    </xf>
    <xf numFmtId="168" fontId="15" fillId="20" borderId="48" xfId="3" applyFont="1" applyFill="1" applyBorder="1" applyAlignment="1">
      <alignment horizontal="center" vertical="center" wrapText="1"/>
    </xf>
    <xf numFmtId="168" fontId="15" fillId="20" borderId="47" xfId="3" applyFont="1" applyFill="1" applyBorder="1" applyAlignment="1">
      <alignment horizontal="center" vertical="center" wrapText="1"/>
    </xf>
    <xf numFmtId="168" fontId="15" fillId="20" borderId="39" xfId="3" applyFont="1" applyFill="1" applyBorder="1" applyAlignment="1">
      <alignment horizontal="center" vertical="center" wrapText="1"/>
    </xf>
    <xf numFmtId="0" fontId="13" fillId="9" borderId="52" xfId="0" applyFont="1" applyFill="1" applyBorder="1" applyAlignment="1">
      <alignment horizontal="center" vertical="center" wrapText="1"/>
    </xf>
    <xf numFmtId="0" fontId="13" fillId="9" borderId="21" xfId="0" applyFont="1" applyFill="1" applyBorder="1" applyAlignment="1">
      <alignment horizontal="center" vertical="center" wrapText="1"/>
    </xf>
    <xf numFmtId="0" fontId="13" fillId="9" borderId="53" xfId="0" applyFont="1" applyFill="1" applyBorder="1" applyAlignment="1">
      <alignment horizontal="center" vertical="center" wrapText="1"/>
    </xf>
    <xf numFmtId="0" fontId="13" fillId="0" borderId="91" xfId="0" applyFont="1" applyBorder="1" applyAlignment="1">
      <alignment horizontal="center" vertical="center" wrapText="1"/>
    </xf>
    <xf numFmtId="43" fontId="13" fillId="3" borderId="49" xfId="1" applyFont="1" applyFill="1" applyBorder="1" applyAlignment="1">
      <alignment horizontal="center" vertical="center" wrapText="1"/>
    </xf>
    <xf numFmtId="43" fontId="13" fillId="3" borderId="21" xfId="1" applyFont="1" applyFill="1" applyBorder="1" applyAlignment="1">
      <alignment horizontal="center" vertical="center" wrapText="1"/>
    </xf>
    <xf numFmtId="43" fontId="13" fillId="3" borderId="36" xfId="1" applyFont="1" applyFill="1" applyBorder="1" applyAlignment="1">
      <alignment horizontal="center" vertical="center" wrapText="1"/>
    </xf>
    <xf numFmtId="0" fontId="18" fillId="19" borderId="5" xfId="7" applyFont="1" applyFill="1" applyBorder="1" applyAlignment="1">
      <alignment horizontal="center" vertical="center" wrapText="1"/>
    </xf>
    <xf numFmtId="0" fontId="18" fillId="19" borderId="6" xfId="7" applyFont="1" applyFill="1" applyBorder="1" applyAlignment="1">
      <alignment horizontal="center" vertical="center" wrapText="1"/>
    </xf>
    <xf numFmtId="0" fontId="18" fillId="19" borderId="38" xfId="7" applyFont="1" applyFill="1" applyBorder="1" applyAlignment="1">
      <alignment horizontal="center" vertical="center" wrapText="1"/>
    </xf>
    <xf numFmtId="0" fontId="13" fillId="17" borderId="52" xfId="0" applyFont="1" applyFill="1" applyBorder="1" applyAlignment="1">
      <alignment horizontal="center" vertical="center" wrapText="1"/>
    </xf>
    <xf numFmtId="0" fontId="13" fillId="17" borderId="21" xfId="0" applyFont="1" applyFill="1" applyBorder="1" applyAlignment="1">
      <alignment horizontal="center" vertical="center" wrapText="1"/>
    </xf>
    <xf numFmtId="0" fontId="13" fillId="17" borderId="53" xfId="0" applyFont="1" applyFill="1" applyBorder="1" applyAlignment="1">
      <alignment horizontal="center" vertical="center" wrapText="1"/>
    </xf>
    <xf numFmtId="0" fontId="11" fillId="0" borderId="49" xfId="7" applyFont="1" applyBorder="1" applyAlignment="1">
      <alignment horizontal="center" vertical="center" wrapText="1"/>
    </xf>
    <xf numFmtId="0" fontId="11" fillId="0" borderId="21" xfId="7" applyFont="1" applyBorder="1" applyAlignment="1">
      <alignment horizontal="center" vertical="center" wrapText="1"/>
    </xf>
    <xf numFmtId="0" fontId="11" fillId="0" borderId="53" xfId="7" applyFont="1" applyBorder="1" applyAlignment="1">
      <alignment horizontal="center" vertical="center" wrapText="1"/>
    </xf>
    <xf numFmtId="0" fontId="18" fillId="16" borderId="90" xfId="0" applyFont="1" applyFill="1" applyBorder="1" applyAlignment="1">
      <alignment horizontal="center" vertical="center" wrapText="1"/>
    </xf>
    <xf numFmtId="0" fontId="13" fillId="12" borderId="91" xfId="0" applyFont="1" applyFill="1" applyBorder="1" applyAlignment="1">
      <alignment horizontal="center" vertical="center"/>
    </xf>
    <xf numFmtId="0" fontId="11" fillId="0" borderId="50" xfId="7" applyFont="1" applyBorder="1" applyAlignment="1">
      <alignment horizontal="center" vertical="center" wrapText="1"/>
    </xf>
    <xf numFmtId="0" fontId="11" fillId="0" borderId="54" xfId="7" applyFont="1" applyBorder="1" applyAlignment="1">
      <alignment horizontal="center" vertical="center" wrapText="1"/>
    </xf>
    <xf numFmtId="0" fontId="11" fillId="0" borderId="92" xfId="7" applyFont="1" applyBorder="1" applyAlignment="1">
      <alignment horizontal="center" vertical="center" wrapText="1"/>
    </xf>
    <xf numFmtId="0" fontId="11" fillId="0" borderId="4" xfId="7" applyFont="1" applyBorder="1" applyAlignment="1">
      <alignment horizontal="center" vertical="center" wrapText="1"/>
    </xf>
    <xf numFmtId="0" fontId="11" fillId="0" borderId="93" xfId="7" applyFont="1" applyBorder="1" applyAlignment="1">
      <alignment horizontal="center" vertical="center" wrapText="1"/>
    </xf>
    <xf numFmtId="44" fontId="11" fillId="2" borderId="0" xfId="0" applyNumberFormat="1" applyFont="1" applyFill="1" applyAlignment="1">
      <alignment vertical="center" wrapText="1"/>
    </xf>
  </cellXfs>
  <cellStyles count="51">
    <cellStyle name="BodyStyle" xfId="22" xr:uid="{99FC4163-75E5-4938-B60D-A7B234B05968}"/>
    <cellStyle name="Currency" xfId="23" xr:uid="{FB2DE4DD-75C5-4B54-AADB-EC409356A7EC}"/>
    <cellStyle name="HeaderStyle" xfId="5" xr:uid="{3FB4BBC7-8D2B-48E7-A371-E8A50DA839C6}"/>
    <cellStyle name="MainTitle" xfId="13" xr:uid="{73BD86AF-5AA7-4A4C-A6B1-FDBB5BE80B3E}"/>
    <cellStyle name="Millares" xfId="1" builtinId="3"/>
    <cellStyle name="Millares [0] 2" xfId="17" xr:uid="{1F5797EF-3088-4450-9300-3126F6766517}"/>
    <cellStyle name="Millares [0] 2 2" xfId="36" xr:uid="{2F50D0E0-CE9B-4008-9E5D-E382A1A2B139}"/>
    <cellStyle name="Millares [0] 2 3" xfId="33" xr:uid="{108BFE2C-43E0-4EC4-803E-E043FF30A5C1}"/>
    <cellStyle name="Millares 2" xfId="8" xr:uid="{B42BA5ED-C6A0-4FB6-8590-71AE714F4224}"/>
    <cellStyle name="Millares 2 2" xfId="31" xr:uid="{FEDF30EC-1A3A-4093-8C83-197360E5DEE1}"/>
    <cellStyle name="Millares 2 2 9" xfId="49" xr:uid="{654762D3-6350-4951-BDC0-32DB0032D69E}"/>
    <cellStyle name="Millares 2 3" xfId="28" xr:uid="{DCBAB347-71C5-42B2-A743-CCEA84962B28}"/>
    <cellStyle name="Millares 2 4" xfId="16" xr:uid="{873FDCB8-84FF-4CE7-B98E-E68B87D4940E}"/>
    <cellStyle name="Millares 3" xfId="18" xr:uid="{13B0D9B7-EB1E-4999-BEDC-11B0760CB34E}"/>
    <cellStyle name="Millares 4" xfId="48" xr:uid="{821EC7B7-7022-4219-A206-A5CE80E8E106}"/>
    <cellStyle name="Millares 7" xfId="47" xr:uid="{6AEAC8EC-B317-4839-AC2B-B237BCB50CBC}"/>
    <cellStyle name="Moneda" xfId="3" builtinId="4"/>
    <cellStyle name="Moneda [0]" xfId="4" builtinId="7"/>
    <cellStyle name="Moneda [0] 2" xfId="14" xr:uid="{6E278FE9-B06C-43B1-8DA9-8DBAEC528901}"/>
    <cellStyle name="Moneda [0] 2 2" xfId="34" xr:uid="{8A94662F-EE73-453E-A5BB-B7B44DBE48EF}"/>
    <cellStyle name="Moneda [0] 3" xfId="26" xr:uid="{24382F59-CA8D-4365-A05F-AB065FABE0EF}"/>
    <cellStyle name="Moneda [0] 4" xfId="11" xr:uid="{1DDA1B2B-7416-4B86-B65D-C840613DB6D8}"/>
    <cellStyle name="Moneda 2" xfId="19" xr:uid="{F2E42617-260A-419D-8B0B-5224479FDED6}"/>
    <cellStyle name="Moneda 2 2" xfId="29" xr:uid="{2B6DECAB-C6D8-4A55-B67A-6CAF91825FD2}"/>
    <cellStyle name="Moneda 2 2 2" xfId="50" xr:uid="{1ECBBE37-439B-4D86-AB0E-2FBDE4E0E827}"/>
    <cellStyle name="Moneda 3" xfId="24" xr:uid="{B403AE3D-1CBB-4ABB-8A86-2853984596D6}"/>
    <cellStyle name="Moneda 3 3" xfId="46" xr:uid="{E479E172-895A-426D-A4BB-A7BD901A0760}"/>
    <cellStyle name="Moneda 4" xfId="20" xr:uid="{2D058C9F-E826-4854-9658-72240B38FFB0}"/>
    <cellStyle name="Moneda 4 6" xfId="45" xr:uid="{DEF4C9D6-E443-4953-8EEC-62BB2385688E}"/>
    <cellStyle name="Moneda 5" xfId="37" xr:uid="{B6D63BBA-C19D-48E1-B883-B9FFCC8C24D5}"/>
    <cellStyle name="Moneda 6" xfId="38" xr:uid="{E2A7B129-4598-4CA3-8958-0CCF5CB5CBD6}"/>
    <cellStyle name="Moneda 7" xfId="44" xr:uid="{17B89F34-E691-495E-9D7B-697CA4A49A2E}"/>
    <cellStyle name="Normal" xfId="0" builtinId="0"/>
    <cellStyle name="Normal 11 2" xfId="39" xr:uid="{4D13C2EA-EA4A-4928-B73F-9F427B0DAF30}"/>
    <cellStyle name="Normal 2" xfId="2" xr:uid="{00000000-0005-0000-0000-000002000000}"/>
    <cellStyle name="Normal 2 19" xfId="40" xr:uid="{62B3B210-77A6-4DC4-9EB3-B7A8948D99D1}"/>
    <cellStyle name="Normal 2 2" xfId="12" xr:uid="{91E3F06C-8C7D-458B-8579-830D72161326}"/>
    <cellStyle name="Normal 2 2 2" xfId="42" xr:uid="{6ADA74FC-8BFE-4C90-843A-B65CE6894E10}"/>
    <cellStyle name="Normal 2 9" xfId="41" xr:uid="{3011D551-CFC1-4214-AB07-61E732092651}"/>
    <cellStyle name="Normal 3" xfId="30" xr:uid="{5A692ADB-27FD-4C94-818F-910FF0441B50}"/>
    <cellStyle name="Normal 4" xfId="25" xr:uid="{2EA7D20E-4A08-4581-A0AE-4A256D352EA6}"/>
    <cellStyle name="Normal 5" xfId="10" xr:uid="{78AE172C-0536-41AF-8110-1F2332DCD0F8}"/>
    <cellStyle name="Normal_ESTUDIO DE CONVENIENCIA 2004 ASEO -ANEXOS(1)" xfId="7" xr:uid="{C67CB29A-1ED7-4EAF-8882-71CE4C03D089}"/>
    <cellStyle name="Numeric" xfId="21" xr:uid="{137B53AE-85BE-4C45-9B6F-252BB0DEE067}"/>
    <cellStyle name="Porcentaje" xfId="9" builtinId="5"/>
    <cellStyle name="Porcentaje 2" xfId="6" xr:uid="{C805D242-E314-4D17-9A8C-B1AE68A0197B}"/>
    <cellStyle name="Porcentaje 2 2" xfId="35" xr:uid="{44B0FB13-49B1-409B-91ED-BC825EB5C19D}"/>
    <cellStyle name="Porcentaje 2 3" xfId="32" xr:uid="{F6298474-E9C3-4BE9-A7E4-7CEE4834EF10}"/>
    <cellStyle name="Porcentaje 3" xfId="27" xr:uid="{8571D4DB-8C60-4CE5-99D4-BFA204653D3F}"/>
    <cellStyle name="Porcentaje 4" xfId="15" xr:uid="{1D92F3FC-6F6C-4A4E-95EB-A7100BF446CD}"/>
    <cellStyle name="Porcentual 2 2 2" xfId="43" xr:uid="{3EFCF826-A4D6-4C4D-BE20-B33CE7B3AD7E}"/>
  </cellStyles>
  <dxfs count="0"/>
  <tableStyles count="0" defaultTableStyle="TableStyleMedium2" defaultPivotStyle="PivotStyleLight16"/>
  <colors>
    <mruColors>
      <color rgb="FF0C92A4"/>
      <color rgb="FF036CAD"/>
      <color rgb="FF2586FB"/>
      <color rgb="FF23AE02"/>
      <color rgb="FF5B9C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409A4-C259-4FBD-AEBE-7D36786960FB}">
  <sheetPr>
    <tabColor rgb="FF0C92A4"/>
  </sheetPr>
  <dimension ref="A1:AO45"/>
  <sheetViews>
    <sheetView topLeftCell="A20" zoomScale="85" zoomScaleNormal="85" workbookViewId="0">
      <selection activeCell="E25" sqref="E25"/>
    </sheetView>
  </sheetViews>
  <sheetFormatPr defaultColWidth="7.28515625" defaultRowHeight="12"/>
  <cols>
    <col min="1" max="1" width="3.85546875" style="27" bestFit="1" customWidth="1"/>
    <col min="2" max="2" width="49.85546875" style="32" bestFit="1" customWidth="1"/>
    <col min="3" max="3" width="9.42578125" style="32" bestFit="1" customWidth="1"/>
    <col min="4" max="8" width="20.5703125" style="71" customWidth="1"/>
    <col min="9" max="9" width="23.5703125" style="71" customWidth="1"/>
    <col min="10" max="10" width="1.42578125" style="3" hidden="1" customWidth="1"/>
    <col min="11" max="11" width="20.7109375" style="3" hidden="1" customWidth="1"/>
    <col min="12" max="13" width="15.28515625" style="4" hidden="1" customWidth="1"/>
    <col min="14" max="14" width="15.85546875" style="4" hidden="1" customWidth="1"/>
    <col min="15" max="16" width="14.7109375" style="4" bestFit="1" customWidth="1"/>
    <col min="17" max="17" width="16.7109375" style="4" customWidth="1"/>
    <col min="18" max="18" width="15.85546875" style="4" bestFit="1" customWidth="1"/>
    <col min="19" max="19" width="2.28515625" style="4" hidden="1" customWidth="1"/>
    <col min="20" max="21" width="11.42578125" style="4" hidden="1" customWidth="1"/>
    <col min="22" max="22" width="20.5703125" style="4" customWidth="1"/>
    <col min="23" max="23" width="1" style="4" hidden="1" customWidth="1"/>
    <col min="24" max="24" width="19.28515625" style="4" bestFit="1" customWidth="1"/>
    <col min="25" max="25" width="21" style="4" bestFit="1" customWidth="1"/>
    <col min="26" max="26" width="2" style="4" hidden="1" customWidth="1"/>
    <col min="27" max="27" width="11.42578125" style="4" hidden="1" customWidth="1"/>
    <col min="28" max="28" width="1.140625" style="4" hidden="1" customWidth="1"/>
    <col min="29" max="30" width="17.140625" style="4" hidden="1" customWidth="1"/>
    <col min="31" max="31" width="0.28515625" style="4" customWidth="1"/>
    <col min="32" max="32" width="19" style="4" customWidth="1"/>
    <col min="33" max="33" width="14.28515625" style="4" bestFit="1" customWidth="1"/>
    <col min="34" max="34" width="17.140625" style="4" bestFit="1" customWidth="1"/>
    <col min="35" max="35" width="18.85546875" style="4" customWidth="1"/>
    <col min="36" max="36" width="2.5703125" style="32" hidden="1" customWidth="1"/>
    <col min="37" max="37" width="13.140625" style="4" bestFit="1" customWidth="1"/>
    <col min="38" max="38" width="13.7109375" style="4" customWidth="1"/>
    <col min="39" max="39" width="17.140625" style="4" bestFit="1" customWidth="1"/>
    <col min="40" max="40" width="20.28515625" style="4" bestFit="1" customWidth="1"/>
    <col min="41" max="41" width="20.140625" style="4" customWidth="1"/>
    <col min="42" max="206" width="11.42578125" style="4" customWidth="1"/>
    <col min="207" max="16384" width="7.28515625" style="4"/>
  </cols>
  <sheetData>
    <row r="1" spans="1:40" ht="12.75" thickBot="1">
      <c r="A1" s="1"/>
      <c r="B1" s="1"/>
      <c r="C1" s="2"/>
      <c r="D1" s="2"/>
      <c r="E1" s="2"/>
      <c r="F1" s="2"/>
      <c r="G1" s="2"/>
      <c r="H1" s="2"/>
      <c r="I1" s="2"/>
      <c r="M1" s="90">
        <f>+I8/5</f>
        <v>14284383.066800002</v>
      </c>
    </row>
    <row r="2" spans="1:40">
      <c r="A2" s="1"/>
      <c r="B2" s="1"/>
      <c r="C2" s="2"/>
      <c r="D2" s="64"/>
      <c r="E2" s="2"/>
      <c r="F2" s="2"/>
      <c r="G2" s="2"/>
      <c r="H2" s="2"/>
      <c r="I2" s="2"/>
      <c r="K2" s="4"/>
      <c r="W2" s="705" t="s">
        <v>0</v>
      </c>
      <c r="X2" s="706"/>
      <c r="Y2" s="707"/>
      <c r="AC2" s="705" t="s">
        <v>1</v>
      </c>
      <c r="AD2" s="707"/>
    </row>
    <row r="3" spans="1:40" s="5" customFormat="1" ht="12.75" thickBot="1">
      <c r="S3" s="6"/>
      <c r="V3" s="7"/>
      <c r="W3" s="708"/>
      <c r="X3" s="709"/>
      <c r="Y3" s="710"/>
      <c r="Z3" s="6"/>
      <c r="AC3" s="708"/>
      <c r="AD3" s="710"/>
      <c r="AF3" s="5">
        <f>5/30</f>
        <v>0.16666666666666666</v>
      </c>
      <c r="AG3" s="5">
        <f>AF3+5</f>
        <v>5.166666666666667</v>
      </c>
      <c r="AH3" s="5">
        <f>AG3*30</f>
        <v>155</v>
      </c>
      <c r="AI3" s="5" t="s">
        <v>2</v>
      </c>
      <c r="AJ3" s="6"/>
    </row>
    <row r="4" spans="1:40" s="5" customFormat="1" ht="15" customHeight="1" thickBot="1">
      <c r="A4" s="711" t="s">
        <v>3</v>
      </c>
      <c r="B4" s="712"/>
      <c r="C4" s="712"/>
      <c r="K4" s="116"/>
      <c r="L4" s="711" t="s">
        <v>4</v>
      </c>
      <c r="M4" s="712"/>
      <c r="N4" s="713"/>
      <c r="O4" s="137"/>
      <c r="P4" s="711" t="s">
        <v>5</v>
      </c>
      <c r="Q4" s="712"/>
      <c r="R4" s="713"/>
      <c r="S4" s="33"/>
      <c r="Z4" s="33"/>
      <c r="AB4" s="8"/>
      <c r="AJ4" s="6"/>
    </row>
    <row r="5" spans="1:40" s="8" customFormat="1" ht="77.25" customHeight="1" thickBot="1">
      <c r="A5" s="714" t="s">
        <v>6</v>
      </c>
      <c r="B5" s="715"/>
      <c r="C5" s="715"/>
      <c r="D5" s="323" t="s">
        <v>7</v>
      </c>
      <c r="E5" s="324" t="s">
        <v>8</v>
      </c>
      <c r="F5" s="323" t="s">
        <v>9</v>
      </c>
      <c r="G5" s="324" t="s">
        <v>10</v>
      </c>
      <c r="H5" s="323" t="s">
        <v>11</v>
      </c>
      <c r="I5" s="325" t="s">
        <v>12</v>
      </c>
      <c r="J5" s="171"/>
      <c r="K5" s="172" t="s">
        <v>13</v>
      </c>
      <c r="L5" s="173" t="s">
        <v>14</v>
      </c>
      <c r="M5" s="174" t="s">
        <v>15</v>
      </c>
      <c r="N5" s="175" t="s">
        <v>16</v>
      </c>
      <c r="O5" s="336" t="s">
        <v>13</v>
      </c>
      <c r="P5" s="337" t="s">
        <v>14</v>
      </c>
      <c r="Q5" s="338" t="s">
        <v>15</v>
      </c>
      <c r="R5" s="339" t="s">
        <v>16</v>
      </c>
      <c r="S5" s="340"/>
      <c r="T5" s="341"/>
      <c r="U5" s="342"/>
      <c r="V5" s="343"/>
      <c r="W5" s="342"/>
      <c r="X5" s="700" t="s">
        <v>17</v>
      </c>
      <c r="Y5" s="701"/>
      <c r="Z5" s="340"/>
      <c r="AA5" s="343"/>
      <c r="AB5" s="342"/>
      <c r="AC5" s="702" t="s">
        <v>18</v>
      </c>
      <c r="AD5" s="702"/>
      <c r="AE5" s="341"/>
      <c r="AF5" s="729" t="s">
        <v>19</v>
      </c>
      <c r="AG5" s="730"/>
      <c r="AH5" s="730"/>
      <c r="AI5" s="731"/>
      <c r="AJ5" s="344"/>
      <c r="AK5" s="687" t="s">
        <v>20</v>
      </c>
      <c r="AL5" s="688"/>
      <c r="AM5" s="688"/>
      <c r="AN5" s="689"/>
    </row>
    <row r="6" spans="1:40" s="8" customFormat="1" ht="37.5" customHeight="1" thickTop="1" thickBot="1">
      <c r="A6" s="180" t="s">
        <v>21</v>
      </c>
      <c r="B6" s="181" t="s">
        <v>22</v>
      </c>
      <c r="C6" s="182" t="s">
        <v>23</v>
      </c>
      <c r="D6" s="320" t="s">
        <v>24</v>
      </c>
      <c r="E6" s="321" t="s">
        <v>24</v>
      </c>
      <c r="F6" s="320" t="s">
        <v>24</v>
      </c>
      <c r="G6" s="321" t="s">
        <v>24</v>
      </c>
      <c r="H6" s="320" t="s">
        <v>24</v>
      </c>
      <c r="I6" s="322" t="s">
        <v>24</v>
      </c>
      <c r="J6" s="305"/>
      <c r="K6" s="44" t="s">
        <v>25</v>
      </c>
      <c r="L6" s="44" t="s">
        <v>25</v>
      </c>
      <c r="M6" s="44" t="s">
        <v>25</v>
      </c>
      <c r="N6" s="44" t="s">
        <v>25</v>
      </c>
      <c r="O6" s="326" t="s">
        <v>26</v>
      </c>
      <c r="P6" s="326" t="s">
        <v>26</v>
      </c>
      <c r="Q6" s="326" t="s">
        <v>26</v>
      </c>
      <c r="R6" s="326" t="s">
        <v>26</v>
      </c>
      <c r="S6" s="327"/>
      <c r="T6" s="328"/>
      <c r="U6" s="144"/>
      <c r="V6" s="329" t="s">
        <v>27</v>
      </c>
      <c r="W6" s="330"/>
      <c r="X6" s="283" t="s">
        <v>24</v>
      </c>
      <c r="Y6" s="283" t="s">
        <v>24</v>
      </c>
      <c r="Z6" s="40"/>
      <c r="AA6" s="10" t="s">
        <v>27</v>
      </c>
      <c r="AB6" s="9"/>
      <c r="AC6" s="693" t="s">
        <v>28</v>
      </c>
      <c r="AD6" s="694" t="s">
        <v>29</v>
      </c>
      <c r="AE6" s="4"/>
      <c r="AF6" s="284" t="s">
        <v>30</v>
      </c>
      <c r="AG6" s="331" t="s">
        <v>31</v>
      </c>
      <c r="AH6" s="331" t="s">
        <v>32</v>
      </c>
      <c r="AI6" s="332" t="s">
        <v>33</v>
      </c>
      <c r="AJ6" s="40"/>
      <c r="AK6" s="333" t="s">
        <v>30</v>
      </c>
      <c r="AL6" s="334" t="s">
        <v>31</v>
      </c>
      <c r="AM6" s="334" t="s">
        <v>32</v>
      </c>
      <c r="AN6" s="335" t="s">
        <v>34</v>
      </c>
    </row>
    <row r="7" spans="1:40" s="8" customFormat="1" ht="11.25" customHeight="1" thickBot="1">
      <c r="A7" s="716" t="s">
        <v>35</v>
      </c>
      <c r="B7" s="717"/>
      <c r="C7" s="717"/>
      <c r="D7" s="319"/>
      <c r="E7" s="317"/>
      <c r="F7" s="317"/>
      <c r="G7" s="317"/>
      <c r="H7" s="317"/>
      <c r="I7" s="318"/>
      <c r="J7" s="305"/>
      <c r="K7" s="67"/>
      <c r="L7" s="67"/>
      <c r="M7" s="67"/>
      <c r="N7" s="67"/>
      <c r="O7" s="67"/>
      <c r="P7" s="67"/>
      <c r="Q7" s="67"/>
      <c r="R7" s="67"/>
      <c r="S7" s="67"/>
      <c r="T7" s="100"/>
      <c r="U7" s="26"/>
      <c r="V7" s="158"/>
      <c r="W7" s="160"/>
      <c r="X7" s="138"/>
      <c r="Y7" s="139"/>
      <c r="Z7" s="40"/>
      <c r="AA7" s="10"/>
      <c r="AB7" s="9"/>
      <c r="AC7" s="690"/>
      <c r="AD7" s="691"/>
      <c r="AE7" s="4"/>
      <c r="AF7" s="102"/>
      <c r="AG7" s="100"/>
      <c r="AH7" s="100"/>
      <c r="AI7" s="103"/>
      <c r="AJ7" s="10"/>
      <c r="AK7" s="102"/>
      <c r="AL7" s="100"/>
      <c r="AM7" s="100"/>
      <c r="AN7" s="156"/>
    </row>
    <row r="8" spans="1:40" s="61" customFormat="1" ht="12.75" thickBot="1">
      <c r="A8" s="17" t="s">
        <v>36</v>
      </c>
      <c r="B8" s="18" t="s">
        <v>37</v>
      </c>
      <c r="C8" s="19">
        <v>1</v>
      </c>
      <c r="D8" s="195">
        <v>89958000</v>
      </c>
      <c r="E8" s="70">
        <v>96638535</v>
      </c>
      <c r="F8" s="194">
        <v>67721716</v>
      </c>
      <c r="G8" s="70">
        <v>86856000</v>
      </c>
      <c r="H8" s="194">
        <v>76177365</v>
      </c>
      <c r="I8" s="306">
        <f>67891554.5*5.2%+67891554.5</f>
        <v>71421915.334000006</v>
      </c>
      <c r="J8" s="50"/>
      <c r="K8" s="148" t="e">
        <f>AVERAGE(#REF!,#REF!,#REF!,#REF!,#REF!,#REF!)</f>
        <v>#REF!</v>
      </c>
      <c r="L8" s="149" t="e">
        <f>+MEDIAN(#REF!,#REF!,#REF!,#REF!,#REF!,#REF!)</f>
        <v>#REF!</v>
      </c>
      <c r="M8" s="150" t="e">
        <f>GEOMEAN(#REF!,#REF!,#REF!,#REF!,#REF!,#REF!)</f>
        <v>#REF!</v>
      </c>
      <c r="N8" s="151" t="e">
        <f>HARMEAN(#REF!,#REF!,#REF!,#REF!,#REF!,#REF!)</f>
        <v>#REF!</v>
      </c>
      <c r="O8" s="152">
        <f t="shared" ref="O8:O16" si="0">AVERAGE(D8,E8,F8,G8,H8,I8)</f>
        <v>81462255.222333327</v>
      </c>
      <c r="P8" s="149">
        <f t="shared" ref="P8:P16" si="1">MEDIAN(D8,E8,F8,G8,H8,I8)</f>
        <v>81516682.5</v>
      </c>
      <c r="Q8" s="150">
        <f t="shared" ref="Q8:Q16" si="2">GEOMEAN(D8,E8,F8,G8,H8,I8)</f>
        <v>80797121.939437374</v>
      </c>
      <c r="R8" s="151">
        <f t="shared" ref="R8:R16" si="3">HARMEAN(D8,E8,F8,G8,H8,I8)</f>
        <v>80136421.055370733</v>
      </c>
      <c r="S8" s="56"/>
      <c r="T8" s="8"/>
      <c r="U8" s="57"/>
      <c r="V8" s="57">
        <f>MIN(P8:R8)</f>
        <v>80136421.055370733</v>
      </c>
      <c r="W8" s="58"/>
      <c r="X8" s="168">
        <f>+((MIN(P8:R8)*3)+SMALL(P8:R8,2)+SMALL(P8:R8,3))/5</f>
        <v>80544613.521109909</v>
      </c>
      <c r="Y8" s="155">
        <f t="shared" ref="Y8:Y16" si="4">ROUND((X8*C8),0)</f>
        <v>80544614</v>
      </c>
      <c r="Z8" s="40"/>
      <c r="AA8" s="10">
        <f>MIN(O8:Q8)</f>
        <v>80797121.939437374</v>
      </c>
      <c r="AB8" s="9"/>
      <c r="AC8" s="690">
        <f>+((MIN(O8:Q8)*3)+SMALL(O8:Q8,2)+SMALL(O8:Q8,3))/5</f>
        <v>81074060.708129078</v>
      </c>
      <c r="AD8" s="691">
        <f t="shared" ref="AD8:AD16" si="5">ROUND((AC8*C8),0)</f>
        <v>81074061</v>
      </c>
      <c r="AE8" s="4"/>
      <c r="AF8" s="153">
        <f>ROUND((+Y8/155)*30,0)</f>
        <v>15589280</v>
      </c>
      <c r="AG8" s="154">
        <f>ROUND((+AF8*3%),0)</f>
        <v>467678</v>
      </c>
      <c r="AH8" s="101">
        <f>ROUND((+AF8+AG8),0)</f>
        <v>16056958</v>
      </c>
      <c r="AI8" s="155">
        <f>ROUNDUP((+AH8*12),0)</f>
        <v>192683496</v>
      </c>
      <c r="AJ8" s="193"/>
      <c r="AK8" s="153">
        <f>(+AI8/360)*30</f>
        <v>16056958</v>
      </c>
      <c r="AL8" s="101">
        <f>ROUND((+AK8*3%),0)</f>
        <v>481709</v>
      </c>
      <c r="AM8" s="101">
        <f>ROUND((+AK8+AL8),0)</f>
        <v>16538667</v>
      </c>
      <c r="AN8" s="98">
        <f>ROUND((+AM8*12),0)</f>
        <v>198464004</v>
      </c>
    </row>
    <row r="9" spans="1:40" s="61" customFormat="1" ht="12.75" thickBot="1">
      <c r="A9" s="17" t="s">
        <v>38</v>
      </c>
      <c r="B9" s="18" t="s">
        <v>39</v>
      </c>
      <c r="C9" s="19">
        <v>1</v>
      </c>
      <c r="D9" s="195">
        <v>44462000</v>
      </c>
      <c r="E9" s="70">
        <v>75700179</v>
      </c>
      <c r="F9" s="194">
        <v>56434764</v>
      </c>
      <c r="G9" s="70">
        <v>70570500</v>
      </c>
      <c r="H9" s="194">
        <v>48112020</v>
      </c>
      <c r="I9" s="306">
        <f>59250053.5*5.2%+59250053.5</f>
        <v>62331056.281999998</v>
      </c>
      <c r="J9" s="50"/>
      <c r="K9" s="196" t="e">
        <f>AVERAGE(#REF!,#REF!,#REF!,#REF!,#REF!,#REF!)</f>
        <v>#REF!</v>
      </c>
      <c r="L9" s="197" t="e">
        <f>+MEDIAN(#REF!,#REF!,#REF!,#REF!,#REF!,#REF!)</f>
        <v>#REF!</v>
      </c>
      <c r="M9" s="52" t="e">
        <f>GEOMEAN(#REF!,#REF!,#REF!,#REF!,#REF!,#REF!)</f>
        <v>#REF!</v>
      </c>
      <c r="N9" s="198" t="e">
        <f>HARMEAN(#REF!,#REF!,#REF!,#REF!,#REF!,#REF!)</f>
        <v>#REF!</v>
      </c>
      <c r="O9" s="199">
        <f t="shared" si="0"/>
        <v>59601753.21366667</v>
      </c>
      <c r="P9" s="197">
        <f t="shared" si="1"/>
        <v>59382910.141000003</v>
      </c>
      <c r="Q9" s="52">
        <f t="shared" si="2"/>
        <v>58528713.895162106</v>
      </c>
      <c r="R9" s="198">
        <f t="shared" si="3"/>
        <v>57460741.286416359</v>
      </c>
      <c r="S9" s="56"/>
      <c r="T9" s="8"/>
      <c r="U9" s="57"/>
      <c r="V9" s="57">
        <f t="shared" ref="V9:V16" si="6">MIN(P9:R9)</f>
        <v>57460741.286416359</v>
      </c>
      <c r="W9" s="58"/>
      <c r="X9" s="167">
        <f t="shared" ref="X9:X21" si="7">+((MIN(P9:R9)*3)+SMALL(P9:R9,2)+SMALL(P9:R9,3))/5</f>
        <v>58058769.579082236</v>
      </c>
      <c r="Y9" s="98">
        <f t="shared" si="4"/>
        <v>58058770</v>
      </c>
      <c r="Z9" s="40"/>
      <c r="AA9" s="10">
        <f t="shared" ref="AA9:AA21" si="8">MIN(O9:Q9)</f>
        <v>58528713.895162106</v>
      </c>
      <c r="AB9" s="9"/>
      <c r="AC9" s="690">
        <f t="shared" ref="AC9:AC21" si="9">+((MIN(O9:Q9)*3)+SMALL(O9:Q9,2)+SMALL(O9:Q9,3))/5</f>
        <v>58914161.008030593</v>
      </c>
      <c r="AD9" s="691">
        <f t="shared" si="5"/>
        <v>58914161</v>
      </c>
      <c r="AE9" s="4"/>
      <c r="AF9" s="104">
        <f t="shared" ref="AF9:AF21" si="10">ROUND((+Y9/155)*30,0)</f>
        <v>11237181</v>
      </c>
      <c r="AG9" s="96">
        <f t="shared" ref="AG9:AG21" si="11">ROUND((+AF9*3%),0)</f>
        <v>337115</v>
      </c>
      <c r="AH9" s="101">
        <f t="shared" ref="AH9:AH21" si="12">ROUND((+AF9+AG9),0)</f>
        <v>11574296</v>
      </c>
      <c r="AI9" s="155">
        <f t="shared" ref="AI9:AI21" si="13">ROUNDUP((+AH9*12),0)</f>
        <v>138891552</v>
      </c>
      <c r="AJ9" s="193"/>
      <c r="AK9" s="153">
        <f t="shared" ref="AK9:AK21" si="14">(+AI9/360)*30</f>
        <v>11574296</v>
      </c>
      <c r="AL9" s="101">
        <f t="shared" ref="AL9:AL21" si="15">ROUND((+AK9*3%),0)</f>
        <v>347229</v>
      </c>
      <c r="AM9" s="101">
        <f t="shared" ref="AM9:AM21" si="16">ROUND((+AK9+AL9),0)</f>
        <v>11921525</v>
      </c>
      <c r="AN9" s="98">
        <f t="shared" ref="AN9:AN21" si="17">ROUND((+AM9*12),0)</f>
        <v>143058300</v>
      </c>
    </row>
    <row r="10" spans="1:40" s="61" customFormat="1" ht="12.75" thickBot="1">
      <c r="A10" s="17" t="s">
        <v>40</v>
      </c>
      <c r="B10" s="18" t="s">
        <v>41</v>
      </c>
      <c r="C10" s="19">
        <v>1</v>
      </c>
      <c r="D10" s="195">
        <v>54285000</v>
      </c>
      <c r="E10" s="70">
        <v>94218857</v>
      </c>
      <c r="F10" s="194">
        <v>52672446</v>
      </c>
      <c r="G10" s="70">
        <v>70570500</v>
      </c>
      <c r="H10" s="194">
        <v>48112020</v>
      </c>
      <c r="I10" s="306">
        <f>57981847*5.2%+57981847</f>
        <v>60996903.044</v>
      </c>
      <c r="J10" s="50"/>
      <c r="K10" s="196" t="e">
        <f>AVERAGE(#REF!,#REF!,#REF!,#REF!,#REF!,#REF!)</f>
        <v>#REF!</v>
      </c>
      <c r="L10" s="197" t="e">
        <f>+MEDIAN(#REF!,#REF!,#REF!,#REF!,#REF!,#REF!)</f>
        <v>#REF!</v>
      </c>
      <c r="M10" s="52" t="e">
        <f>GEOMEAN(#REF!,#REF!,#REF!,#REF!,#REF!,#REF!)</f>
        <v>#REF!</v>
      </c>
      <c r="N10" s="198" t="e">
        <f>HARMEAN(#REF!,#REF!,#REF!,#REF!,#REF!,#REF!)</f>
        <v>#REF!</v>
      </c>
      <c r="O10" s="199">
        <f t="shared" si="0"/>
        <v>63475954.340666674</v>
      </c>
      <c r="P10" s="197">
        <f t="shared" si="1"/>
        <v>57640951.522</v>
      </c>
      <c r="Q10" s="52">
        <f t="shared" si="2"/>
        <v>61815533.513867624</v>
      </c>
      <c r="R10" s="198">
        <f t="shared" si="3"/>
        <v>60380719.326040745</v>
      </c>
      <c r="S10" s="56"/>
      <c r="T10" s="8"/>
      <c r="U10" s="57"/>
      <c r="V10" s="57">
        <f t="shared" si="6"/>
        <v>57640951.522</v>
      </c>
      <c r="W10" s="58"/>
      <c r="X10" s="167">
        <f t="shared" si="7"/>
        <v>59023821.481181666</v>
      </c>
      <c r="Y10" s="98">
        <f t="shared" si="4"/>
        <v>59023821</v>
      </c>
      <c r="Z10" s="40"/>
      <c r="AA10" s="10">
        <f t="shared" si="8"/>
        <v>57640951.522</v>
      </c>
      <c r="AB10" s="9"/>
      <c r="AC10" s="690">
        <f t="shared" si="9"/>
        <v>59642868.484106854</v>
      </c>
      <c r="AD10" s="691">
        <f t="shared" si="5"/>
        <v>59642868</v>
      </c>
      <c r="AE10" s="4"/>
      <c r="AF10" s="104">
        <f>ROUND((+Y10/155)*30,0)</f>
        <v>11423965</v>
      </c>
      <c r="AG10" s="96">
        <f t="shared" si="11"/>
        <v>342719</v>
      </c>
      <c r="AH10" s="101">
        <f t="shared" si="12"/>
        <v>11766684</v>
      </c>
      <c r="AI10" s="155">
        <f t="shared" si="13"/>
        <v>141200208</v>
      </c>
      <c r="AJ10" s="193"/>
      <c r="AK10" s="153">
        <f t="shared" si="14"/>
        <v>11766684</v>
      </c>
      <c r="AL10" s="101">
        <f t="shared" si="15"/>
        <v>353001</v>
      </c>
      <c r="AM10" s="101">
        <f t="shared" si="16"/>
        <v>12119685</v>
      </c>
      <c r="AN10" s="98">
        <f t="shared" si="17"/>
        <v>145436220</v>
      </c>
    </row>
    <row r="11" spans="1:40" s="61" customFormat="1" ht="12.75" thickBot="1">
      <c r="A11" s="17" t="s">
        <v>42</v>
      </c>
      <c r="B11" s="18" t="s">
        <v>43</v>
      </c>
      <c r="C11" s="19">
        <v>1</v>
      </c>
      <c r="D11" s="195">
        <v>37224000</v>
      </c>
      <c r="E11" s="70">
        <v>79978427</v>
      </c>
      <c r="F11" s="194">
        <v>52672446</v>
      </c>
      <c r="G11" s="70">
        <v>70570500</v>
      </c>
      <c r="H11" s="194">
        <v>48112020</v>
      </c>
      <c r="I11" s="306">
        <f>57981847*5.2%+57981847</f>
        <v>60996903.044</v>
      </c>
      <c r="J11" s="50"/>
      <c r="K11" s="196" t="e">
        <f>AVERAGE(#REF!,#REF!,#REF!,#REF!,#REF!,#REF!)</f>
        <v>#REF!</v>
      </c>
      <c r="L11" s="197" t="e">
        <f>+MEDIAN(#REF!,#REF!,#REF!,#REF!,#REF!,#REF!)</f>
        <v>#REF!</v>
      </c>
      <c r="M11" s="52" t="e">
        <f>GEOMEAN(#REF!,#REF!,#REF!,#REF!,#REF!,#REF!)</f>
        <v>#REF!</v>
      </c>
      <c r="N11" s="198" t="e">
        <f>HARMEAN(#REF!,#REF!,#REF!,#REF!,#REF!,#REF!)</f>
        <v>#REF!</v>
      </c>
      <c r="O11" s="199">
        <f t="shared" si="0"/>
        <v>58259049.340666674</v>
      </c>
      <c r="P11" s="197">
        <f t="shared" si="1"/>
        <v>56834674.522</v>
      </c>
      <c r="Q11" s="52">
        <f t="shared" si="2"/>
        <v>56484244.715883605</v>
      </c>
      <c r="R11" s="198">
        <f t="shared" si="3"/>
        <v>54693451.378295667</v>
      </c>
      <c r="S11" s="56"/>
      <c r="T11" s="8"/>
      <c r="U11" s="57"/>
      <c r="V11" s="57">
        <f t="shared" si="6"/>
        <v>54693451.378295667</v>
      </c>
      <c r="W11" s="58"/>
      <c r="X11" s="167">
        <f t="shared" si="7"/>
        <v>55479854.674554124</v>
      </c>
      <c r="Y11" s="98">
        <f t="shared" si="4"/>
        <v>55479855</v>
      </c>
      <c r="Z11" s="40"/>
      <c r="AA11" s="10">
        <f t="shared" si="8"/>
        <v>56484244.715883605</v>
      </c>
      <c r="AB11" s="9"/>
      <c r="AC11" s="690">
        <f t="shared" si="9"/>
        <v>56909291.602063492</v>
      </c>
      <c r="AD11" s="691">
        <f t="shared" si="5"/>
        <v>56909292</v>
      </c>
      <c r="AE11" s="4"/>
      <c r="AF11" s="104">
        <f t="shared" si="10"/>
        <v>10738036</v>
      </c>
      <c r="AG11" s="96">
        <f t="shared" si="11"/>
        <v>322141</v>
      </c>
      <c r="AH11" s="101">
        <f t="shared" si="12"/>
        <v>11060177</v>
      </c>
      <c r="AI11" s="155">
        <f t="shared" si="13"/>
        <v>132722124</v>
      </c>
      <c r="AJ11" s="193"/>
      <c r="AK11" s="153">
        <f t="shared" si="14"/>
        <v>11060177</v>
      </c>
      <c r="AL11" s="101">
        <f t="shared" si="15"/>
        <v>331805</v>
      </c>
      <c r="AM11" s="101">
        <f t="shared" si="16"/>
        <v>11391982</v>
      </c>
      <c r="AN11" s="98">
        <f t="shared" si="17"/>
        <v>136703784</v>
      </c>
    </row>
    <row r="12" spans="1:40" s="61" customFormat="1" ht="12.75" thickBot="1">
      <c r="A12" s="17" t="s">
        <v>44</v>
      </c>
      <c r="B12" s="278" t="s">
        <v>45</v>
      </c>
      <c r="C12" s="19">
        <v>1</v>
      </c>
      <c r="D12" s="195">
        <v>44462000</v>
      </c>
      <c r="E12" s="70">
        <v>89309986</v>
      </c>
      <c r="F12" s="194">
        <v>33860858</v>
      </c>
      <c r="G12" s="70">
        <v>65142000</v>
      </c>
      <c r="H12" s="194">
        <v>40093350</v>
      </c>
      <c r="I12" s="306">
        <f>45456713.5*5.2%+45456713.5</f>
        <v>47820462.601999998</v>
      </c>
      <c r="J12" s="50"/>
      <c r="K12" s="196" t="e">
        <f>AVERAGE(#REF!,#REF!,#REF!,#REF!,#REF!,#REF!)</f>
        <v>#REF!</v>
      </c>
      <c r="L12" s="197" t="e">
        <f>+MEDIAN(#REF!,#REF!,#REF!,#REF!,#REF!,#REF!)</f>
        <v>#REF!</v>
      </c>
      <c r="M12" s="52" t="e">
        <f>GEOMEAN(#REF!,#REF!,#REF!,#REF!,#REF!,#REF!)</f>
        <v>#REF!</v>
      </c>
      <c r="N12" s="198" t="e">
        <f>HARMEAN(#REF!,#REF!,#REF!,#REF!,#REF!,#REF!)</f>
        <v>#REF!</v>
      </c>
      <c r="O12" s="199">
        <f t="shared" si="0"/>
        <v>53448109.433666669</v>
      </c>
      <c r="P12" s="197">
        <f t="shared" si="1"/>
        <v>46141231.300999999</v>
      </c>
      <c r="Q12" s="52">
        <f t="shared" si="2"/>
        <v>50604487.410375349</v>
      </c>
      <c r="R12" s="198">
        <f t="shared" si="3"/>
        <v>48221774.664500937</v>
      </c>
      <c r="S12" s="56"/>
      <c r="T12" s="8"/>
      <c r="U12" s="57"/>
      <c r="V12" s="57">
        <f t="shared" si="6"/>
        <v>46141231.300999999</v>
      </c>
      <c r="W12" s="58"/>
      <c r="X12" s="167">
        <f t="shared" si="7"/>
        <v>47449991.19557526</v>
      </c>
      <c r="Y12" s="98">
        <f t="shared" si="4"/>
        <v>47449991</v>
      </c>
      <c r="Z12" s="40"/>
      <c r="AA12" s="10">
        <f t="shared" si="8"/>
        <v>46141231.300999999</v>
      </c>
      <c r="AB12" s="9"/>
      <c r="AC12" s="690">
        <f t="shared" si="9"/>
        <v>48495258.149408408</v>
      </c>
      <c r="AD12" s="691">
        <f t="shared" si="5"/>
        <v>48495258</v>
      </c>
      <c r="AE12" s="4"/>
      <c r="AF12" s="104">
        <f t="shared" si="10"/>
        <v>9183869</v>
      </c>
      <c r="AG12" s="96">
        <f t="shared" si="11"/>
        <v>275516</v>
      </c>
      <c r="AH12" s="101">
        <f t="shared" si="12"/>
        <v>9459385</v>
      </c>
      <c r="AI12" s="155">
        <f t="shared" si="13"/>
        <v>113512620</v>
      </c>
      <c r="AJ12" s="193"/>
      <c r="AK12" s="153">
        <f t="shared" si="14"/>
        <v>9459385</v>
      </c>
      <c r="AL12" s="101">
        <f t="shared" si="15"/>
        <v>283782</v>
      </c>
      <c r="AM12" s="101">
        <f t="shared" si="16"/>
        <v>9743167</v>
      </c>
      <c r="AN12" s="98">
        <f t="shared" si="17"/>
        <v>116918004</v>
      </c>
    </row>
    <row r="13" spans="1:40" s="61" customFormat="1" ht="12.75" thickBot="1">
      <c r="A13" s="17" t="s">
        <v>46</v>
      </c>
      <c r="B13" s="278" t="s">
        <v>47</v>
      </c>
      <c r="C13" s="19">
        <v>0.5</v>
      </c>
      <c r="D13" s="195">
        <v>22231000</v>
      </c>
      <c r="E13" s="70">
        <v>39057431</v>
      </c>
      <c r="F13" s="194">
        <v>20692747</v>
      </c>
      <c r="G13" s="70">
        <v>37999500</v>
      </c>
      <c r="H13" s="194">
        <v>12028005</v>
      </c>
      <c r="I13" s="306">
        <f>38077677*5.2%+38077677</f>
        <v>40057716.204000004</v>
      </c>
      <c r="J13" s="50"/>
      <c r="K13" s="196" t="e">
        <f>AVERAGE(#REF!,#REF!,#REF!,#REF!,#REF!,#REF!)</f>
        <v>#REF!</v>
      </c>
      <c r="L13" s="197" t="e">
        <f>+MEDIAN(#REF!,#REF!,#REF!,#REF!,#REF!,#REF!)</f>
        <v>#REF!</v>
      </c>
      <c r="M13" s="52" t="e">
        <f>GEOMEAN(#REF!,#REF!,#REF!,#REF!,#REF!,#REF!)</f>
        <v>#REF!</v>
      </c>
      <c r="N13" s="198" t="e">
        <f>HARMEAN(#REF!,#REF!,#REF!,#REF!,#REF!,#REF!)</f>
        <v>#REF!</v>
      </c>
      <c r="O13" s="199">
        <f t="shared" si="0"/>
        <v>28677733.200666666</v>
      </c>
      <c r="P13" s="197">
        <f t="shared" si="1"/>
        <v>30115250</v>
      </c>
      <c r="Q13" s="52">
        <f t="shared" si="2"/>
        <v>26273811.597725764</v>
      </c>
      <c r="R13" s="198">
        <f t="shared" si="3"/>
        <v>23684420.43663229</v>
      </c>
      <c r="S13" s="56"/>
      <c r="T13" s="8"/>
      <c r="U13" s="57"/>
      <c r="V13" s="57">
        <f t="shared" si="6"/>
        <v>23684420.43663229</v>
      </c>
      <c r="W13" s="58"/>
      <c r="X13" s="167">
        <f t="shared" si="7"/>
        <v>25488464.581524529</v>
      </c>
      <c r="Y13" s="98">
        <f t="shared" si="4"/>
        <v>12744232</v>
      </c>
      <c r="Z13" s="40"/>
      <c r="AA13" s="10">
        <f t="shared" si="8"/>
        <v>26273811.597725764</v>
      </c>
      <c r="AB13" s="9"/>
      <c r="AC13" s="690">
        <f t="shared" si="9"/>
        <v>27522883.598768793</v>
      </c>
      <c r="AD13" s="691">
        <f t="shared" si="5"/>
        <v>13761442</v>
      </c>
      <c r="AE13" s="4"/>
      <c r="AF13" s="104">
        <f t="shared" si="10"/>
        <v>2466626</v>
      </c>
      <c r="AG13" s="96">
        <f t="shared" si="11"/>
        <v>73999</v>
      </c>
      <c r="AH13" s="200">
        <f t="shared" si="12"/>
        <v>2540625</v>
      </c>
      <c r="AI13" s="155">
        <f t="shared" si="13"/>
        <v>30487500</v>
      </c>
      <c r="AJ13" s="193"/>
      <c r="AK13" s="153">
        <f t="shared" si="14"/>
        <v>2540625</v>
      </c>
      <c r="AL13" s="101">
        <f t="shared" si="15"/>
        <v>76219</v>
      </c>
      <c r="AM13" s="101">
        <f t="shared" si="16"/>
        <v>2616844</v>
      </c>
      <c r="AN13" s="98">
        <f t="shared" si="17"/>
        <v>31402128</v>
      </c>
    </row>
    <row r="14" spans="1:40" s="61" customFormat="1" ht="12.75" thickBot="1">
      <c r="A14" s="17" t="s">
        <v>48</v>
      </c>
      <c r="B14" s="18" t="s">
        <v>49</v>
      </c>
      <c r="C14" s="19">
        <v>1</v>
      </c>
      <c r="D14" s="195">
        <v>295724000</v>
      </c>
      <c r="E14" s="70">
        <v>663927214</v>
      </c>
      <c r="F14" s="194">
        <v>256004839</v>
      </c>
      <c r="G14" s="70">
        <v>635134500</v>
      </c>
      <c r="H14" s="194">
        <v>338788808</v>
      </c>
      <c r="I14" s="306">
        <f>291617612*5.2%+291617612</f>
        <v>306781727.824</v>
      </c>
      <c r="J14" s="50"/>
      <c r="K14" s="196" t="e">
        <f>AVERAGE(#REF!,#REF!,#REF!,#REF!,#REF!,#REF!)</f>
        <v>#REF!</v>
      </c>
      <c r="L14" s="197" t="e">
        <f>+MEDIAN(#REF!,#REF!,#REF!,#REF!,#REF!,#REF!)</f>
        <v>#REF!</v>
      </c>
      <c r="M14" s="52" t="e">
        <f>GEOMEAN(#REF!,#REF!,#REF!,#REF!,#REF!,#REF!)</f>
        <v>#REF!</v>
      </c>
      <c r="N14" s="198" t="e">
        <f>HARMEAN(#REF!,#REF!,#REF!,#REF!,#REF!,#REF!)</f>
        <v>#REF!</v>
      </c>
      <c r="O14" s="199">
        <f t="shared" si="0"/>
        <v>416060181.47066665</v>
      </c>
      <c r="P14" s="197">
        <f t="shared" si="1"/>
        <v>322785267.912</v>
      </c>
      <c r="Q14" s="52">
        <f t="shared" si="2"/>
        <v>386200866.73000365</v>
      </c>
      <c r="R14" s="198">
        <f t="shared" si="3"/>
        <v>361888237.98333818</v>
      </c>
      <c r="S14" s="56"/>
      <c r="T14" s="8"/>
      <c r="U14" s="57"/>
      <c r="V14" s="57">
        <f t="shared" si="6"/>
        <v>322785267.912</v>
      </c>
      <c r="W14" s="58"/>
      <c r="X14" s="167">
        <f t="shared" si="7"/>
        <v>343288981.68986833</v>
      </c>
      <c r="Y14" s="98">
        <f t="shared" si="4"/>
        <v>343288982</v>
      </c>
      <c r="Z14" s="40"/>
      <c r="AA14" s="10">
        <f t="shared" si="8"/>
        <v>322785267.912</v>
      </c>
      <c r="AB14" s="9"/>
      <c r="AC14" s="690">
        <f t="shared" si="9"/>
        <v>354123370.38733405</v>
      </c>
      <c r="AD14" s="691">
        <f t="shared" si="5"/>
        <v>354123370</v>
      </c>
      <c r="AE14" s="4"/>
      <c r="AF14" s="104">
        <f t="shared" si="10"/>
        <v>66443029</v>
      </c>
      <c r="AG14" s="201">
        <f t="shared" si="11"/>
        <v>1993291</v>
      </c>
      <c r="AH14" s="58">
        <f t="shared" si="12"/>
        <v>68436320</v>
      </c>
      <c r="AI14" s="202">
        <f t="shared" si="13"/>
        <v>821235840</v>
      </c>
      <c r="AJ14" s="193"/>
      <c r="AK14" s="153">
        <f t="shared" si="14"/>
        <v>68436320</v>
      </c>
      <c r="AL14" s="101">
        <f t="shared" si="15"/>
        <v>2053090</v>
      </c>
      <c r="AM14" s="101">
        <f t="shared" si="16"/>
        <v>70489410</v>
      </c>
      <c r="AN14" s="98">
        <f t="shared" si="17"/>
        <v>845872920</v>
      </c>
    </row>
    <row r="15" spans="1:40" s="61" customFormat="1" ht="12.75" thickBot="1">
      <c r="A15" s="17" t="s">
        <v>50</v>
      </c>
      <c r="B15" s="18" t="s">
        <v>51</v>
      </c>
      <c r="C15" s="19">
        <v>1</v>
      </c>
      <c r="D15" s="195">
        <v>282282000</v>
      </c>
      <c r="E15" s="70">
        <v>621205092</v>
      </c>
      <c r="F15" s="194">
        <v>264114693</v>
      </c>
      <c r="G15" s="70">
        <v>635134500</v>
      </c>
      <c r="H15" s="194">
        <v>342437302</v>
      </c>
      <c r="I15" s="306">
        <f>296377438.5*5.2%+296377438.5</f>
        <v>311789065.30199999</v>
      </c>
      <c r="J15" s="50"/>
      <c r="K15" s="196" t="e">
        <f>AVERAGE(#REF!,#REF!,#REF!,#REF!,#REF!,#REF!)</f>
        <v>#REF!</v>
      </c>
      <c r="L15" s="197" t="e">
        <f>+MEDIAN(#REF!,#REF!,#REF!,#REF!,#REF!,#REF!)</f>
        <v>#REF!</v>
      </c>
      <c r="M15" s="52" t="e">
        <f>GEOMEAN(#REF!,#REF!,#REF!,#REF!,#REF!,#REF!)</f>
        <v>#REF!</v>
      </c>
      <c r="N15" s="198" t="e">
        <f>HARMEAN(#REF!,#REF!,#REF!,#REF!,#REF!,#REF!)</f>
        <v>#REF!</v>
      </c>
      <c r="O15" s="199">
        <f t="shared" si="0"/>
        <v>409493775.38366669</v>
      </c>
      <c r="P15" s="197">
        <f t="shared" si="1"/>
        <v>327113183.65100002</v>
      </c>
      <c r="Q15" s="52">
        <f t="shared" si="2"/>
        <v>382680560.09550607</v>
      </c>
      <c r="R15" s="198">
        <f t="shared" si="3"/>
        <v>360564490.31933063</v>
      </c>
      <c r="S15" s="56"/>
      <c r="T15" s="8"/>
      <c r="U15" s="57"/>
      <c r="V15" s="57">
        <f t="shared" si="6"/>
        <v>327113183.65100002</v>
      </c>
      <c r="W15" s="58"/>
      <c r="X15" s="167">
        <f t="shared" si="7"/>
        <v>344916920.27356738</v>
      </c>
      <c r="Y15" s="98">
        <f t="shared" si="4"/>
        <v>344916920</v>
      </c>
      <c r="Z15" s="40"/>
      <c r="AA15" s="10">
        <f t="shared" si="8"/>
        <v>327113183.65100002</v>
      </c>
      <c r="AB15" s="9"/>
      <c r="AC15" s="690">
        <f t="shared" si="9"/>
        <v>354702777.28643459</v>
      </c>
      <c r="AD15" s="691">
        <f t="shared" si="5"/>
        <v>354702777</v>
      </c>
      <c r="AE15" s="4"/>
      <c r="AF15" s="104">
        <f t="shared" si="10"/>
        <v>66758114</v>
      </c>
      <c r="AG15" s="96">
        <f t="shared" si="11"/>
        <v>2002743</v>
      </c>
      <c r="AH15" s="101">
        <f t="shared" si="12"/>
        <v>68760857</v>
      </c>
      <c r="AI15" s="155">
        <f t="shared" si="13"/>
        <v>825130284</v>
      </c>
      <c r="AJ15" s="193"/>
      <c r="AK15" s="153">
        <f t="shared" si="14"/>
        <v>68760857</v>
      </c>
      <c r="AL15" s="101">
        <f t="shared" si="15"/>
        <v>2062826</v>
      </c>
      <c r="AM15" s="101">
        <f t="shared" si="16"/>
        <v>70823683</v>
      </c>
      <c r="AN15" s="98">
        <f t="shared" si="17"/>
        <v>849884196</v>
      </c>
    </row>
    <row r="16" spans="1:40" s="61" customFormat="1" ht="12.75" thickBot="1">
      <c r="A16" s="17" t="s">
        <v>52</v>
      </c>
      <c r="B16" s="18" t="s">
        <v>53</v>
      </c>
      <c r="C16" s="19">
        <v>1</v>
      </c>
      <c r="D16" s="195">
        <v>10081500</v>
      </c>
      <c r="E16" s="70">
        <v>21099238</v>
      </c>
      <c r="F16" s="194">
        <v>26336223</v>
      </c>
      <c r="G16" s="70">
        <v>24428250</v>
      </c>
      <c r="H16" s="194">
        <v>14032673</v>
      </c>
      <c r="I16" s="306">
        <f>19294368.5*5.2%+19294368.5</f>
        <v>20297675.662</v>
      </c>
      <c r="J16" s="50"/>
      <c r="K16" s="208" t="e">
        <f>AVERAGE(#REF!,#REF!,#REF!,#REF!,#REF!,#REF!)</f>
        <v>#REF!</v>
      </c>
      <c r="L16" s="209" t="e">
        <f>+MEDIAN(#REF!,#REF!,#REF!,#REF!,#REF!,#REF!)</f>
        <v>#REF!</v>
      </c>
      <c r="M16" s="210" t="e">
        <f>GEOMEAN(#REF!,#REF!,#REF!,#REF!,#REF!,#REF!)</f>
        <v>#REF!</v>
      </c>
      <c r="N16" s="211" t="e">
        <f>HARMEAN(#REF!,#REF!,#REF!,#REF!,#REF!,#REF!)</f>
        <v>#REF!</v>
      </c>
      <c r="O16" s="212">
        <f t="shared" si="0"/>
        <v>19379259.943666667</v>
      </c>
      <c r="P16" s="209">
        <f t="shared" si="1"/>
        <v>20698456.831</v>
      </c>
      <c r="Q16" s="210">
        <f t="shared" si="2"/>
        <v>18413545.289605737</v>
      </c>
      <c r="R16" s="211">
        <f t="shared" si="3"/>
        <v>17339918.957399961</v>
      </c>
      <c r="S16" s="56"/>
      <c r="T16" s="8"/>
      <c r="U16" s="57"/>
      <c r="V16" s="57">
        <f t="shared" si="6"/>
        <v>17339918.957399961</v>
      </c>
      <c r="W16" s="58"/>
      <c r="X16" s="213">
        <f>+((MIN(P16:R16)*3)+SMALL(P16:R16,2)+SMALL(P16:R16,3))/5</f>
        <v>18226351.798561122</v>
      </c>
      <c r="Y16" s="214">
        <f t="shared" si="4"/>
        <v>18226352</v>
      </c>
      <c r="Z16" s="40"/>
      <c r="AA16" s="10">
        <f t="shared" si="8"/>
        <v>18413545.289605737</v>
      </c>
      <c r="AB16" s="9"/>
      <c r="AC16" s="690">
        <f t="shared" si="9"/>
        <v>19063670.528696775</v>
      </c>
      <c r="AD16" s="691">
        <f t="shared" si="5"/>
        <v>19063671</v>
      </c>
      <c r="AE16" s="4"/>
      <c r="AF16" s="215">
        <f t="shared" si="10"/>
        <v>3527681</v>
      </c>
      <c r="AG16" s="216">
        <f t="shared" si="11"/>
        <v>105830</v>
      </c>
      <c r="AH16" s="101">
        <f t="shared" si="12"/>
        <v>3633511</v>
      </c>
      <c r="AI16" s="155">
        <f t="shared" si="13"/>
        <v>43602132</v>
      </c>
      <c r="AJ16" s="193"/>
      <c r="AK16" s="153">
        <f t="shared" si="14"/>
        <v>3633511</v>
      </c>
      <c r="AL16" s="101">
        <f t="shared" si="15"/>
        <v>109005</v>
      </c>
      <c r="AM16" s="101">
        <f t="shared" si="16"/>
        <v>3742516</v>
      </c>
      <c r="AN16" s="214">
        <f t="shared" si="17"/>
        <v>44910192</v>
      </c>
    </row>
    <row r="17" spans="1:41" s="61" customFormat="1" ht="10.5" customHeight="1" thickBot="1">
      <c r="A17" s="718" t="s">
        <v>54</v>
      </c>
      <c r="B17" s="719"/>
      <c r="C17" s="719"/>
      <c r="D17" s="69"/>
      <c r="E17" s="70"/>
      <c r="F17" s="70"/>
      <c r="G17" s="70"/>
      <c r="H17" s="70"/>
      <c r="I17" s="306"/>
      <c r="J17" s="266"/>
      <c r="K17" s="140"/>
      <c r="L17" s="140"/>
      <c r="M17" s="140"/>
      <c r="N17" s="140"/>
      <c r="O17" s="140"/>
      <c r="P17" s="140"/>
      <c r="Q17" s="140"/>
      <c r="R17" s="140"/>
      <c r="S17" s="159"/>
      <c r="T17" s="100"/>
      <c r="U17" s="143"/>
      <c r="V17" s="143"/>
      <c r="W17" s="164"/>
      <c r="X17" s="167"/>
      <c r="Y17" s="98"/>
      <c r="Z17" s="40"/>
      <c r="AA17" s="10"/>
      <c r="AB17" s="9"/>
      <c r="AC17" s="690"/>
      <c r="AD17" s="691"/>
      <c r="AE17" s="4"/>
      <c r="AF17" s="141"/>
      <c r="AG17" s="142"/>
      <c r="AH17" s="101"/>
      <c r="AI17" s="155"/>
      <c r="AJ17" s="193"/>
      <c r="AK17" s="153">
        <f t="shared" si="14"/>
        <v>0</v>
      </c>
      <c r="AL17" s="101"/>
      <c r="AM17" s="101"/>
      <c r="AN17" s="98"/>
    </row>
    <row r="18" spans="1:41" s="61" customFormat="1" ht="49.5" customHeight="1" thickBot="1">
      <c r="A18" s="17" t="s">
        <v>55</v>
      </c>
      <c r="B18" s="18" t="s">
        <v>56</v>
      </c>
      <c r="C18" s="19">
        <v>1</v>
      </c>
      <c r="D18" s="195">
        <v>140000000</v>
      </c>
      <c r="E18" s="70">
        <v>104826920</v>
      </c>
      <c r="F18" s="194">
        <v>82056000</v>
      </c>
      <c r="G18" s="70">
        <v>125941200</v>
      </c>
      <c r="H18" s="194">
        <v>31020000</v>
      </c>
      <c r="I18" s="306">
        <f>108372917*5.2%+108372917</f>
        <v>114008308.684</v>
      </c>
      <c r="J18" s="50"/>
      <c r="K18" s="148" t="e">
        <f>AVERAGE(#REF!,#REF!,#REF!,#REF!,#REF!,#REF!)</f>
        <v>#REF!</v>
      </c>
      <c r="L18" s="149" t="e">
        <f>+MEDIAN(#REF!,#REF!,#REF!,#REF!,#REF!,#REF!)</f>
        <v>#REF!</v>
      </c>
      <c r="M18" s="150" t="e">
        <f>GEOMEAN(#REF!,#REF!,#REF!,#REF!,#REF!,#REF!)</f>
        <v>#REF!</v>
      </c>
      <c r="N18" s="151" t="e">
        <f>HARMEAN(#REF!,#REF!,#REF!,#REF!,#REF!,#REF!)</f>
        <v>#REF!</v>
      </c>
      <c r="O18" s="152">
        <f>AVERAGE(D18,E18,F18,G18,H18,I18)</f>
        <v>99642071.447333336</v>
      </c>
      <c r="P18" s="149">
        <f>MEDIAN(D18,E18,F18,G18,H18,I18)</f>
        <v>109417614.34200001</v>
      </c>
      <c r="Q18" s="150">
        <f>GEOMEAN(D18,E18,F18,G18,H18,I18)</f>
        <v>90138339.744836703</v>
      </c>
      <c r="R18" s="151">
        <f>HARMEAN(D18,E18,F18,G18,H18,I18)</f>
        <v>77103022.619798213</v>
      </c>
      <c r="S18" s="56"/>
      <c r="T18" s="8"/>
      <c r="U18" s="57"/>
      <c r="V18" s="57">
        <f>MIN(P18:R18)</f>
        <v>77103022.619798213</v>
      </c>
      <c r="W18" s="58"/>
      <c r="X18" s="168">
        <f t="shared" si="7"/>
        <v>86173004.38924627</v>
      </c>
      <c r="Y18" s="155">
        <f>ROUND((X18*C18),0)</f>
        <v>86173004</v>
      </c>
      <c r="Z18" s="40"/>
      <c r="AA18" s="10">
        <f>MIN(O18:Q18)</f>
        <v>90138339.744836703</v>
      </c>
      <c r="AB18" s="9"/>
      <c r="AC18" s="690">
        <f t="shared" si="9"/>
        <v>95894941.004768699</v>
      </c>
      <c r="AD18" s="691">
        <f>ROUND((AC18*C18),0)</f>
        <v>95894941</v>
      </c>
      <c r="AE18" s="4"/>
      <c r="AF18" s="153">
        <f t="shared" si="10"/>
        <v>16678646</v>
      </c>
      <c r="AG18" s="154">
        <f t="shared" si="11"/>
        <v>500359</v>
      </c>
      <c r="AH18" s="101">
        <f t="shared" si="12"/>
        <v>17179005</v>
      </c>
      <c r="AI18" s="155">
        <f t="shared" si="13"/>
        <v>206148060</v>
      </c>
      <c r="AJ18" s="193"/>
      <c r="AK18" s="153">
        <f t="shared" si="14"/>
        <v>17179005</v>
      </c>
      <c r="AL18" s="101">
        <f t="shared" si="15"/>
        <v>515370</v>
      </c>
      <c r="AM18" s="101">
        <f t="shared" si="16"/>
        <v>17694375</v>
      </c>
      <c r="AN18" s="155">
        <f t="shared" si="17"/>
        <v>212332500</v>
      </c>
    </row>
    <row r="19" spans="1:41" s="61" customFormat="1" ht="36.75" customHeight="1" thickBot="1">
      <c r="A19" s="17" t="s">
        <v>57</v>
      </c>
      <c r="B19" s="18" t="s">
        <v>58</v>
      </c>
      <c r="C19" s="19">
        <v>1</v>
      </c>
      <c r="D19" s="195">
        <v>50000000</v>
      </c>
      <c r="E19" s="70">
        <v>148969644</v>
      </c>
      <c r="F19" s="194">
        <v>112248400</v>
      </c>
      <c r="G19" s="70">
        <v>25850000</v>
      </c>
      <c r="H19" s="194">
        <v>186120000</v>
      </c>
      <c r="I19" s="306">
        <f>36109065*5.2%+36109065</f>
        <v>37986736.380000003</v>
      </c>
      <c r="J19" s="50"/>
      <c r="K19" s="208" t="e">
        <f>AVERAGE(#REF!,#REF!,#REF!,#REF!,#REF!,#REF!)</f>
        <v>#REF!</v>
      </c>
      <c r="L19" s="209" t="e">
        <f>+MEDIAN(#REF!,#REF!,#REF!,#REF!,#REF!,#REF!)</f>
        <v>#REF!</v>
      </c>
      <c r="M19" s="210" t="e">
        <f>GEOMEAN(#REF!,#REF!,#REF!,#REF!,#REF!,#REF!)</f>
        <v>#REF!</v>
      </c>
      <c r="N19" s="211" t="e">
        <f>HARMEAN(#REF!,#REF!,#REF!,#REF!,#REF!,#REF!)</f>
        <v>#REF!</v>
      </c>
      <c r="O19" s="212">
        <f>AVERAGE(D19,E19,F19,G19,H19,I19)</f>
        <v>93529130.063333333</v>
      </c>
      <c r="P19" s="209">
        <f>MEDIAN(D19,E19,F19,G19,H19,I19)</f>
        <v>81124200</v>
      </c>
      <c r="Q19" s="210">
        <f>GEOMEAN(D19,E19,F19,G19,H19,I19)</f>
        <v>73117654.74917087</v>
      </c>
      <c r="R19" s="211">
        <f>HARMEAN(D19,E19,F19,G19,H19,I19)</f>
        <v>56601549.455377713</v>
      </c>
      <c r="S19" s="56"/>
      <c r="T19" s="8"/>
      <c r="U19" s="57"/>
      <c r="V19" s="57">
        <f t="shared" ref="V19:V21" si="18">MIN(P19:R19)</f>
        <v>56601549.455377713</v>
      </c>
      <c r="W19" s="58"/>
      <c r="X19" s="213">
        <f t="shared" si="7"/>
        <v>64809300.6230608</v>
      </c>
      <c r="Y19" s="214">
        <f>ROUND((X19*C19),0)</f>
        <v>64809301</v>
      </c>
      <c r="Z19" s="40"/>
      <c r="AA19" s="10">
        <f t="shared" si="8"/>
        <v>73117654.74917087</v>
      </c>
      <c r="AB19" s="9"/>
      <c r="AC19" s="690">
        <f t="shared" si="9"/>
        <v>78801258.862169176</v>
      </c>
      <c r="AD19" s="691">
        <f>ROUND((AC19*C19),0)</f>
        <v>78801259</v>
      </c>
      <c r="AE19" s="4"/>
      <c r="AF19" s="215">
        <f t="shared" si="10"/>
        <v>12543736</v>
      </c>
      <c r="AG19" s="216">
        <f t="shared" si="11"/>
        <v>376312</v>
      </c>
      <c r="AH19" s="101">
        <f t="shared" si="12"/>
        <v>12920048</v>
      </c>
      <c r="AI19" s="155">
        <f t="shared" si="13"/>
        <v>155040576</v>
      </c>
      <c r="AJ19" s="193"/>
      <c r="AK19" s="153">
        <f t="shared" si="14"/>
        <v>12920048</v>
      </c>
      <c r="AL19" s="101">
        <f t="shared" si="15"/>
        <v>387601</v>
      </c>
      <c r="AM19" s="101">
        <f t="shared" si="16"/>
        <v>13307649</v>
      </c>
      <c r="AN19" s="214">
        <f t="shared" si="17"/>
        <v>159691788</v>
      </c>
    </row>
    <row r="20" spans="1:41" s="128" customFormat="1" ht="16.5" customHeight="1" thickBot="1">
      <c r="A20" s="718" t="s">
        <v>59</v>
      </c>
      <c r="B20" s="719"/>
      <c r="C20" s="719"/>
      <c r="D20" s="69"/>
      <c r="E20" s="70"/>
      <c r="F20" s="70"/>
      <c r="G20" s="70"/>
      <c r="H20" s="70"/>
      <c r="I20" s="306"/>
      <c r="J20" s="266"/>
      <c r="K20" s="140"/>
      <c r="L20" s="140"/>
      <c r="M20" s="140"/>
      <c r="N20" s="140"/>
      <c r="O20" s="140"/>
      <c r="P20" s="140"/>
      <c r="Q20" s="140"/>
      <c r="R20" s="140"/>
      <c r="S20" s="159"/>
      <c r="T20" s="100"/>
      <c r="U20" s="143"/>
      <c r="V20" s="143"/>
      <c r="W20" s="164"/>
      <c r="X20" s="167"/>
      <c r="Y20" s="98"/>
      <c r="Z20" s="40"/>
      <c r="AA20" s="10"/>
      <c r="AB20" s="9"/>
      <c r="AC20" s="690"/>
      <c r="AD20" s="691"/>
      <c r="AE20" s="4"/>
      <c r="AF20" s="141"/>
      <c r="AG20" s="142"/>
      <c r="AH20" s="101"/>
      <c r="AI20" s="155"/>
      <c r="AJ20" s="193"/>
      <c r="AK20" s="153">
        <f t="shared" si="14"/>
        <v>0</v>
      </c>
      <c r="AL20" s="101"/>
      <c r="AM20" s="101"/>
      <c r="AN20" s="98"/>
    </row>
    <row r="21" spans="1:41" s="61" customFormat="1" ht="24.75" customHeight="1" thickBot="1">
      <c r="A21" s="307">
        <v>3</v>
      </c>
      <c r="B21" s="21" t="s">
        <v>60</v>
      </c>
      <c r="C21" s="308">
        <v>1</v>
      </c>
      <c r="D21" s="309">
        <v>107070950</v>
      </c>
      <c r="E21" s="310">
        <v>203493152.30000001</v>
      </c>
      <c r="F21" s="311">
        <v>500000000</v>
      </c>
      <c r="G21" s="310">
        <v>184819745</v>
      </c>
      <c r="H21" s="311">
        <v>51700000</v>
      </c>
      <c r="I21" s="312">
        <f>103281457*5.2%+103281457</f>
        <v>108652092.764</v>
      </c>
      <c r="J21" s="50"/>
      <c r="K21" s="148" t="e">
        <f>AVERAGE(#REF!,#REF!,#REF!,#REF!,#REF!,#REF!)</f>
        <v>#REF!</v>
      </c>
      <c r="L21" s="149" t="e">
        <f>+MEDIAN(#REF!,#REF!,#REF!,#REF!,#REF!,#REF!)</f>
        <v>#REF!</v>
      </c>
      <c r="M21" s="150" t="e">
        <f>GEOMEAN(#REF!,#REF!,#REF!,#REF!,#REF!,#REF!)</f>
        <v>#REF!</v>
      </c>
      <c r="N21" s="151" t="e">
        <f>HARMEAN(#REF!,#REF!,#REF!,#REF!,#REF!,#REF!)</f>
        <v>#REF!</v>
      </c>
      <c r="O21" s="152">
        <f>AVERAGE(D21,E21,F21,G21,H21,I21)</f>
        <v>192622656.67733333</v>
      </c>
      <c r="P21" s="149">
        <f>MEDIAN(D21,E21,F21,G21,H21,I21)</f>
        <v>146735918.882</v>
      </c>
      <c r="Q21" s="150">
        <f>GEOMEAN(D21,E21,F21,G21,H21,I21)</f>
        <v>149822858.07118323</v>
      </c>
      <c r="R21" s="151">
        <f>HARMEAN(D21,E21,F21,G21,H21,I21)</f>
        <v>119496924.76808852</v>
      </c>
      <c r="S21" s="56"/>
      <c r="T21" s="8"/>
      <c r="U21" s="57"/>
      <c r="V21" s="57">
        <f t="shared" si="18"/>
        <v>119496924.76808852</v>
      </c>
      <c r="W21" s="58"/>
      <c r="X21" s="168">
        <f t="shared" si="7"/>
        <v>131009910.25148976</v>
      </c>
      <c r="Y21" s="155">
        <f>ROUND((X21*C21),0)</f>
        <v>131009910</v>
      </c>
      <c r="Z21" s="40"/>
      <c r="AA21" s="10">
        <f t="shared" si="8"/>
        <v>146735918.882</v>
      </c>
      <c r="AB21" s="9"/>
      <c r="AC21" s="690">
        <f t="shared" si="9"/>
        <v>156530654.27890331</v>
      </c>
      <c r="AD21" s="691">
        <f>ROUND((AC21*C21),0)</f>
        <v>156530654</v>
      </c>
      <c r="AE21" s="4"/>
      <c r="AF21" s="153">
        <f t="shared" si="10"/>
        <v>25356757</v>
      </c>
      <c r="AG21" s="154">
        <f t="shared" si="11"/>
        <v>760703</v>
      </c>
      <c r="AH21" s="101">
        <f t="shared" si="12"/>
        <v>26117460</v>
      </c>
      <c r="AI21" s="155">
        <f t="shared" si="13"/>
        <v>313409520</v>
      </c>
      <c r="AJ21" s="193"/>
      <c r="AK21" s="153">
        <f t="shared" si="14"/>
        <v>26117460</v>
      </c>
      <c r="AL21" s="101">
        <f t="shared" si="15"/>
        <v>783524</v>
      </c>
      <c r="AM21" s="101">
        <f t="shared" si="16"/>
        <v>26900984</v>
      </c>
      <c r="AN21" s="155">
        <f t="shared" si="17"/>
        <v>322811808</v>
      </c>
    </row>
    <row r="22" spans="1:41" s="128" customFormat="1" ht="17.25" customHeight="1" thickBot="1">
      <c r="A22" s="219"/>
      <c r="B22" s="220"/>
      <c r="C22" s="13"/>
      <c r="D22" s="75"/>
      <c r="E22" s="76"/>
      <c r="F22" s="76"/>
      <c r="G22" s="76"/>
      <c r="H22" s="76"/>
      <c r="I22" s="76"/>
      <c r="J22" s="50"/>
      <c r="K22" s="126"/>
      <c r="L22" s="4"/>
      <c r="M22" s="4"/>
      <c r="N22" s="4"/>
      <c r="O22" s="4"/>
      <c r="P22" s="4"/>
      <c r="Q22" s="4"/>
      <c r="R22" s="4"/>
      <c r="S22" s="127"/>
      <c r="T22" s="8"/>
      <c r="X22" s="169"/>
      <c r="Y22" s="170">
        <f>ROUND((SUM(Y8:Y21)),0)</f>
        <v>1301725752</v>
      </c>
      <c r="Z22" s="40"/>
      <c r="AA22" s="10"/>
      <c r="AB22" s="9"/>
      <c r="AC22" s="690"/>
      <c r="AD22" s="691"/>
      <c r="AE22" s="4"/>
      <c r="AF22" s="133">
        <f>SUM(AF8:AF21)</f>
        <v>251946920</v>
      </c>
      <c r="AG22" s="134">
        <f>SUM(AG7:AG21)</f>
        <v>7558406</v>
      </c>
      <c r="AH22" s="135">
        <f>SUM(AH7:AH21)</f>
        <v>259505326</v>
      </c>
      <c r="AI22" s="132">
        <f>SUM(AI8:AI21)</f>
        <v>3114063912</v>
      </c>
      <c r="AJ22" s="161"/>
      <c r="AK22" s="163">
        <f>SUM(AK8:AK21)</f>
        <v>259505326</v>
      </c>
      <c r="AL22" s="221">
        <f>SUM(AL8:AL21)</f>
        <v>7785161</v>
      </c>
      <c r="AM22" s="221">
        <f>SUM(AM8:AM21)</f>
        <v>267290487</v>
      </c>
      <c r="AN22" s="132">
        <f>SUM(AN8:AN21)</f>
        <v>3207485844</v>
      </c>
    </row>
    <row r="23" spans="1:41" ht="25.5" customHeight="1" thickBot="1">
      <c r="B23" s="4"/>
      <c r="C23" s="4"/>
      <c r="K23" s="136" t="e">
        <f t="shared" ref="K23" si="19">SUM(K8:K21)</f>
        <v>#REF!</v>
      </c>
      <c r="V23" s="83"/>
      <c r="X23" s="165"/>
      <c r="Y23" s="166"/>
      <c r="AA23" s="128">
        <f>MIN(O22:Q22)</f>
        <v>0</v>
      </c>
      <c r="AC23" s="83"/>
      <c r="AD23" s="84"/>
    </row>
    <row r="24" spans="1:41" ht="82.5" customHeight="1" thickBot="1">
      <c r="A24" s="720" t="s">
        <v>61</v>
      </c>
      <c r="B24" s="721"/>
      <c r="C24" s="722"/>
      <c r="D24" s="277" t="s">
        <v>7</v>
      </c>
      <c r="E24" s="277" t="s">
        <v>8</v>
      </c>
      <c r="F24" s="277" t="s">
        <v>9</v>
      </c>
      <c r="G24" s="277" t="s">
        <v>10</v>
      </c>
      <c r="H24" s="277" t="s">
        <v>11</v>
      </c>
      <c r="I24" s="277" t="s">
        <v>12</v>
      </c>
      <c r="X24" s="690" t="s">
        <v>62</v>
      </c>
      <c r="Y24" s="691"/>
      <c r="Z24" s="177"/>
      <c r="AA24" s="179"/>
      <c r="AB24" s="178"/>
      <c r="AC24" s="690" t="s">
        <v>18</v>
      </c>
      <c r="AD24" s="691"/>
      <c r="AE24" s="234"/>
      <c r="AF24" s="234"/>
      <c r="AG24" s="235"/>
      <c r="AH24" s="690" t="s">
        <v>63</v>
      </c>
      <c r="AI24" s="691"/>
      <c r="AJ24" s="236"/>
      <c r="AK24" s="234"/>
      <c r="AL24" s="234"/>
      <c r="AM24" s="690" t="s">
        <v>64</v>
      </c>
      <c r="AN24" s="691"/>
      <c r="AO24" s="237" t="s">
        <v>64</v>
      </c>
    </row>
    <row r="25" spans="1:41" s="3" customFormat="1" ht="18.75" customHeight="1">
      <c r="A25" s="723" t="s">
        <v>65</v>
      </c>
      <c r="B25" s="723"/>
      <c r="C25" s="724"/>
      <c r="D25" s="273">
        <f>+D8+D9+D10+D11+D12+D13+D14+D15+D16+D18+D19</f>
        <v>1070709500</v>
      </c>
      <c r="E25" s="280">
        <f t="shared" ref="E25:I25" si="20">+E8+E9+E10+E11+E12+E13+E14+E15+E16+E18+E19</f>
        <v>2034931523</v>
      </c>
      <c r="F25" s="273">
        <f t="shared" si="20"/>
        <v>1024815132</v>
      </c>
      <c r="G25" s="280">
        <f t="shared" si="20"/>
        <v>1848197450</v>
      </c>
      <c r="H25" s="273">
        <f t="shared" si="20"/>
        <v>1185033563</v>
      </c>
      <c r="I25" s="280">
        <f t="shared" si="20"/>
        <v>1134488470.362</v>
      </c>
      <c r="X25" s="222">
        <f>+Y25/1.19</f>
        <v>983794825.21008408</v>
      </c>
      <c r="Y25" s="223">
        <f>+Y8+Y9+Y10+Y11+Y12+Y13+Y14+Y15+Y16+Y18+Y19</f>
        <v>1170715842</v>
      </c>
      <c r="AC25" s="222">
        <f>+AD25/1.19</f>
        <v>1026372352.9411765</v>
      </c>
      <c r="AD25" s="223">
        <f>+AD8+AD9+AD10+AD11+AD12+AD13+AD14+AD15+AD16+AD18+AD19</f>
        <v>1221383100</v>
      </c>
      <c r="AH25" s="222">
        <f>+AI25/1.19</f>
        <v>2353491085.7142859</v>
      </c>
      <c r="AI25" s="223">
        <f>+AI8+AI9+AI10+AI11+AI12+AI13+AI14+AI15+AI16+AI18+AI19</f>
        <v>2800654392</v>
      </c>
      <c r="AM25" s="222">
        <f>+AN25/1.19</f>
        <v>2424095828.5714288</v>
      </c>
      <c r="AN25" s="223">
        <f>+AN8+AN9+AN10+AN11+AN12+AN13+AN14+AN15+AN16+AN18+AN19</f>
        <v>2884674036</v>
      </c>
      <c r="AO25" s="684">
        <f>+Y29+AI29+AN29</f>
        <v>9071697854</v>
      </c>
    </row>
    <row r="26" spans="1:41" s="3" customFormat="1" ht="18.75" customHeight="1">
      <c r="A26" s="725" t="s">
        <v>66</v>
      </c>
      <c r="B26" s="725"/>
      <c r="C26" s="726"/>
      <c r="D26" s="242">
        <f>+D21</f>
        <v>107070950</v>
      </c>
      <c r="E26" s="274">
        <f t="shared" ref="E26:I26" si="21">+E21</f>
        <v>203493152.30000001</v>
      </c>
      <c r="F26" s="242">
        <f t="shared" si="21"/>
        <v>500000000</v>
      </c>
      <c r="G26" s="274">
        <f t="shared" si="21"/>
        <v>184819745</v>
      </c>
      <c r="H26" s="242">
        <f t="shared" si="21"/>
        <v>51700000</v>
      </c>
      <c r="I26" s="274">
        <f t="shared" si="21"/>
        <v>108652092.764</v>
      </c>
      <c r="X26" s="222">
        <f>+Y26/1.19</f>
        <v>110092361.34453782</v>
      </c>
      <c r="Y26" s="223">
        <f>+Y21</f>
        <v>131009910</v>
      </c>
      <c r="AC26" s="222">
        <f t="shared" ref="AC26:AC27" si="22">+AD26/1.19</f>
        <v>131538364.70588236</v>
      </c>
      <c r="AD26" s="223">
        <f>+AD21</f>
        <v>156530654</v>
      </c>
      <c r="AH26" s="222">
        <f>+AI26/1.19</f>
        <v>263369344.53781512</v>
      </c>
      <c r="AI26" s="223">
        <f>+AI21</f>
        <v>313409520</v>
      </c>
      <c r="AM26" s="222">
        <f>+AN26/1.19</f>
        <v>271270426.89075631</v>
      </c>
      <c r="AN26" s="223">
        <f>+AN21</f>
        <v>322811808</v>
      </c>
      <c r="AO26" s="685"/>
    </row>
    <row r="27" spans="1:41" s="3" customFormat="1" ht="18.75" customHeight="1">
      <c r="A27" s="725" t="s">
        <v>67</v>
      </c>
      <c r="B27" s="725"/>
      <c r="C27" s="726"/>
      <c r="D27" s="242">
        <f>SUM(D25:D26)</f>
        <v>1177780450</v>
      </c>
      <c r="E27" s="274">
        <f t="shared" ref="E27:I27" si="23">SUM(E25:E26)</f>
        <v>2238424675.3000002</v>
      </c>
      <c r="F27" s="242">
        <f t="shared" si="23"/>
        <v>1524815132</v>
      </c>
      <c r="G27" s="274">
        <f t="shared" si="23"/>
        <v>2033017195</v>
      </c>
      <c r="H27" s="242">
        <f t="shared" si="23"/>
        <v>1236733563</v>
      </c>
      <c r="I27" s="274">
        <f t="shared" si="23"/>
        <v>1243140563.1259999</v>
      </c>
      <c r="N27" s="225"/>
      <c r="X27" s="222">
        <f t="shared" ref="X27" si="24">+Y27/1.19</f>
        <v>1093887186.5546219</v>
      </c>
      <c r="Y27" s="223">
        <f>SUM(Y25:Y26)</f>
        <v>1301725752</v>
      </c>
      <c r="AC27" s="222">
        <f t="shared" si="22"/>
        <v>1157910717.647059</v>
      </c>
      <c r="AD27" s="223">
        <f>SUM(AD25:AD26)</f>
        <v>1377913754</v>
      </c>
      <c r="AH27" s="222">
        <f>+AI27/1.19</f>
        <v>2616860430.2521009</v>
      </c>
      <c r="AI27" s="223">
        <f>SUM(AI25:AI26)</f>
        <v>3114063912</v>
      </c>
      <c r="AM27" s="222">
        <f>+AN27/1.19</f>
        <v>2695366255.4621849</v>
      </c>
      <c r="AN27" s="223">
        <f>SUM(AN25:AN26)</f>
        <v>3207485844</v>
      </c>
      <c r="AO27" s="685"/>
    </row>
    <row r="28" spans="1:41" s="3" customFormat="1" ht="18.75" customHeight="1" thickBot="1">
      <c r="A28" s="727" t="s">
        <v>68</v>
      </c>
      <c r="B28" s="727"/>
      <c r="C28" s="728"/>
      <c r="D28" s="244">
        <f>+D27*19%</f>
        <v>223778285.5</v>
      </c>
      <c r="E28" s="275">
        <f t="shared" ref="E28:I28" si="25">+E27*19%</f>
        <v>425300688.30700004</v>
      </c>
      <c r="F28" s="244">
        <f t="shared" si="25"/>
        <v>289714875.07999998</v>
      </c>
      <c r="G28" s="275">
        <f t="shared" si="25"/>
        <v>386273267.05000001</v>
      </c>
      <c r="H28" s="244">
        <f t="shared" si="25"/>
        <v>234979376.97</v>
      </c>
      <c r="I28" s="275">
        <f t="shared" si="25"/>
        <v>236196706.99394</v>
      </c>
      <c r="X28" s="222">
        <f>+X27*19%</f>
        <v>207838565.44537818</v>
      </c>
      <c r="Y28" s="703">
        <f>ROUND((+Y27*19%),0)</f>
        <v>247327893</v>
      </c>
      <c r="Z28" s="704"/>
      <c r="AC28" s="222">
        <f>+AC27*19%</f>
        <v>220003036.35294122</v>
      </c>
      <c r="AD28" s="223"/>
      <c r="AH28" s="222">
        <f>+AH27*19%</f>
        <v>497203481.74789917</v>
      </c>
      <c r="AI28" s="703">
        <f>ROUND((+AI27*19%),0)</f>
        <v>591672143</v>
      </c>
      <c r="AJ28" s="704"/>
      <c r="AM28" s="222">
        <f>+AM27*19%</f>
        <v>512119588.53781515</v>
      </c>
      <c r="AN28" s="223">
        <f>ROUND((+AN27*19%),0)</f>
        <v>609422310</v>
      </c>
      <c r="AO28" s="685"/>
    </row>
    <row r="29" spans="1:41" s="3" customFormat="1" ht="27" customHeight="1" thickBot="1">
      <c r="A29" s="698" t="s">
        <v>69</v>
      </c>
      <c r="B29" s="699"/>
      <c r="C29" s="699"/>
      <c r="D29" s="243">
        <f>SUM(D27:D28)</f>
        <v>1401558735.5</v>
      </c>
      <c r="E29" s="363">
        <f t="shared" ref="E29:I29" si="26">SUM(E27:E28)</f>
        <v>2663725363.6070004</v>
      </c>
      <c r="F29" s="243">
        <f t="shared" si="26"/>
        <v>1814530007.0799999</v>
      </c>
      <c r="G29" s="363">
        <f t="shared" si="26"/>
        <v>2419290462.0500002</v>
      </c>
      <c r="H29" s="243">
        <f t="shared" si="26"/>
        <v>1471712939.97</v>
      </c>
      <c r="I29" s="276">
        <f t="shared" si="26"/>
        <v>1479337270.1199398</v>
      </c>
      <c r="Q29" s="120"/>
      <c r="X29" s="238">
        <f>+X27+X28</f>
        <v>1301725752</v>
      </c>
      <c r="Y29" s="239">
        <f>ROUND((+Y27+Y28),0)</f>
        <v>1549053645</v>
      </c>
      <c r="Z29" s="240"/>
      <c r="AA29" s="240"/>
      <c r="AB29" s="240"/>
      <c r="AC29" s="88">
        <f>+AC27+AC28</f>
        <v>1377913754.0000002</v>
      </c>
      <c r="AD29" s="89">
        <f>+AD27+AD28</f>
        <v>1377913754</v>
      </c>
      <c r="AE29" s="240"/>
      <c r="AF29" s="240"/>
      <c r="AG29" s="240"/>
      <c r="AH29" s="88">
        <f>ROUND((+AH27+AH28),0)</f>
        <v>3114063912</v>
      </c>
      <c r="AI29" s="239">
        <f>ROUND((+AI27+AI28),0)</f>
        <v>3705736055</v>
      </c>
      <c r="AJ29" s="240"/>
      <c r="AK29" s="240"/>
      <c r="AL29" s="240"/>
      <c r="AM29" s="88">
        <f>ROUND((+AM27+AM28),0)</f>
        <v>3207485844</v>
      </c>
      <c r="AN29" s="239">
        <f>ROUND((+AN27+AN28),0)</f>
        <v>3816908154</v>
      </c>
      <c r="AO29" s="686"/>
    </row>
    <row r="30" spans="1:41" s="3" customFormat="1" ht="35.25" customHeight="1">
      <c r="A30" s="27"/>
      <c r="C30" s="117"/>
      <c r="D30" s="71"/>
      <c r="E30" s="71"/>
      <c r="F30" s="71"/>
      <c r="G30" s="71"/>
      <c r="H30" s="71"/>
      <c r="I30" s="71"/>
      <c r="Q30" s="120"/>
      <c r="R30" s="695" t="s">
        <v>70</v>
      </c>
      <c r="S30" s="696"/>
      <c r="T30" s="129"/>
      <c r="U30" s="129"/>
      <c r="V30" s="131">
        <f>+Y29/155*30</f>
        <v>299816834.51612902</v>
      </c>
      <c r="X30" s="226" t="s">
        <v>71</v>
      </c>
      <c r="Y30" s="232">
        <f>ROUND((+V30/30*155),0)</f>
        <v>1549053645</v>
      </c>
      <c r="AF30" s="233">
        <v>1386161735</v>
      </c>
      <c r="AG30" s="233" t="s">
        <v>72</v>
      </c>
      <c r="AJ30" s="162"/>
    </row>
    <row r="31" spans="1:41" s="3" customFormat="1">
      <c r="A31" s="27"/>
      <c r="C31" s="121"/>
      <c r="D31" s="71"/>
      <c r="E31" s="71"/>
      <c r="F31" s="71"/>
      <c r="G31" s="71"/>
      <c r="H31" s="71"/>
      <c r="I31" s="71"/>
      <c r="R31" s="3" t="s">
        <v>73</v>
      </c>
      <c r="V31" s="122">
        <f>ROUND((+V30*3%),0)</f>
        <v>8994505</v>
      </c>
      <c r="X31" s="123"/>
      <c r="Y31" s="123"/>
      <c r="AF31" s="228">
        <f>+AF30-Y30</f>
        <v>-162891910</v>
      </c>
      <c r="AG31" s="3" t="s">
        <v>74</v>
      </c>
      <c r="AJ31" s="162"/>
    </row>
    <row r="32" spans="1:41" s="3" customFormat="1" ht="30.75" customHeight="1">
      <c r="A32" s="27"/>
      <c r="D32" s="71">
        <f>+D26/D29</f>
        <v>7.6394194041252861E-2</v>
      </c>
      <c r="E32" s="71">
        <f t="shared" ref="E32:I32" si="27">+E26/E29</f>
        <v>7.6394194041252861E-2</v>
      </c>
      <c r="F32" s="364">
        <f>+F26/F29</f>
        <v>0.27555344802735782</v>
      </c>
      <c r="G32" s="71">
        <f t="shared" si="27"/>
        <v>7.6394194041252861E-2</v>
      </c>
      <c r="H32" s="71">
        <f t="shared" si="27"/>
        <v>3.5129133267696809E-2</v>
      </c>
      <c r="I32" s="71">
        <f t="shared" si="27"/>
        <v>7.3446464818121462E-2</v>
      </c>
      <c r="R32" s="695" t="s">
        <v>75</v>
      </c>
      <c r="S32" s="696"/>
      <c r="T32" s="129"/>
      <c r="U32" s="129"/>
      <c r="V32" s="227">
        <f>+AK22</f>
        <v>259505326</v>
      </c>
      <c r="X32" s="226" t="s">
        <v>76</v>
      </c>
      <c r="Y32" s="227">
        <f>+AI29</f>
        <v>3705736055</v>
      </c>
      <c r="AF32" s="131">
        <v>3316056552</v>
      </c>
      <c r="AG32" s="131" t="s">
        <v>72</v>
      </c>
      <c r="AJ32" s="162"/>
    </row>
    <row r="33" spans="16:33" s="3" customFormat="1">
      <c r="P33" s="229"/>
      <c r="R33" s="3" t="s">
        <v>73</v>
      </c>
      <c r="V33" s="122">
        <f>ROUND((+V32*3%),0)</f>
        <v>7785160</v>
      </c>
      <c r="X33" s="123"/>
      <c r="Y33" s="123"/>
      <c r="AF33" s="228">
        <f>+AF32-Y32</f>
        <v>-389679503</v>
      </c>
      <c r="AG33" s="3" t="s">
        <v>74</v>
      </c>
    </row>
    <row r="34" spans="16:33" s="3" customFormat="1" ht="33.75" customHeight="1">
      <c r="R34" s="695" t="s">
        <v>77</v>
      </c>
      <c r="S34" s="696"/>
      <c r="T34" s="129"/>
      <c r="U34" s="129"/>
      <c r="V34" s="227">
        <f>+AM22</f>
        <v>267290487</v>
      </c>
      <c r="X34" s="226" t="s">
        <v>76</v>
      </c>
      <c r="Y34" s="227">
        <f>+AN29</f>
        <v>3816908154</v>
      </c>
      <c r="AF34" s="131">
        <v>3415538196</v>
      </c>
      <c r="AG34" s="131" t="s">
        <v>72</v>
      </c>
    </row>
    <row r="35" spans="16:33" s="3" customFormat="1">
      <c r="V35" s="125"/>
      <c r="X35" s="123"/>
      <c r="Y35" s="123"/>
      <c r="AF35" s="228">
        <f>+AF34-Y34</f>
        <v>-401369958</v>
      </c>
      <c r="AG35" s="3" t="s">
        <v>74</v>
      </c>
    </row>
    <row r="36" spans="16:33" s="3" customFormat="1" ht="25.5" customHeight="1">
      <c r="R36" s="697" t="s">
        <v>78</v>
      </c>
      <c r="S36" s="697"/>
      <c r="T36" s="697"/>
      <c r="U36" s="697"/>
      <c r="V36" s="697"/>
      <c r="W36" s="697"/>
      <c r="X36" s="697"/>
      <c r="Y36" s="227">
        <f>+Y30+Y32+Y34</f>
        <v>9071697854</v>
      </c>
      <c r="AF36" s="131">
        <f>+AF30+AF32+AF34</f>
        <v>8117756483</v>
      </c>
      <c r="AG36" s="131" t="s">
        <v>72</v>
      </c>
    </row>
    <row r="37" spans="16:33" s="3" customFormat="1">
      <c r="AF37" s="228">
        <f>+AF36-Y36</f>
        <v>-953941371</v>
      </c>
      <c r="AG37" s="3" t="s">
        <v>74</v>
      </c>
    </row>
    <row r="38" spans="16:33" s="3" customFormat="1"/>
    <row r="39" spans="16:33" s="3" customFormat="1"/>
    <row r="43" spans="16:33">
      <c r="V43" s="692">
        <v>2024</v>
      </c>
      <c r="W43" s="692"/>
      <c r="X43" s="692"/>
      <c r="Y43" s="692"/>
    </row>
    <row r="44" spans="16:33">
      <c r="R44" s="129" t="s">
        <v>79</v>
      </c>
      <c r="V44" s="129" t="s">
        <v>80</v>
      </c>
      <c r="W44" s="129"/>
      <c r="X44" s="130" t="s">
        <v>81</v>
      </c>
      <c r="Y44" s="130" t="s">
        <v>82</v>
      </c>
    </row>
    <row r="45" spans="16:33">
      <c r="R45" s="129" t="s">
        <v>83</v>
      </c>
      <c r="V45" s="230">
        <f>(+Y45/164)*14</f>
        <v>115410729.98896343</v>
      </c>
      <c r="W45" s="129"/>
      <c r="X45" s="230">
        <f>+Y45/164*30</f>
        <v>247308707.11920732</v>
      </c>
      <c r="Y45" s="231">
        <v>1351954265.585</v>
      </c>
    </row>
  </sheetData>
  <mergeCells count="48">
    <mergeCell ref="AI28:AJ28"/>
    <mergeCell ref="W2:Y3"/>
    <mergeCell ref="AC2:AD3"/>
    <mergeCell ref="A4:C4"/>
    <mergeCell ref="L4:N4"/>
    <mergeCell ref="P4:R4"/>
    <mergeCell ref="A5:C5"/>
    <mergeCell ref="A7:C7"/>
    <mergeCell ref="A17:C17"/>
    <mergeCell ref="A20:C20"/>
    <mergeCell ref="A24:C24"/>
    <mergeCell ref="A25:C25"/>
    <mergeCell ref="A27:C27"/>
    <mergeCell ref="A26:C26"/>
    <mergeCell ref="A28:C28"/>
    <mergeCell ref="AF5:AI5"/>
    <mergeCell ref="A29:C29"/>
    <mergeCell ref="X5:Y5"/>
    <mergeCell ref="AC5:AD5"/>
    <mergeCell ref="AC21:AD21"/>
    <mergeCell ref="AC20:AD20"/>
    <mergeCell ref="AC24:AD24"/>
    <mergeCell ref="Y28:Z28"/>
    <mergeCell ref="AC12:AD12"/>
    <mergeCell ref="AC13:AD13"/>
    <mergeCell ref="AC14:AD14"/>
    <mergeCell ref="AC15:AD15"/>
    <mergeCell ref="R30:S30"/>
    <mergeCell ref="R32:S32"/>
    <mergeCell ref="R34:S34"/>
    <mergeCell ref="R36:X36"/>
    <mergeCell ref="X24:Y24"/>
    <mergeCell ref="AO25:AO29"/>
    <mergeCell ref="AK5:AN5"/>
    <mergeCell ref="AH24:AI24"/>
    <mergeCell ref="AM24:AN24"/>
    <mergeCell ref="V43:Y43"/>
    <mergeCell ref="AC6:AD6"/>
    <mergeCell ref="AC7:AD7"/>
    <mergeCell ref="AC8:AD8"/>
    <mergeCell ref="AC9:AD9"/>
    <mergeCell ref="AC10:AD10"/>
    <mergeCell ref="AC11:AD11"/>
    <mergeCell ref="AC22:AD22"/>
    <mergeCell ref="AC16:AD16"/>
    <mergeCell ref="AC17:AD17"/>
    <mergeCell ref="AC18:AD18"/>
    <mergeCell ref="AC19:AD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6D4AB-6D01-4E1B-AA99-2937B0FB0F6B}">
  <sheetPr>
    <tabColor rgb="FF0C92A4"/>
  </sheetPr>
  <dimension ref="A1:AA45"/>
  <sheetViews>
    <sheetView topLeftCell="A4" zoomScale="90" zoomScaleNormal="90" workbookViewId="0">
      <pane xSplit="3" ySplit="2" topLeftCell="D6" activePane="bottomRight" state="frozen"/>
      <selection pane="bottomRight" activeCell="AA25" sqref="AA25:AA29"/>
      <selection pane="bottomLeft" activeCell="A6" sqref="A6"/>
      <selection pane="topRight" activeCell="D4" sqref="D4"/>
    </sheetView>
  </sheetViews>
  <sheetFormatPr defaultColWidth="7.28515625" defaultRowHeight="12"/>
  <cols>
    <col min="1" max="1" width="3.85546875" style="27" bestFit="1" customWidth="1"/>
    <col min="2" max="2" width="49.85546875" style="32" bestFit="1" customWidth="1"/>
    <col min="3" max="3" width="11.28515625" style="32" customWidth="1"/>
    <col min="4" max="6" width="20.5703125" style="71" customWidth="1"/>
    <col min="7" max="7" width="23" style="71" customWidth="1"/>
    <col min="8" max="8" width="14.7109375" style="4" bestFit="1" customWidth="1"/>
    <col min="9" max="9" width="16.7109375" style="4" customWidth="1"/>
    <col min="10" max="10" width="15.85546875" style="4" bestFit="1" customWidth="1"/>
    <col min="11" max="11" width="2.28515625" style="4" hidden="1" customWidth="1"/>
    <col min="12" max="13" width="11.42578125" style="4" hidden="1" customWidth="1"/>
    <col min="14" max="14" width="19.140625" style="4" customWidth="1"/>
    <col min="15" max="15" width="1" style="4" hidden="1" customWidth="1"/>
    <col min="16" max="16" width="18.28515625" style="4" customWidth="1"/>
    <col min="17" max="17" width="21.140625" style="4" bestFit="1" customWidth="1"/>
    <col min="18" max="18" width="3.140625" style="4" customWidth="1"/>
    <col min="19" max="19" width="19.140625" style="4" bestFit="1" customWidth="1"/>
    <col min="20" max="20" width="18" style="4" customWidth="1"/>
    <col min="21" max="21" width="19.42578125" style="4" bestFit="1" customWidth="1"/>
    <col min="22" max="22" width="3.42578125" style="32" customWidth="1"/>
    <col min="23" max="23" width="12.28515625" style="4" customWidth="1"/>
    <col min="24" max="24" width="17.140625" style="4" bestFit="1" customWidth="1"/>
    <col min="25" max="25" width="20.28515625" style="4" bestFit="1" customWidth="1"/>
    <col min="26" max="26" width="20.140625" style="4" customWidth="1"/>
    <col min="27" max="27" width="23.140625" style="4" customWidth="1"/>
    <col min="28" max="191" width="11.42578125" style="4" customWidth="1"/>
    <col min="192" max="16384" width="7.28515625" style="4"/>
  </cols>
  <sheetData>
    <row r="1" spans="1:25" ht="12.75" thickBot="1">
      <c r="A1" s="1"/>
      <c r="B1" s="1"/>
      <c r="C1" s="2"/>
      <c r="D1" s="2"/>
      <c r="E1" s="2"/>
      <c r="F1" s="2"/>
      <c r="G1" s="2"/>
    </row>
    <row r="2" spans="1:25">
      <c r="A2" s="1"/>
      <c r="B2" s="1"/>
      <c r="C2" s="2"/>
      <c r="D2" s="64"/>
      <c r="E2" s="2"/>
      <c r="F2" s="2"/>
      <c r="G2" s="2"/>
      <c r="O2" s="705" t="s">
        <v>0</v>
      </c>
      <c r="P2" s="706"/>
      <c r="Q2" s="707"/>
    </row>
    <row r="3" spans="1:25" s="5" customFormat="1" ht="12.75" thickBot="1">
      <c r="K3" s="6"/>
      <c r="N3" s="7"/>
      <c r="O3" s="708"/>
      <c r="P3" s="709"/>
      <c r="Q3" s="710"/>
      <c r="R3" s="6"/>
      <c r="V3" s="6"/>
    </row>
    <row r="4" spans="1:25" s="5" customFormat="1" ht="15" customHeight="1" thickBot="1">
      <c r="A4" s="711" t="s">
        <v>3</v>
      </c>
      <c r="B4" s="712"/>
      <c r="C4" s="712"/>
      <c r="H4" s="711" t="s">
        <v>5</v>
      </c>
      <c r="I4" s="712"/>
      <c r="J4" s="713"/>
      <c r="K4" s="33"/>
      <c r="P4" s="5">
        <f>5*30</f>
        <v>150</v>
      </c>
      <c r="Q4" s="5">
        <f>P4+5</f>
        <v>155</v>
      </c>
      <c r="R4" s="33"/>
      <c r="V4" s="6"/>
    </row>
    <row r="5" spans="1:25" s="8" customFormat="1" ht="43.5" customHeight="1" thickBot="1">
      <c r="A5" s="714" t="s">
        <v>6</v>
      </c>
      <c r="B5" s="715"/>
      <c r="C5" s="715"/>
      <c r="D5" s="323" t="s">
        <v>7</v>
      </c>
      <c r="E5" s="346" t="s">
        <v>84</v>
      </c>
      <c r="F5" s="323" t="s">
        <v>85</v>
      </c>
      <c r="G5" s="325" t="s">
        <v>86</v>
      </c>
      <c r="H5" s="337" t="s">
        <v>14</v>
      </c>
      <c r="I5" s="338" t="s">
        <v>15</v>
      </c>
      <c r="J5" s="339" t="s">
        <v>16</v>
      </c>
      <c r="K5" s="340"/>
      <c r="L5" s="341"/>
      <c r="M5" s="342"/>
      <c r="N5" s="343"/>
      <c r="O5" s="342"/>
      <c r="P5" s="700" t="s">
        <v>17</v>
      </c>
      <c r="Q5" s="701"/>
      <c r="R5" s="340"/>
      <c r="S5" s="729" t="s">
        <v>19</v>
      </c>
      <c r="T5" s="730"/>
      <c r="U5" s="731"/>
      <c r="V5" s="347"/>
      <c r="W5" s="687" t="s">
        <v>20</v>
      </c>
      <c r="X5" s="688"/>
      <c r="Y5" s="689"/>
    </row>
    <row r="6" spans="1:25" s="8" customFormat="1" ht="37.5" customHeight="1" thickTop="1">
      <c r="A6" s="313" t="s">
        <v>21</v>
      </c>
      <c r="B6" s="314" t="s">
        <v>22</v>
      </c>
      <c r="C6" s="315" t="s">
        <v>23</v>
      </c>
      <c r="D6" s="316" t="s">
        <v>24</v>
      </c>
      <c r="E6" s="317" t="s">
        <v>24</v>
      </c>
      <c r="F6" s="316" t="s">
        <v>24</v>
      </c>
      <c r="G6" s="318" t="s">
        <v>24</v>
      </c>
      <c r="H6" s="350" t="s">
        <v>26</v>
      </c>
      <c r="I6" s="326" t="s">
        <v>26</v>
      </c>
      <c r="J6" s="351" t="s">
        <v>26</v>
      </c>
      <c r="K6" s="348"/>
      <c r="L6" s="328"/>
      <c r="M6" s="144"/>
      <c r="N6" s="329" t="s">
        <v>27</v>
      </c>
      <c r="O6" s="330"/>
      <c r="P6" s="283" t="s">
        <v>87</v>
      </c>
      <c r="Q6" s="286" t="s">
        <v>30</v>
      </c>
      <c r="R6" s="40"/>
      <c r="S6" s="284" t="s">
        <v>88</v>
      </c>
      <c r="T6" s="331" t="s">
        <v>32</v>
      </c>
      <c r="U6" s="332" t="s">
        <v>34</v>
      </c>
      <c r="V6" s="40"/>
      <c r="W6" s="333" t="s">
        <v>31</v>
      </c>
      <c r="X6" s="334" t="s">
        <v>32</v>
      </c>
      <c r="Y6" s="335" t="s">
        <v>33</v>
      </c>
    </row>
    <row r="7" spans="1:25" s="8" customFormat="1" ht="11.25" customHeight="1">
      <c r="A7" s="718" t="s">
        <v>35</v>
      </c>
      <c r="B7" s="719"/>
      <c r="C7" s="719"/>
      <c r="D7" s="66"/>
      <c r="E7" s="184"/>
      <c r="F7" s="67"/>
      <c r="G7" s="139"/>
      <c r="H7" s="138"/>
      <c r="I7" s="67"/>
      <c r="J7" s="139"/>
      <c r="K7" s="265"/>
      <c r="L7" s="100"/>
      <c r="M7" s="26"/>
      <c r="N7" s="158"/>
      <c r="O7" s="160"/>
      <c r="P7" s="138"/>
      <c r="Q7" s="103"/>
      <c r="R7" s="40"/>
      <c r="S7" s="102"/>
      <c r="T7" s="100"/>
      <c r="U7" s="103"/>
      <c r="V7" s="10"/>
      <c r="W7" s="102"/>
      <c r="X7" s="100"/>
      <c r="Y7" s="156"/>
    </row>
    <row r="8" spans="1:25" s="61" customFormat="1">
      <c r="A8" s="17" t="s">
        <v>36</v>
      </c>
      <c r="B8" s="18" t="s">
        <v>37</v>
      </c>
      <c r="C8" s="19">
        <v>1</v>
      </c>
      <c r="D8" s="195">
        <v>89958000</v>
      </c>
      <c r="E8" s="279">
        <v>67721716</v>
      </c>
      <c r="F8" s="194">
        <v>76177365</v>
      </c>
      <c r="G8" s="306">
        <f>67891554.5*5.2%+67891554.5</f>
        <v>71421915.334000006</v>
      </c>
      <c r="H8" s="149">
        <f>MEDIAN(D8,E8,F8,G8)</f>
        <v>73799640.166999996</v>
      </c>
      <c r="I8" s="150">
        <f>GEOMEAN(D8,E8,F8,G8)</f>
        <v>75876326.398059666</v>
      </c>
      <c r="J8" s="151">
        <f>HARMEAN(D8,E8,F8,G8)</f>
        <v>75455788.88356556</v>
      </c>
      <c r="K8" s="56"/>
      <c r="L8" s="8"/>
      <c r="M8" s="57"/>
      <c r="N8" s="57">
        <f>MIN(H8:J8)</f>
        <v>73799640.166999996</v>
      </c>
      <c r="O8" s="58"/>
      <c r="P8" s="167">
        <f>+((MIN(H8:J8)*3)+SMALL(H8:J8,2)+SMALL(H8:J8,3))/5</f>
        <v>74546207.156525046</v>
      </c>
      <c r="Q8" s="282">
        <f t="shared" ref="Q8:Q13" si="0">ROUND((+P8/155)*30,0)</f>
        <v>14428298</v>
      </c>
      <c r="R8" s="40"/>
      <c r="S8" s="281">
        <f>ROUND((+Q8*3.23%),0)</f>
        <v>466034</v>
      </c>
      <c r="T8" s="91">
        <f t="shared" ref="T8:T16" si="1">ROUND((+Q8+S8),0)</f>
        <v>14894332</v>
      </c>
      <c r="U8" s="98">
        <f>ROUNDUP((+T8*12),0)</f>
        <v>178731984</v>
      </c>
      <c r="V8" s="193"/>
      <c r="W8" s="153">
        <f>+T8*3%</f>
        <v>446829.95999999996</v>
      </c>
      <c r="X8" s="101">
        <f>ROUND((+T8+W8),0)</f>
        <v>15341162</v>
      </c>
      <c r="Y8" s="98">
        <f>ROUND((+X8*12),0)</f>
        <v>184093944</v>
      </c>
    </row>
    <row r="9" spans="1:25" s="61" customFormat="1">
      <c r="A9" s="17" t="s">
        <v>38</v>
      </c>
      <c r="B9" s="18" t="s">
        <v>39</v>
      </c>
      <c r="C9" s="19">
        <v>1</v>
      </c>
      <c r="D9" s="195">
        <v>44462000</v>
      </c>
      <c r="E9" s="279">
        <v>56434764</v>
      </c>
      <c r="F9" s="194">
        <v>48112020</v>
      </c>
      <c r="G9" s="306">
        <f>59250053.5*5.2%+59250053.5</f>
        <v>62331056.281999998</v>
      </c>
      <c r="H9" s="149">
        <f t="shared" ref="H9:H16" si="2">MEDIAN(D9,E9,F9,G9)</f>
        <v>52273392</v>
      </c>
      <c r="I9" s="150">
        <f t="shared" ref="I9:I16" si="3">GEOMEAN(D9,E9,F9,G9)</f>
        <v>52374928.896194726</v>
      </c>
      <c r="J9" s="151">
        <f t="shared" ref="J9:J16" si="4">HARMEAN(D9,E9,F9,G9)</f>
        <v>51921832.110922813</v>
      </c>
      <c r="K9" s="56"/>
      <c r="L9" s="8"/>
      <c r="M9" s="57"/>
      <c r="N9" s="57">
        <f t="shared" ref="N9:N16" si="5">MIN(H9:J9)</f>
        <v>51921832.110922813</v>
      </c>
      <c r="O9" s="58"/>
      <c r="P9" s="167">
        <f t="shared" ref="P9:P16" si="6">+((MIN(H9:J9)*3)+SMALL(H9:J9,2)+SMALL(H9:J9,3))/5</f>
        <v>52082763.44579263</v>
      </c>
      <c r="Q9" s="282">
        <f t="shared" si="0"/>
        <v>10080535</v>
      </c>
      <c r="R9" s="40"/>
      <c r="S9" s="281">
        <f t="shared" ref="S9:S22" si="7">ROUND((+Q9*3.23%),0)</f>
        <v>325601</v>
      </c>
      <c r="T9" s="91">
        <f t="shared" si="1"/>
        <v>10406136</v>
      </c>
      <c r="U9" s="98">
        <f t="shared" ref="U9:U21" si="8">ROUNDUP((+T9*12),0)</f>
        <v>124873632</v>
      </c>
      <c r="V9" s="193"/>
      <c r="W9" s="153">
        <f t="shared" ref="W9:W21" si="9">+T9*3%</f>
        <v>312184.08</v>
      </c>
      <c r="X9" s="101">
        <f t="shared" ref="X9:X22" si="10">ROUND((+T9+W9),0)</f>
        <v>10718320</v>
      </c>
      <c r="Y9" s="98">
        <f t="shared" ref="Y9:Y21" si="11">ROUND((+X9*12),0)</f>
        <v>128619840</v>
      </c>
    </row>
    <row r="10" spans="1:25" s="61" customFormat="1">
      <c r="A10" s="17" t="s">
        <v>40</v>
      </c>
      <c r="B10" s="18" t="s">
        <v>41</v>
      </c>
      <c r="C10" s="19">
        <v>1</v>
      </c>
      <c r="D10" s="195">
        <v>54285000</v>
      </c>
      <c r="E10" s="279">
        <v>52672446</v>
      </c>
      <c r="F10" s="194">
        <v>48112020</v>
      </c>
      <c r="G10" s="306">
        <f>57981847*5.2%+57981847</f>
        <v>60996903.044</v>
      </c>
      <c r="H10" s="149">
        <f t="shared" si="2"/>
        <v>53478723</v>
      </c>
      <c r="I10" s="150">
        <f t="shared" si="3"/>
        <v>53821546.971316725</v>
      </c>
      <c r="J10" s="151">
        <f t="shared" si="4"/>
        <v>53629615.39361088</v>
      </c>
      <c r="K10" s="56"/>
      <c r="L10" s="8"/>
      <c r="M10" s="57"/>
      <c r="N10" s="57">
        <f t="shared" si="5"/>
        <v>53478723</v>
      </c>
      <c r="O10" s="58"/>
      <c r="P10" s="167">
        <f t="shared" si="6"/>
        <v>53577466.272985525</v>
      </c>
      <c r="Q10" s="282">
        <f t="shared" si="0"/>
        <v>10369832</v>
      </c>
      <c r="R10" s="40"/>
      <c r="S10" s="281">
        <f t="shared" si="7"/>
        <v>334946</v>
      </c>
      <c r="T10" s="91">
        <f t="shared" si="1"/>
        <v>10704778</v>
      </c>
      <c r="U10" s="98">
        <f t="shared" si="8"/>
        <v>128457336</v>
      </c>
      <c r="V10" s="193"/>
      <c r="W10" s="153">
        <f t="shared" si="9"/>
        <v>321143.33999999997</v>
      </c>
      <c r="X10" s="101">
        <f t="shared" si="10"/>
        <v>11025921</v>
      </c>
      <c r="Y10" s="98">
        <f t="shared" si="11"/>
        <v>132311052</v>
      </c>
    </row>
    <row r="11" spans="1:25" s="61" customFormat="1">
      <c r="A11" s="17" t="s">
        <v>42</v>
      </c>
      <c r="B11" s="18" t="s">
        <v>43</v>
      </c>
      <c r="C11" s="19">
        <v>1</v>
      </c>
      <c r="D11" s="195">
        <v>37224000</v>
      </c>
      <c r="E11" s="279">
        <v>52672446</v>
      </c>
      <c r="F11" s="194">
        <v>48112020</v>
      </c>
      <c r="G11" s="306">
        <f>57981847*5.2%+57981847</f>
        <v>60996903.044</v>
      </c>
      <c r="H11" s="149">
        <f t="shared" si="2"/>
        <v>50392233</v>
      </c>
      <c r="I11" s="150">
        <f t="shared" si="3"/>
        <v>48976976.99894204</v>
      </c>
      <c r="J11" s="151">
        <f t="shared" si="4"/>
        <v>48176084.335514374</v>
      </c>
      <c r="K11" s="56"/>
      <c r="L11" s="8"/>
      <c r="M11" s="57"/>
      <c r="N11" s="57">
        <f t="shared" si="5"/>
        <v>48176084.335514374</v>
      </c>
      <c r="O11" s="58"/>
      <c r="P11" s="167">
        <f t="shared" si="6"/>
        <v>48779492.601097032</v>
      </c>
      <c r="Q11" s="282">
        <f t="shared" si="0"/>
        <v>9441192</v>
      </c>
      <c r="R11" s="40"/>
      <c r="S11" s="281">
        <f t="shared" si="7"/>
        <v>304951</v>
      </c>
      <c r="T11" s="91">
        <f t="shared" si="1"/>
        <v>9746143</v>
      </c>
      <c r="U11" s="98">
        <f t="shared" si="8"/>
        <v>116953716</v>
      </c>
      <c r="V11" s="193"/>
      <c r="W11" s="153">
        <f t="shared" si="9"/>
        <v>292384.28999999998</v>
      </c>
      <c r="X11" s="101">
        <f t="shared" si="10"/>
        <v>10038527</v>
      </c>
      <c r="Y11" s="98">
        <f t="shared" si="11"/>
        <v>120462324</v>
      </c>
    </row>
    <row r="12" spans="1:25" s="61" customFormat="1">
      <c r="A12" s="17" t="s">
        <v>44</v>
      </c>
      <c r="B12" s="278" t="s">
        <v>45</v>
      </c>
      <c r="C12" s="19">
        <v>1</v>
      </c>
      <c r="D12" s="195">
        <v>44462000</v>
      </c>
      <c r="E12" s="279">
        <v>33860858</v>
      </c>
      <c r="F12" s="194">
        <v>40093350</v>
      </c>
      <c r="G12" s="306">
        <f>45456713.5*5.2%+45456713.5</f>
        <v>47820462.601999998</v>
      </c>
      <c r="H12" s="149">
        <f t="shared" si="2"/>
        <v>42277675</v>
      </c>
      <c r="I12" s="150">
        <f t="shared" si="3"/>
        <v>41218602.942869686</v>
      </c>
      <c r="J12" s="151">
        <f t="shared" si="4"/>
        <v>40867585.083914101</v>
      </c>
      <c r="K12" s="56"/>
      <c r="L12" s="8"/>
      <c r="M12" s="57"/>
      <c r="N12" s="57">
        <f t="shared" si="5"/>
        <v>40867585.083914101</v>
      </c>
      <c r="O12" s="58"/>
      <c r="P12" s="167">
        <f t="shared" si="6"/>
        <v>41219806.638922401</v>
      </c>
      <c r="Q12" s="282">
        <f t="shared" si="0"/>
        <v>7978027</v>
      </c>
      <c r="R12" s="40"/>
      <c r="S12" s="281">
        <f t="shared" si="7"/>
        <v>257690</v>
      </c>
      <c r="T12" s="91">
        <f t="shared" si="1"/>
        <v>8235717</v>
      </c>
      <c r="U12" s="98">
        <f t="shared" si="8"/>
        <v>98828604</v>
      </c>
      <c r="V12" s="193"/>
      <c r="W12" s="153">
        <f t="shared" si="9"/>
        <v>247071.50999999998</v>
      </c>
      <c r="X12" s="101">
        <f t="shared" si="10"/>
        <v>8482789</v>
      </c>
      <c r="Y12" s="98">
        <f t="shared" si="11"/>
        <v>101793468</v>
      </c>
    </row>
    <row r="13" spans="1:25" s="61" customFormat="1">
      <c r="A13" s="17" t="s">
        <v>46</v>
      </c>
      <c r="B13" s="278" t="s">
        <v>47</v>
      </c>
      <c r="C13" s="19">
        <v>0.5</v>
      </c>
      <c r="D13" s="195">
        <v>22231000</v>
      </c>
      <c r="E13" s="279">
        <v>20692747</v>
      </c>
      <c r="F13" s="194">
        <v>12028005</v>
      </c>
      <c r="G13" s="306">
        <f>38077677*5.2%+38077677</f>
        <v>40057716.204000004</v>
      </c>
      <c r="H13" s="149">
        <f t="shared" si="2"/>
        <v>21461873.5</v>
      </c>
      <c r="I13" s="150">
        <f t="shared" si="3"/>
        <v>21697726.618132442</v>
      </c>
      <c r="J13" s="151">
        <f t="shared" si="4"/>
        <v>19859826.376324233</v>
      </c>
      <c r="K13" s="56"/>
      <c r="L13" s="8"/>
      <c r="M13" s="57"/>
      <c r="N13" s="57">
        <f t="shared" si="5"/>
        <v>19859826.376324233</v>
      </c>
      <c r="O13" s="58"/>
      <c r="P13" s="167">
        <f t="shared" si="6"/>
        <v>20547815.849421028</v>
      </c>
      <c r="Q13" s="282">
        <f t="shared" si="0"/>
        <v>3976997</v>
      </c>
      <c r="R13" s="40"/>
      <c r="S13" s="281">
        <f>ROUND((+Q13*3.23%),0)</f>
        <v>128457</v>
      </c>
      <c r="T13" s="91">
        <f>ROUND((+Q13+S13),0)</f>
        <v>4105454</v>
      </c>
      <c r="U13" s="98">
        <f>ROUNDUP((+T13*12),0)</f>
        <v>49265448</v>
      </c>
      <c r="V13" s="193"/>
      <c r="W13" s="153">
        <f>+T13*3%</f>
        <v>123163.62</v>
      </c>
      <c r="X13" s="101">
        <f t="shared" si="10"/>
        <v>4228618</v>
      </c>
      <c r="Y13" s="98">
        <f t="shared" si="11"/>
        <v>50743416</v>
      </c>
    </row>
    <row r="14" spans="1:25" s="61" customFormat="1">
      <c r="A14" s="17" t="s">
        <v>48</v>
      </c>
      <c r="B14" s="18" t="s">
        <v>49</v>
      </c>
      <c r="C14" s="19">
        <v>1</v>
      </c>
      <c r="D14" s="195">
        <v>295724000</v>
      </c>
      <c r="E14" s="279">
        <v>256004839</v>
      </c>
      <c r="F14" s="194">
        <v>338788808</v>
      </c>
      <c r="G14" s="306">
        <f>291617612*5.2%+291617612</f>
        <v>306781727.824</v>
      </c>
      <c r="H14" s="149">
        <f t="shared" si="2"/>
        <v>301252863.912</v>
      </c>
      <c r="I14" s="150">
        <f t="shared" si="3"/>
        <v>297833347.35014403</v>
      </c>
      <c r="J14" s="151">
        <f t="shared" si="4"/>
        <v>296317246.86215931</v>
      </c>
      <c r="K14" s="56"/>
      <c r="L14" s="8"/>
      <c r="M14" s="57"/>
      <c r="N14" s="57">
        <f t="shared" si="5"/>
        <v>296317246.86215931</v>
      </c>
      <c r="O14" s="58"/>
      <c r="P14" s="167">
        <f t="shared" si="6"/>
        <v>297607590.36972439</v>
      </c>
      <c r="Q14" s="282">
        <f t="shared" ref="Q14:Q22" si="12">ROUND((+P14/155)*30,0)</f>
        <v>57601469</v>
      </c>
      <c r="R14" s="40"/>
      <c r="S14" s="281">
        <f t="shared" si="7"/>
        <v>1860527</v>
      </c>
      <c r="T14" s="91">
        <f t="shared" si="1"/>
        <v>59461996</v>
      </c>
      <c r="U14" s="98">
        <f t="shared" si="8"/>
        <v>713543952</v>
      </c>
      <c r="V14" s="193"/>
      <c r="W14" s="153">
        <f t="shared" si="9"/>
        <v>1783859.88</v>
      </c>
      <c r="X14" s="101">
        <f t="shared" si="10"/>
        <v>61245856</v>
      </c>
      <c r="Y14" s="98">
        <f t="shared" si="11"/>
        <v>734950272</v>
      </c>
    </row>
    <row r="15" spans="1:25" s="61" customFormat="1">
      <c r="A15" s="17" t="s">
        <v>50</v>
      </c>
      <c r="B15" s="18" t="s">
        <v>51</v>
      </c>
      <c r="C15" s="19">
        <v>1</v>
      </c>
      <c r="D15" s="195">
        <v>282282000</v>
      </c>
      <c r="E15" s="279">
        <v>264114693</v>
      </c>
      <c r="F15" s="194">
        <v>342437302</v>
      </c>
      <c r="G15" s="306">
        <f>296377438.5*5.2%+296377438.5</f>
        <v>311789065.30199999</v>
      </c>
      <c r="H15" s="149">
        <f t="shared" si="2"/>
        <v>297035532.65100002</v>
      </c>
      <c r="I15" s="150">
        <f t="shared" si="3"/>
        <v>298696011.62576473</v>
      </c>
      <c r="J15" s="151">
        <f t="shared" si="4"/>
        <v>297257874.92723542</v>
      </c>
      <c r="K15" s="56"/>
      <c r="L15" s="8"/>
      <c r="M15" s="57"/>
      <c r="N15" s="57">
        <f t="shared" si="5"/>
        <v>297035532.65100002</v>
      </c>
      <c r="O15" s="58"/>
      <c r="P15" s="167">
        <f t="shared" si="6"/>
        <v>297412096.9012</v>
      </c>
      <c r="Q15" s="282">
        <f t="shared" si="12"/>
        <v>57563632</v>
      </c>
      <c r="R15" s="40"/>
      <c r="S15" s="281">
        <f t="shared" si="7"/>
        <v>1859305</v>
      </c>
      <c r="T15" s="91">
        <f t="shared" si="1"/>
        <v>59422937</v>
      </c>
      <c r="U15" s="98">
        <f t="shared" si="8"/>
        <v>713075244</v>
      </c>
      <c r="V15" s="193"/>
      <c r="W15" s="153">
        <f t="shared" si="9"/>
        <v>1782688.1099999999</v>
      </c>
      <c r="X15" s="101">
        <f t="shared" si="10"/>
        <v>61205625</v>
      </c>
      <c r="Y15" s="98">
        <f t="shared" si="11"/>
        <v>734467500</v>
      </c>
    </row>
    <row r="16" spans="1:25" s="61" customFormat="1">
      <c r="A16" s="17" t="s">
        <v>52</v>
      </c>
      <c r="B16" s="18" t="s">
        <v>53</v>
      </c>
      <c r="C16" s="19">
        <v>1</v>
      </c>
      <c r="D16" s="195">
        <v>10081500</v>
      </c>
      <c r="E16" s="279">
        <v>26336223</v>
      </c>
      <c r="F16" s="194">
        <v>14032673</v>
      </c>
      <c r="G16" s="306">
        <f>19294368.5*5.2%+19294368.5</f>
        <v>20297675.662</v>
      </c>
      <c r="H16" s="149">
        <f t="shared" si="2"/>
        <v>17165174.331</v>
      </c>
      <c r="I16" s="150">
        <f t="shared" si="3"/>
        <v>16583123.678500524</v>
      </c>
      <c r="J16" s="151">
        <f t="shared" si="4"/>
        <v>15522461.362637436</v>
      </c>
      <c r="K16" s="56"/>
      <c r="L16" s="8"/>
      <c r="M16" s="57"/>
      <c r="N16" s="57">
        <f t="shared" si="5"/>
        <v>15522461.362637436</v>
      </c>
      <c r="O16" s="58"/>
      <c r="P16" s="167">
        <f t="shared" si="6"/>
        <v>16063136.419482565</v>
      </c>
      <c r="Q16" s="282">
        <f t="shared" si="12"/>
        <v>3108994</v>
      </c>
      <c r="R16" s="40"/>
      <c r="S16" s="281">
        <f t="shared" si="7"/>
        <v>100421</v>
      </c>
      <c r="T16" s="91">
        <f t="shared" si="1"/>
        <v>3209415</v>
      </c>
      <c r="U16" s="98">
        <f t="shared" si="8"/>
        <v>38512980</v>
      </c>
      <c r="V16" s="193"/>
      <c r="W16" s="153">
        <f t="shared" si="9"/>
        <v>96282.45</v>
      </c>
      <c r="X16" s="101">
        <f t="shared" si="10"/>
        <v>3305697</v>
      </c>
      <c r="Y16" s="214">
        <f t="shared" si="11"/>
        <v>39668364</v>
      </c>
    </row>
    <row r="17" spans="1:27" s="61" customFormat="1" ht="10.5" customHeight="1">
      <c r="A17" s="718" t="s">
        <v>54</v>
      </c>
      <c r="B17" s="719"/>
      <c r="C17" s="719"/>
      <c r="D17" s="69"/>
      <c r="E17" s="279"/>
      <c r="F17" s="70"/>
      <c r="G17" s="306"/>
      <c r="H17" s="352"/>
      <c r="I17" s="140"/>
      <c r="J17" s="353"/>
      <c r="K17" s="349"/>
      <c r="L17" s="100"/>
      <c r="M17" s="143"/>
      <c r="N17" s="143"/>
      <c r="O17" s="164"/>
      <c r="P17" s="167"/>
      <c r="Q17" s="282"/>
      <c r="R17" s="40"/>
      <c r="S17" s="281">
        <f t="shared" si="7"/>
        <v>0</v>
      </c>
      <c r="T17" s="91"/>
      <c r="U17" s="98"/>
      <c r="V17" s="193"/>
      <c r="W17" s="153"/>
      <c r="X17" s="101"/>
      <c r="Y17" s="98"/>
    </row>
    <row r="18" spans="1:27" s="61" customFormat="1" ht="49.5" customHeight="1">
      <c r="A18" s="17" t="s">
        <v>55</v>
      </c>
      <c r="B18" s="18" t="s">
        <v>56</v>
      </c>
      <c r="C18" s="19">
        <v>1</v>
      </c>
      <c r="D18" s="195">
        <v>140000000</v>
      </c>
      <c r="E18" s="279">
        <v>82056000</v>
      </c>
      <c r="F18" s="194">
        <v>31020000</v>
      </c>
      <c r="G18" s="306">
        <f>108372917*5.2%+108372917</f>
        <v>114008308.684</v>
      </c>
      <c r="H18" s="149">
        <f>MEDIAN(D18,E18,F18,G18)</f>
        <v>98032154.342000008</v>
      </c>
      <c r="I18" s="150">
        <f>GEOMEAN(D18,E18,F18,G18)</f>
        <v>79836992.529385939</v>
      </c>
      <c r="J18" s="151">
        <f>HARMEAN(D18,E18,F18,G18)</f>
        <v>66292980.618712425</v>
      </c>
      <c r="K18" s="56"/>
      <c r="L18" s="8"/>
      <c r="M18" s="57"/>
      <c r="N18" s="57">
        <f>MIN(H18:J18)</f>
        <v>66292980.618712425</v>
      </c>
      <c r="O18" s="58"/>
      <c r="P18" s="167">
        <f>+((MIN(H18:J18)*3)+SMALL(H18:J18,2)+SMALL(H18:J18,3))/5</f>
        <v>75349617.745504647</v>
      </c>
      <c r="Q18" s="282">
        <f t="shared" si="12"/>
        <v>14583797</v>
      </c>
      <c r="R18" s="40"/>
      <c r="S18" s="281">
        <f t="shared" si="7"/>
        <v>471057</v>
      </c>
      <c r="T18" s="91">
        <f>ROUND((+Q18+S18),0)</f>
        <v>15054854</v>
      </c>
      <c r="U18" s="98">
        <f t="shared" si="8"/>
        <v>180658248</v>
      </c>
      <c r="V18" s="193"/>
      <c r="W18" s="153">
        <f t="shared" si="9"/>
        <v>451645.62</v>
      </c>
      <c r="X18" s="101">
        <f t="shared" si="10"/>
        <v>15506500</v>
      </c>
      <c r="Y18" s="155">
        <f t="shared" si="11"/>
        <v>186078000</v>
      </c>
    </row>
    <row r="19" spans="1:27" s="61" customFormat="1" ht="36.75" customHeight="1">
      <c r="A19" s="17" t="s">
        <v>57</v>
      </c>
      <c r="B19" s="18" t="s">
        <v>58</v>
      </c>
      <c r="C19" s="19">
        <v>1</v>
      </c>
      <c r="D19" s="195">
        <v>50000000</v>
      </c>
      <c r="E19" s="279">
        <v>112248400</v>
      </c>
      <c r="F19" s="194">
        <v>186120000</v>
      </c>
      <c r="G19" s="306">
        <f>36109065*5.2%+36109065</f>
        <v>37986736.380000003</v>
      </c>
      <c r="H19" s="149">
        <f>MEDIAN(D19,E19,F19,G19)</f>
        <v>81124200</v>
      </c>
      <c r="I19" s="150">
        <f>GEOMEAN(D19,E19,F19,G19)</f>
        <v>79367700.461817682</v>
      </c>
      <c r="J19" s="151">
        <f>HARMEAN(D19,E19,F19,G19)</f>
        <v>65999337.81334392</v>
      </c>
      <c r="K19" s="56"/>
      <c r="L19" s="8"/>
      <c r="M19" s="57"/>
      <c r="N19" s="57">
        <f t="shared" ref="N19:N21" si="13">MIN(H19:J19)</f>
        <v>65999337.81334392</v>
      </c>
      <c r="O19" s="58"/>
      <c r="P19" s="167">
        <f>+((MIN(H19:J19)*3)+SMALL(H19:J19,2)+SMALL(H19:J19,3))/5</f>
        <v>71697982.780369893</v>
      </c>
      <c r="Q19" s="282">
        <f t="shared" si="12"/>
        <v>13877029</v>
      </c>
      <c r="R19" s="40"/>
      <c r="S19" s="281">
        <f t="shared" si="7"/>
        <v>448228</v>
      </c>
      <c r="T19" s="91">
        <f>ROUND((+Q19+S19),0)</f>
        <v>14325257</v>
      </c>
      <c r="U19" s="98">
        <f t="shared" si="8"/>
        <v>171903084</v>
      </c>
      <c r="V19" s="193"/>
      <c r="W19" s="153">
        <f t="shared" si="9"/>
        <v>429757.70999999996</v>
      </c>
      <c r="X19" s="101">
        <f t="shared" si="10"/>
        <v>14755015</v>
      </c>
      <c r="Y19" s="214">
        <f t="shared" si="11"/>
        <v>177060180</v>
      </c>
    </row>
    <row r="20" spans="1:27" s="128" customFormat="1" ht="16.5" customHeight="1">
      <c r="A20" s="718" t="s">
        <v>59</v>
      </c>
      <c r="B20" s="719"/>
      <c r="C20" s="719"/>
      <c r="D20" s="69"/>
      <c r="E20" s="279"/>
      <c r="F20" s="70"/>
      <c r="G20" s="306"/>
      <c r="H20" s="352"/>
      <c r="I20" s="140"/>
      <c r="J20" s="353"/>
      <c r="K20" s="349"/>
      <c r="L20" s="100"/>
      <c r="M20" s="143"/>
      <c r="N20" s="143"/>
      <c r="O20" s="164"/>
      <c r="P20" s="167"/>
      <c r="Q20" s="282"/>
      <c r="R20" s="40"/>
      <c r="S20" s="281">
        <f t="shared" si="7"/>
        <v>0</v>
      </c>
      <c r="T20" s="91"/>
      <c r="U20" s="98"/>
      <c r="V20" s="193"/>
      <c r="W20" s="153"/>
      <c r="X20" s="101"/>
      <c r="Y20" s="98"/>
    </row>
    <row r="21" spans="1:27" s="61" customFormat="1" ht="12.75" thickBot="1">
      <c r="A21" s="307">
        <v>3</v>
      </c>
      <c r="B21" s="21" t="s">
        <v>60</v>
      </c>
      <c r="C21" s="308">
        <v>1</v>
      </c>
      <c r="D21" s="309">
        <v>107070950</v>
      </c>
      <c r="E21" s="345">
        <v>500000000</v>
      </c>
      <c r="F21" s="311">
        <v>51700000</v>
      </c>
      <c r="G21" s="312">
        <f>103281457*5.2%+103281457</f>
        <v>108652092.764</v>
      </c>
      <c r="H21" s="354">
        <f>MEDIAN(D21,E21,F21,G21)</f>
        <v>107861521.382</v>
      </c>
      <c r="I21" s="355">
        <f>GEOMEAN(D21,E21,F21,G21)</f>
        <v>131686900.18276042</v>
      </c>
      <c r="J21" s="356">
        <f>HARMEAN(D21,E21,F21,G21)</f>
        <v>100286695.68032388</v>
      </c>
      <c r="K21" s="56"/>
      <c r="L21" s="8"/>
      <c r="M21" s="57"/>
      <c r="N21" s="57">
        <f t="shared" si="13"/>
        <v>100286695.68032388</v>
      </c>
      <c r="O21" s="58"/>
      <c r="P21" s="167">
        <f>+((MIN(H21:J21)*3)+SMALL(H21:J21,2)+SMALL(H21:J21,3))/5</f>
        <v>108081701.72114639</v>
      </c>
      <c r="Q21" s="282">
        <f t="shared" si="12"/>
        <v>20919039</v>
      </c>
      <c r="R21" s="40"/>
      <c r="S21" s="281">
        <f t="shared" si="7"/>
        <v>675685</v>
      </c>
      <c r="T21" s="91">
        <f>ROUND((+Q21+S21),0)</f>
        <v>21594724</v>
      </c>
      <c r="U21" s="98">
        <f t="shared" si="8"/>
        <v>259136688</v>
      </c>
      <c r="V21" s="193"/>
      <c r="W21" s="153">
        <f t="shared" si="9"/>
        <v>647841.72</v>
      </c>
      <c r="X21" s="101">
        <f t="shared" si="10"/>
        <v>22242566</v>
      </c>
      <c r="Y21" s="155">
        <f t="shared" si="11"/>
        <v>266910792</v>
      </c>
    </row>
    <row r="22" spans="1:27" s="128" customFormat="1" ht="28.5" customHeight="1" thickBot="1">
      <c r="A22" s="293"/>
      <c r="B22" s="294"/>
      <c r="C22" s="295"/>
      <c r="D22" s="296"/>
      <c r="E22" s="297"/>
      <c r="F22" s="297"/>
      <c r="G22" s="297"/>
      <c r="H22" s="32"/>
      <c r="I22" s="32"/>
      <c r="J22" s="32"/>
      <c r="K22" s="56"/>
      <c r="L22" s="10"/>
      <c r="M22" s="58"/>
      <c r="N22" s="58"/>
      <c r="P22" s="285">
        <f>ROUND((SUM(Q8:Q21)),0)</f>
        <v>223928841</v>
      </c>
      <c r="Q22" s="115">
        <f t="shared" si="12"/>
        <v>43341066</v>
      </c>
      <c r="R22" s="304"/>
      <c r="S22" s="281">
        <f t="shared" si="7"/>
        <v>1399916</v>
      </c>
      <c r="T22" s="135">
        <f>SUM(T7:T21)</f>
        <v>231161743</v>
      </c>
      <c r="U22" s="357">
        <f>SUM(U8:U21)</f>
        <v>2773940916</v>
      </c>
      <c r="V22" s="241"/>
      <c r="W22" s="163">
        <f>SUM(W8:W21)</f>
        <v>6934852.2899999991</v>
      </c>
      <c r="X22" s="221">
        <f t="shared" si="10"/>
        <v>238096595</v>
      </c>
      <c r="Y22" s="132">
        <f>SUM(Y8:Y21)</f>
        <v>2857159152</v>
      </c>
    </row>
    <row r="23" spans="1:27" ht="25.5" customHeight="1" thickBot="1">
      <c r="A23" s="303"/>
      <c r="D23" s="298"/>
      <c r="E23" s="298"/>
      <c r="F23" s="298"/>
      <c r="G23" s="298"/>
      <c r="H23" s="32"/>
      <c r="I23" s="32"/>
      <c r="J23" s="32"/>
      <c r="K23" s="32"/>
      <c r="L23" s="32"/>
      <c r="M23" s="32"/>
      <c r="N23" s="299"/>
      <c r="P23" s="299"/>
      <c r="Q23" s="193"/>
      <c r="R23" s="32"/>
      <c r="S23" s="32"/>
      <c r="T23" s="32"/>
      <c r="U23" s="32"/>
      <c r="W23" s="32"/>
      <c r="X23" s="32"/>
      <c r="Y23" s="32"/>
      <c r="Z23" s="32"/>
      <c r="AA23" s="32"/>
    </row>
    <row r="24" spans="1:27" ht="82.5" customHeight="1" thickBot="1">
      <c r="A24" s="739" t="s">
        <v>61</v>
      </c>
      <c r="B24" s="740"/>
      <c r="C24" s="741"/>
      <c r="D24" s="359" t="s">
        <v>7</v>
      </c>
      <c r="E24" s="359" t="s">
        <v>9</v>
      </c>
      <c r="F24" s="359" t="s">
        <v>11</v>
      </c>
      <c r="G24" s="360" t="s">
        <v>12</v>
      </c>
      <c r="H24" s="32"/>
      <c r="I24" s="32"/>
      <c r="J24" s="32"/>
      <c r="K24" s="32"/>
      <c r="L24" s="32"/>
      <c r="M24" s="32"/>
      <c r="N24" s="32"/>
      <c r="O24" s="300" t="s">
        <v>62</v>
      </c>
      <c r="P24" s="301" t="s">
        <v>62</v>
      </c>
      <c r="Q24" s="40"/>
      <c r="R24" s="10"/>
      <c r="S24" s="302"/>
      <c r="T24" s="40"/>
      <c r="U24" s="301" t="s">
        <v>63</v>
      </c>
      <c r="V24" s="4"/>
      <c r="W24" s="302"/>
      <c r="X24" s="40"/>
      <c r="Y24" s="301" t="s">
        <v>64</v>
      </c>
      <c r="AA24" s="301" t="s">
        <v>64</v>
      </c>
    </row>
    <row r="25" spans="1:27" s="3" customFormat="1" ht="24.75" customHeight="1">
      <c r="A25" s="732" t="s">
        <v>65</v>
      </c>
      <c r="B25" s="723"/>
      <c r="C25" s="724"/>
      <c r="D25" s="280">
        <f>+D8+D9+D10+D11+D12+D13+D14+D15+D16+D18+D19</f>
        <v>1070709500</v>
      </c>
      <c r="E25" s="280">
        <f t="shared" ref="E25:G25" si="14">+E8+E9+E10+E11+E12+E13+E14+E15+E16+E18+E19</f>
        <v>1024815132</v>
      </c>
      <c r="F25" s="280">
        <f t="shared" si="14"/>
        <v>1185033563</v>
      </c>
      <c r="G25" s="280">
        <f t="shared" si="14"/>
        <v>1134488470.362</v>
      </c>
      <c r="H25" s="162"/>
      <c r="I25" s="162"/>
      <c r="J25" s="162"/>
      <c r="K25" s="162"/>
      <c r="L25" s="162"/>
      <c r="M25" s="162"/>
      <c r="N25" s="162"/>
      <c r="O25" s="289">
        <f>+P25/1.19</f>
        <v>881415105.88235295</v>
      </c>
      <c r="P25" s="291">
        <f>ROUND((+P8+P9+P10+P11+P12+P13+P14+P15+P16+P18+P19),0)</f>
        <v>1048883976</v>
      </c>
      <c r="Q25" s="162"/>
      <c r="R25" s="162"/>
      <c r="S25" s="162"/>
      <c r="T25" s="162"/>
      <c r="U25" s="291">
        <f>+U8+U9+U10+U11+U12+U13+U14+U15+U16+U18+U19</f>
        <v>2514804228</v>
      </c>
      <c r="W25" s="162"/>
      <c r="X25" s="162"/>
      <c r="Y25" s="291">
        <f>+Y8+Y9+Y10+Y11+Y12+Y13+Y14+Y15+Y16+Y18+Y19</f>
        <v>2590248360</v>
      </c>
      <c r="AA25" s="684">
        <f>+P29+U29+Y29</f>
        <v>8077798238</v>
      </c>
    </row>
    <row r="26" spans="1:27" s="3" customFormat="1" ht="24.75" customHeight="1">
      <c r="A26" s="733" t="s">
        <v>66</v>
      </c>
      <c r="B26" s="725"/>
      <c r="C26" s="726"/>
      <c r="D26" s="274">
        <f>+D21</f>
        <v>107070950</v>
      </c>
      <c r="E26" s="274">
        <f t="shared" ref="E26:G26" si="15">+E21</f>
        <v>500000000</v>
      </c>
      <c r="F26" s="274">
        <f t="shared" si="15"/>
        <v>51700000</v>
      </c>
      <c r="G26" s="274">
        <f t="shared" si="15"/>
        <v>108652092.764</v>
      </c>
      <c r="H26" s="162"/>
      <c r="I26" s="162"/>
      <c r="J26" s="162"/>
      <c r="K26" s="162"/>
      <c r="L26" s="162"/>
      <c r="M26" s="162"/>
      <c r="N26" s="162"/>
      <c r="O26" s="289">
        <f>+P26/1.19</f>
        <v>90824959.663865551</v>
      </c>
      <c r="P26" s="291">
        <f>ROUND((+P21),0)</f>
        <v>108081702</v>
      </c>
      <c r="Q26" s="162"/>
      <c r="R26" s="162"/>
      <c r="S26" s="162"/>
      <c r="T26" s="162"/>
      <c r="U26" s="291">
        <f>+U21</f>
        <v>259136688</v>
      </c>
      <c r="W26" s="162"/>
      <c r="X26" s="162"/>
      <c r="Y26" s="291">
        <f>+Y21</f>
        <v>266910792</v>
      </c>
      <c r="AA26" s="685"/>
    </row>
    <row r="27" spans="1:27" s="3" customFormat="1" ht="24.75" customHeight="1">
      <c r="A27" s="733" t="s">
        <v>67</v>
      </c>
      <c r="B27" s="725"/>
      <c r="C27" s="726"/>
      <c r="D27" s="274">
        <f>SUM(D25:D26)</f>
        <v>1177780450</v>
      </c>
      <c r="E27" s="274">
        <f t="shared" ref="E27:G27" si="16">SUM(E25:E26)</f>
        <v>1524815132</v>
      </c>
      <c r="F27" s="274">
        <f t="shared" si="16"/>
        <v>1236733563</v>
      </c>
      <c r="G27" s="274">
        <f t="shared" si="16"/>
        <v>1243140563.1259999</v>
      </c>
      <c r="H27" s="162"/>
      <c r="I27" s="162"/>
      <c r="J27" s="162"/>
      <c r="K27" s="162"/>
      <c r="L27" s="162"/>
      <c r="M27" s="162"/>
      <c r="N27" s="162"/>
      <c r="O27" s="289">
        <f t="shared" ref="O27" si="17">+P27/1.19</f>
        <v>972240065.54621851</v>
      </c>
      <c r="P27" s="291">
        <f>SUM(P25:P26)</f>
        <v>1156965678</v>
      </c>
      <c r="Q27" s="162"/>
      <c r="R27" s="162"/>
      <c r="S27" s="162"/>
      <c r="T27" s="162"/>
      <c r="U27" s="291">
        <f>SUM(U25:U26)</f>
        <v>2773940916</v>
      </c>
      <c r="W27" s="162"/>
      <c r="X27" s="162"/>
      <c r="Y27" s="291">
        <f>SUM(Y25:Y26)</f>
        <v>2857159152</v>
      </c>
      <c r="AA27" s="685"/>
    </row>
    <row r="28" spans="1:27" s="3" customFormat="1" ht="24.75" customHeight="1" thickBot="1">
      <c r="A28" s="734" t="s">
        <v>68</v>
      </c>
      <c r="B28" s="735"/>
      <c r="C28" s="736"/>
      <c r="D28" s="366">
        <f>+D27*19%</f>
        <v>223778285.5</v>
      </c>
      <c r="E28" s="366">
        <f t="shared" ref="E28:G28" si="18">+E27*19%</f>
        <v>289714875.07999998</v>
      </c>
      <c r="F28" s="366">
        <f t="shared" si="18"/>
        <v>234979376.97</v>
      </c>
      <c r="G28" s="366">
        <f t="shared" si="18"/>
        <v>236196706.99394</v>
      </c>
      <c r="H28" s="162"/>
      <c r="I28" s="162"/>
      <c r="J28" s="162"/>
      <c r="K28" s="162"/>
      <c r="L28" s="162"/>
      <c r="M28" s="162"/>
      <c r="N28" s="162"/>
      <c r="O28" s="289">
        <f>+O27*19%</f>
        <v>184725612.45378152</v>
      </c>
      <c r="P28" s="362">
        <f>ROUND((+P27*19%),0)</f>
        <v>219823479</v>
      </c>
      <c r="Q28" s="365">
        <f>+P26/P29</f>
        <v>7.8502726035051137E-2</v>
      </c>
      <c r="R28" s="162"/>
      <c r="S28" s="162"/>
      <c r="T28" s="162"/>
      <c r="U28" s="362">
        <f>ROUND((+U27*19%),0)</f>
        <v>527048774</v>
      </c>
      <c r="W28" s="365">
        <f>+U26/U29</f>
        <v>7.8502725647713253E-2</v>
      </c>
      <c r="X28" s="162"/>
      <c r="Y28" s="362">
        <f>ROUND((+Y27*19%),0)</f>
        <v>542860239</v>
      </c>
      <c r="Z28" s="157">
        <f>+Y26/Y29</f>
        <v>7.8502726398127179E-2</v>
      </c>
      <c r="AA28" s="685"/>
    </row>
    <row r="29" spans="1:27" s="3" customFormat="1" ht="24.75" customHeight="1" thickTop="1" thickBot="1">
      <c r="A29" s="737" t="s">
        <v>69</v>
      </c>
      <c r="B29" s="738"/>
      <c r="C29" s="738"/>
      <c r="D29" s="358">
        <f>SUM(D27:D28)</f>
        <v>1401558735.5</v>
      </c>
      <c r="E29" s="358">
        <f t="shared" ref="E29:G29" si="19">SUM(E27:E28)</f>
        <v>1814530007.0799999</v>
      </c>
      <c r="F29" s="358">
        <f t="shared" si="19"/>
        <v>1471712939.97</v>
      </c>
      <c r="G29" s="358">
        <f t="shared" si="19"/>
        <v>1479337270.1199398</v>
      </c>
      <c r="H29" s="162"/>
      <c r="I29" s="271"/>
      <c r="J29" s="162"/>
      <c r="K29" s="162"/>
      <c r="L29" s="162"/>
      <c r="M29" s="162"/>
      <c r="N29" s="162"/>
      <c r="O29" s="290">
        <f>+O27+O28</f>
        <v>1156965678</v>
      </c>
      <c r="P29" s="361">
        <f>ROUND((+P27+P28),0)</f>
        <v>1376789157</v>
      </c>
      <c r="Q29" s="292"/>
      <c r="R29" s="292"/>
      <c r="S29" s="292"/>
      <c r="T29" s="292"/>
      <c r="U29" s="361">
        <f>ROUND((+U27+U28),0)</f>
        <v>3300989690</v>
      </c>
      <c r="V29" s="240"/>
      <c r="W29" s="292"/>
      <c r="X29" s="292"/>
      <c r="Y29" s="361">
        <f>ROUND((+Y27+Y28),0)</f>
        <v>3400019391</v>
      </c>
      <c r="AA29" s="686"/>
    </row>
    <row r="30" spans="1:27" s="3" customFormat="1" ht="35.25" customHeight="1">
      <c r="A30" s="27"/>
      <c r="C30" s="117"/>
      <c r="D30" s="71"/>
      <c r="E30" s="71"/>
      <c r="F30" s="71"/>
      <c r="G30" s="71"/>
      <c r="I30" s="120"/>
      <c r="J30" s="695" t="s">
        <v>70</v>
      </c>
      <c r="K30" s="696"/>
      <c r="L30" s="129"/>
      <c r="M30" s="129"/>
      <c r="N30" s="131">
        <f>+P29/155*30</f>
        <v>266475320.7096774</v>
      </c>
      <c r="P30" s="226" t="s">
        <v>71</v>
      </c>
      <c r="Q30" s="232">
        <f>ROUND((+N30/30*155),0)</f>
        <v>1376789157</v>
      </c>
      <c r="S30" s="287">
        <v>1386161735</v>
      </c>
      <c r="T30" s="233" t="s">
        <v>72</v>
      </c>
      <c r="V30" s="162"/>
    </row>
    <row r="31" spans="1:27" s="3" customFormat="1">
      <c r="A31" s="27"/>
      <c r="C31" s="121"/>
      <c r="D31" s="71"/>
      <c r="E31" s="71"/>
      <c r="F31" s="71"/>
      <c r="G31" s="71"/>
      <c r="J31" s="3" t="s">
        <v>73</v>
      </c>
      <c r="N31" s="122">
        <f>ROUND((+N30*3%),0)</f>
        <v>7994260</v>
      </c>
      <c r="P31" s="123"/>
      <c r="Q31" s="123"/>
      <c r="S31" s="288">
        <f>+S30-Q30</f>
        <v>9372578</v>
      </c>
      <c r="T31" s="3" t="s">
        <v>74</v>
      </c>
      <c r="V31" s="162"/>
    </row>
    <row r="32" spans="1:27" s="3" customFormat="1" ht="30.75" customHeight="1">
      <c r="A32" s="27"/>
      <c r="D32" s="71"/>
      <c r="E32" s="71"/>
      <c r="F32" s="71"/>
      <c r="G32" s="71"/>
      <c r="J32" s="695" t="s">
        <v>75</v>
      </c>
      <c r="K32" s="696"/>
      <c r="L32" s="129"/>
      <c r="M32" s="129"/>
      <c r="N32" s="227">
        <f>+U29/12</f>
        <v>275082474.16666669</v>
      </c>
      <c r="P32" s="226" t="s">
        <v>76</v>
      </c>
      <c r="Q32" s="227">
        <f>+N32*12</f>
        <v>3300989690</v>
      </c>
      <c r="S32" s="287">
        <v>3316056552</v>
      </c>
      <c r="T32" s="131" t="s">
        <v>72</v>
      </c>
      <c r="V32" s="162"/>
    </row>
    <row r="33" spans="8:20" s="3" customFormat="1">
      <c r="H33" s="229"/>
      <c r="J33" s="3" t="s">
        <v>73</v>
      </c>
      <c r="N33" s="122">
        <f>ROUND((+N32*3%),0)</f>
        <v>8252474</v>
      </c>
      <c r="P33" s="123"/>
      <c r="Q33" s="123"/>
      <c r="S33" s="288">
        <f>+S32-Q32</f>
        <v>15066862</v>
      </c>
      <c r="T33" s="3" t="s">
        <v>74</v>
      </c>
    </row>
    <row r="34" spans="8:20" s="3" customFormat="1" ht="33.75" customHeight="1">
      <c r="J34" s="695" t="s">
        <v>77</v>
      </c>
      <c r="K34" s="696"/>
      <c r="L34" s="129"/>
      <c r="M34" s="129"/>
      <c r="N34" s="227">
        <f>+Y29/12</f>
        <v>283334949.25</v>
      </c>
      <c r="P34" s="226" t="s">
        <v>76</v>
      </c>
      <c r="Q34" s="227">
        <f>+N34*12</f>
        <v>3400019391</v>
      </c>
      <c r="S34" s="287">
        <v>3415538196</v>
      </c>
      <c r="T34" s="131" t="s">
        <v>72</v>
      </c>
    </row>
    <row r="35" spans="8:20" s="3" customFormat="1">
      <c r="N35" s="125"/>
      <c r="P35" s="123"/>
      <c r="Q35" s="123"/>
      <c r="S35" s="288">
        <f>+S34-Q34</f>
        <v>15518805</v>
      </c>
      <c r="T35" s="3" t="s">
        <v>74</v>
      </c>
    </row>
    <row r="36" spans="8:20" s="3" customFormat="1" ht="25.5" customHeight="1">
      <c r="J36" s="697" t="s">
        <v>78</v>
      </c>
      <c r="K36" s="697"/>
      <c r="L36" s="697"/>
      <c r="M36" s="697"/>
      <c r="N36" s="697"/>
      <c r="O36" s="697"/>
      <c r="P36" s="697"/>
      <c r="Q36" s="227">
        <f>+Q30+Q32+Q34</f>
        <v>8077798238</v>
      </c>
      <c r="S36" s="287">
        <f>+S30+S32+S34</f>
        <v>8117756483</v>
      </c>
      <c r="T36" s="131" t="s">
        <v>72</v>
      </c>
    </row>
    <row r="37" spans="8:20" s="3" customFormat="1">
      <c r="S37" s="288">
        <f>+S36-Q36</f>
        <v>39958245</v>
      </c>
      <c r="T37" s="3" t="s">
        <v>74</v>
      </c>
    </row>
    <row r="38" spans="8:20" s="3" customFormat="1"/>
    <row r="39" spans="8:20" s="3" customFormat="1"/>
    <row r="43" spans="8:20">
      <c r="N43" s="692">
        <v>2024</v>
      </c>
      <c r="O43" s="692"/>
      <c r="P43" s="692"/>
      <c r="Q43" s="692"/>
    </row>
    <row r="44" spans="8:20">
      <c r="J44" s="129" t="s">
        <v>79</v>
      </c>
      <c r="N44" s="129" t="s">
        <v>80</v>
      </c>
      <c r="O44" s="129"/>
      <c r="P44" s="130" t="s">
        <v>81</v>
      </c>
      <c r="Q44" s="130" t="s">
        <v>82</v>
      </c>
    </row>
    <row r="45" spans="8:20">
      <c r="J45" s="129" t="s">
        <v>83</v>
      </c>
      <c r="N45" s="230">
        <f>(+Q45/164)*14</f>
        <v>115410729.98896343</v>
      </c>
      <c r="O45" s="129"/>
      <c r="P45" s="230">
        <f>+Q45/164*30</f>
        <v>247308707.11920732</v>
      </c>
      <c r="Q45" s="231">
        <v>1351954265.585</v>
      </c>
    </row>
  </sheetData>
  <mergeCells count="22">
    <mergeCell ref="J30:K30"/>
    <mergeCell ref="J32:K32"/>
    <mergeCell ref="J34:K34"/>
    <mergeCell ref="J36:P36"/>
    <mergeCell ref="N43:Q43"/>
    <mergeCell ref="W5:Y5"/>
    <mergeCell ref="A25:C25"/>
    <mergeCell ref="AA25:AA29"/>
    <mergeCell ref="A26:C26"/>
    <mergeCell ref="A27:C27"/>
    <mergeCell ref="A28:C28"/>
    <mergeCell ref="A29:C29"/>
    <mergeCell ref="A20:C20"/>
    <mergeCell ref="A24:C24"/>
    <mergeCell ref="A17:C17"/>
    <mergeCell ref="S5:U5"/>
    <mergeCell ref="A7:C7"/>
    <mergeCell ref="O2:Q3"/>
    <mergeCell ref="A4:C4"/>
    <mergeCell ref="H4:J4"/>
    <mergeCell ref="A5:C5"/>
    <mergeCell ref="P5:Q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C291-5159-4AF5-AD11-E9344640FABF}">
  <sheetPr>
    <tabColor rgb="FFFFFF00"/>
  </sheetPr>
  <dimension ref="A1:GO49"/>
  <sheetViews>
    <sheetView tabSelected="1" topLeftCell="A4" zoomScale="80" zoomScaleNormal="80" workbookViewId="0">
      <pane xSplit="3" ySplit="2" topLeftCell="Z38" activePane="bottomRight" state="frozen"/>
      <selection pane="bottomRight" activeCell="AA41" sqref="AA41"/>
      <selection pane="bottomLeft" activeCell="A6" sqref="A6"/>
      <selection pane="topRight" activeCell="D4" sqref="D4"/>
    </sheetView>
  </sheetViews>
  <sheetFormatPr defaultColWidth="0" defaultRowHeight="12" zeroHeight="1"/>
  <cols>
    <col min="1" max="1" width="4.42578125" style="303" bestFit="1" customWidth="1"/>
    <col min="2" max="2" width="42.140625" style="32" bestFit="1" customWidth="1"/>
    <col min="3" max="3" width="11.42578125" style="32" bestFit="1" customWidth="1"/>
    <col min="4" max="4" width="12.42578125" style="32" bestFit="1" customWidth="1"/>
    <col min="5" max="5" width="10.42578125" style="32" bestFit="1" customWidth="1"/>
    <col min="6" max="6" width="14.85546875" style="32" bestFit="1" customWidth="1"/>
    <col min="7" max="7" width="14.42578125" style="32" bestFit="1" customWidth="1"/>
    <col min="8" max="8" width="14.140625" style="32" bestFit="1" customWidth="1"/>
    <col min="9" max="10" width="14.85546875" style="32" bestFit="1" customWidth="1"/>
    <col min="11" max="11" width="14.42578125" style="32" bestFit="1" customWidth="1"/>
    <col min="12" max="12" width="14.85546875" style="32" bestFit="1" customWidth="1"/>
    <col min="13" max="13" width="14.140625" style="32" bestFit="1" customWidth="1"/>
    <col min="14" max="14" width="12.7109375" style="32" bestFit="1" customWidth="1"/>
    <col min="15" max="15" width="14.28515625" style="32" bestFit="1" customWidth="1"/>
    <col min="16" max="16" width="15.28515625" style="32" bestFit="1" customWidth="1"/>
    <col min="17" max="17" width="14.28515625" style="32" bestFit="1" customWidth="1"/>
    <col min="18" max="18" width="12.7109375" style="32" bestFit="1" customWidth="1"/>
    <col min="19" max="19" width="13.85546875" style="32" bestFit="1" customWidth="1"/>
    <col min="20" max="20" width="2.28515625" style="32" hidden="1" customWidth="1"/>
    <col min="21" max="21" width="3.85546875" style="32" hidden="1" customWidth="1"/>
    <col min="22" max="22" width="16" style="32" customWidth="1"/>
    <col min="23" max="23" width="20.5703125" style="32" bestFit="1" customWidth="1"/>
    <col min="24" max="24" width="7" style="32" customWidth="1"/>
    <col min="25" max="25" width="16" style="32" bestFit="1" customWidth="1"/>
    <col min="26" max="26" width="17.140625" style="32" bestFit="1" customWidth="1"/>
    <col min="27" max="27" width="22.140625" style="32" bestFit="1" customWidth="1"/>
    <col min="28" max="28" width="3.42578125" style="32" customWidth="1"/>
    <col min="29" max="29" width="21.28515625" style="32" customWidth="1"/>
    <col min="30" max="30" width="17.28515625" style="32" customWidth="1"/>
    <col min="31" max="31" width="22.140625" style="32" customWidth="1"/>
    <col min="32" max="32" width="18.5703125" style="32" customWidth="1"/>
    <col min="33" max="33" width="36.28515625" style="32" bestFit="1" customWidth="1"/>
    <col min="34" max="34" width="16.5703125" style="32" customWidth="1"/>
    <col min="35" max="35" width="19.140625" style="32" bestFit="1" customWidth="1"/>
    <col min="36" max="36" width="24.85546875" style="32" bestFit="1" customWidth="1"/>
    <col min="37" max="37" width="11.42578125" style="32" customWidth="1"/>
    <col min="38" max="42" width="11.42578125" style="32" hidden="1" customWidth="1"/>
    <col min="43" max="43" width="5.7109375" style="32" bestFit="1" customWidth="1"/>
    <col min="44" max="197" width="11.42578125" style="32" hidden="1" customWidth="1"/>
    <col min="198" max="16384" width="7.28515625" style="32" hidden="1"/>
  </cols>
  <sheetData>
    <row r="1" spans="1:43" s="4" customFormat="1" ht="12.75" thickBot="1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AB1" s="32"/>
    </row>
    <row r="2" spans="1:43" s="4" customFormat="1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U2" s="705" t="s">
        <v>0</v>
      </c>
      <c r="V2" s="706"/>
      <c r="W2" s="707"/>
      <c r="AB2" s="32"/>
      <c r="AF2" s="162"/>
    </row>
    <row r="3" spans="1:43" s="5" customFormat="1" ht="12.75" thickBot="1">
      <c r="T3" s="6"/>
      <c r="U3" s="708"/>
      <c r="V3" s="709"/>
      <c r="W3" s="710"/>
      <c r="X3" s="40"/>
      <c r="AB3" s="6"/>
      <c r="AF3" s="162"/>
    </row>
    <row r="4" spans="1:43" s="6" customFormat="1" ht="30.75" customHeight="1" thickBot="1">
      <c r="A4" s="742" t="s">
        <v>3</v>
      </c>
      <c r="B4" s="743"/>
      <c r="C4" s="743"/>
      <c r="D4" s="33"/>
      <c r="E4" s="641"/>
      <c r="F4" s="642">
        <f>F13*$E13</f>
        <v>44433333.333333336</v>
      </c>
      <c r="G4" s="642">
        <f>F4*50%</f>
        <v>22216666.666666668</v>
      </c>
      <c r="H4" s="642">
        <f>H13*$E13</f>
        <v>41358810.166666672</v>
      </c>
      <c r="I4" s="642">
        <f>H4*50%</f>
        <v>20679405.083333336</v>
      </c>
      <c r="J4" s="642">
        <f>J13*$E13</f>
        <v>24040500</v>
      </c>
      <c r="K4" s="642">
        <f>J4*50%</f>
        <v>12020250</v>
      </c>
      <c r="L4" s="642">
        <f>L13*$E13</f>
        <v>37629975.828000002</v>
      </c>
      <c r="M4" s="642">
        <f>L4*50%</f>
        <v>18814987.914000001</v>
      </c>
      <c r="N4" s="751" t="s">
        <v>89</v>
      </c>
      <c r="O4" s="752"/>
      <c r="P4" s="752"/>
      <c r="Q4" s="752"/>
      <c r="R4" s="752"/>
      <c r="S4" s="752"/>
      <c r="T4" s="33"/>
      <c r="V4" s="6">
        <f>5*30</f>
        <v>150</v>
      </c>
      <c r="W4" s="6">
        <f>V4+5</f>
        <v>155</v>
      </c>
      <c r="X4" s="40"/>
      <c r="Y4" s="643">
        <f>W4/30</f>
        <v>5.166666666666667</v>
      </c>
      <c r="AF4" s="162"/>
    </row>
    <row r="5" spans="1:43" s="8" customFormat="1" ht="68.25" customHeight="1" thickBot="1">
      <c r="A5" s="744" t="s">
        <v>6</v>
      </c>
      <c r="B5" s="745"/>
      <c r="C5" s="745"/>
      <c r="D5" s="745"/>
      <c r="E5" s="746"/>
      <c r="F5" s="747" t="s">
        <v>7</v>
      </c>
      <c r="G5" s="746"/>
      <c r="H5" s="747" t="s">
        <v>84</v>
      </c>
      <c r="I5" s="746"/>
      <c r="J5" s="747" t="s">
        <v>85</v>
      </c>
      <c r="K5" s="746"/>
      <c r="L5" s="747" t="s">
        <v>90</v>
      </c>
      <c r="M5" s="748"/>
      <c r="N5" s="749" t="s">
        <v>14</v>
      </c>
      <c r="O5" s="750"/>
      <c r="P5" s="749" t="s">
        <v>15</v>
      </c>
      <c r="Q5" s="750"/>
      <c r="R5" s="749" t="s">
        <v>16</v>
      </c>
      <c r="S5" s="750"/>
      <c r="T5" s="33"/>
      <c r="U5" s="6"/>
      <c r="V5" s="700" t="s">
        <v>17</v>
      </c>
      <c r="W5" s="701"/>
      <c r="X5" s="40"/>
      <c r="Y5" s="729" t="s">
        <v>19</v>
      </c>
      <c r="Z5" s="730"/>
      <c r="AA5" s="731"/>
      <c r="AB5" s="347"/>
      <c r="AC5" s="756" t="s">
        <v>20</v>
      </c>
      <c r="AD5" s="757"/>
      <c r="AE5" s="758"/>
      <c r="AF5" s="162"/>
      <c r="AG5" s="6"/>
      <c r="AH5" s="6"/>
      <c r="AI5" s="6"/>
      <c r="AJ5" s="6"/>
      <c r="AK5" s="58"/>
      <c r="AL5" s="58"/>
      <c r="AM5" s="58"/>
      <c r="AN5" s="58"/>
      <c r="AO5" s="58"/>
      <c r="AP5" s="6"/>
    </row>
    <row r="6" spans="1:43" s="8" customFormat="1" ht="37.5" customHeight="1" thickTop="1">
      <c r="A6" s="313" t="s">
        <v>21</v>
      </c>
      <c r="B6" s="314" t="s">
        <v>22</v>
      </c>
      <c r="C6" s="315" t="s">
        <v>23</v>
      </c>
      <c r="D6" s="315" t="s">
        <v>91</v>
      </c>
      <c r="E6" s="315" t="s">
        <v>92</v>
      </c>
      <c r="F6" s="316" t="s">
        <v>93</v>
      </c>
      <c r="G6" s="316" t="s">
        <v>24</v>
      </c>
      <c r="H6" s="316" t="s">
        <v>93</v>
      </c>
      <c r="I6" s="316" t="s">
        <v>24</v>
      </c>
      <c r="J6" s="316" t="s">
        <v>93</v>
      </c>
      <c r="K6" s="316" t="s">
        <v>24</v>
      </c>
      <c r="L6" s="316" t="s">
        <v>93</v>
      </c>
      <c r="M6" s="519" t="s">
        <v>24</v>
      </c>
      <c r="N6" s="350" t="s">
        <v>94</v>
      </c>
      <c r="O6" s="616" t="s">
        <v>87</v>
      </c>
      <c r="P6" s="350" t="s">
        <v>94</v>
      </c>
      <c r="Q6" s="616" t="s">
        <v>87</v>
      </c>
      <c r="R6" s="350" t="s">
        <v>94</v>
      </c>
      <c r="S6" s="616" t="s">
        <v>87</v>
      </c>
      <c r="T6" s="33"/>
      <c r="U6" s="6"/>
      <c r="V6" s="283" t="s">
        <v>95</v>
      </c>
      <c r="W6" s="286" t="s">
        <v>87</v>
      </c>
      <c r="X6" s="40"/>
      <c r="Y6" s="284" t="s">
        <v>88</v>
      </c>
      <c r="Z6" s="283" t="s">
        <v>96</v>
      </c>
      <c r="AA6" s="286" t="s">
        <v>87</v>
      </c>
      <c r="AB6" s="40"/>
      <c r="AC6" s="655" t="s">
        <v>31</v>
      </c>
      <c r="AD6" s="656" t="s">
        <v>97</v>
      </c>
      <c r="AE6" s="657" t="s">
        <v>87</v>
      </c>
      <c r="AF6" s="162"/>
      <c r="AG6" s="759" t="s">
        <v>98</v>
      </c>
      <c r="AH6" s="759"/>
      <c r="AI6" s="585" t="s">
        <v>99</v>
      </c>
      <c r="AJ6" s="585" t="s">
        <v>100</v>
      </c>
      <c r="AK6" s="58"/>
      <c r="AL6" s="58"/>
      <c r="AM6" s="58"/>
      <c r="AN6" s="58"/>
      <c r="AO6" s="58"/>
      <c r="AQ6" s="586">
        <f>5/30</f>
        <v>0.16666666666666666</v>
      </c>
    </row>
    <row r="7" spans="1:43" s="8" customFormat="1" ht="11.25" customHeight="1">
      <c r="A7" s="718" t="s">
        <v>35</v>
      </c>
      <c r="B7" s="719"/>
      <c r="C7" s="719"/>
      <c r="D7" s="386"/>
      <c r="E7" s="386"/>
      <c r="F7" s="386"/>
      <c r="G7" s="386"/>
      <c r="H7" s="386"/>
      <c r="I7" s="386"/>
      <c r="J7" s="386"/>
      <c r="K7" s="386"/>
      <c r="L7" s="386"/>
      <c r="M7" s="520"/>
      <c r="N7" s="617"/>
      <c r="O7" s="618"/>
      <c r="P7" s="617"/>
      <c r="Q7" s="618"/>
      <c r="R7" s="617"/>
      <c r="S7" s="618"/>
      <c r="T7" s="33"/>
      <c r="U7" s="6"/>
      <c r="V7" s="138"/>
      <c r="W7" s="103"/>
      <c r="X7" s="40"/>
      <c r="Y7" s="102"/>
      <c r="Z7" s="100"/>
      <c r="AA7" s="103"/>
      <c r="AB7" s="10"/>
      <c r="AC7" s="102"/>
      <c r="AD7" s="100"/>
      <c r="AE7" s="156"/>
      <c r="AF7" s="162"/>
      <c r="AK7" s="58"/>
      <c r="AL7" s="58"/>
      <c r="AM7" s="58"/>
      <c r="AN7" s="58"/>
      <c r="AO7" s="58"/>
    </row>
    <row r="8" spans="1:43" s="58" customFormat="1" ht="12.75">
      <c r="A8" s="492" t="s">
        <v>36</v>
      </c>
      <c r="B8" s="278" t="s">
        <v>37</v>
      </c>
      <c r="C8" s="19">
        <v>1</v>
      </c>
      <c r="D8" s="388">
        <v>1</v>
      </c>
      <c r="E8" s="493">
        <f>5+(5/30)</f>
        <v>5.166666666666667</v>
      </c>
      <c r="F8" s="599">
        <v>17400000</v>
      </c>
      <c r="G8" s="599">
        <f>ROUND(F8*$D8*$E8*$C8,0)</f>
        <v>89900000</v>
      </c>
      <c r="H8" s="599">
        <v>13098978</v>
      </c>
      <c r="I8" s="599">
        <f>ROUND(H8*$D8*$E8*$C8,0)</f>
        <v>67678053</v>
      </c>
      <c r="J8" s="599">
        <v>14734500</v>
      </c>
      <c r="K8" s="599">
        <f>ROUND(J8*$D8*$E8*$C8,0)</f>
        <v>76128250</v>
      </c>
      <c r="L8" s="599">
        <v>12985802.788000001</v>
      </c>
      <c r="M8" s="600">
        <f>ROUND(L8*$D8*$E8*$C8,0)</f>
        <v>67093314</v>
      </c>
      <c r="N8" s="602">
        <f>ROUND(MEDIAN(F8,H8,J8,L8),0)</f>
        <v>13916739</v>
      </c>
      <c r="O8" s="618"/>
      <c r="P8" s="602">
        <f>ROUND(GEOMEAN(F8,H8,J8,L8),0)</f>
        <v>14450994</v>
      </c>
      <c r="Q8" s="618"/>
      <c r="R8" s="602">
        <f>ROUND(HARMEAN(F8,H8,J8,L8),0)</f>
        <v>14352958</v>
      </c>
      <c r="S8" s="618"/>
      <c r="T8" s="33"/>
      <c r="U8" s="6"/>
      <c r="V8" s="623">
        <f>ROUND((((MIN(N8:R8)*3)+SMALL(N8:R8,2)+SMALL(N8:R8,3))/5),0)</f>
        <v>14110834</v>
      </c>
      <c r="W8" s="594">
        <f>ROUND(V8*$E8*$C8*$D8,0)</f>
        <v>72905976</v>
      </c>
      <c r="X8" s="604"/>
      <c r="Y8" s="596">
        <f t="shared" ref="Y8:Y16" si="0">ROUND((+V8*3.23%),0)</f>
        <v>455780</v>
      </c>
      <c r="Z8" s="622">
        <f t="shared" ref="Z8:Z16" si="1">ROUND((+V8+Y8),0)</f>
        <v>14566614</v>
      </c>
      <c r="AA8" s="594">
        <f>ROUND(Z8*12*$C8*$D8,0)</f>
        <v>174799368</v>
      </c>
      <c r="AB8" s="601"/>
      <c r="AC8" s="590">
        <f>ROUND(Z8*3%,0)</f>
        <v>436998</v>
      </c>
      <c r="AD8" s="624">
        <f>ROUND((+Z8+AC8),0)</f>
        <v>15003612</v>
      </c>
      <c r="AE8" s="594">
        <f>ROUND(AD8*12*$C8*$D8,0)</f>
        <v>180043344</v>
      </c>
      <c r="AF8" s="162"/>
      <c r="AG8" s="539" t="s">
        <v>101</v>
      </c>
      <c r="AH8" s="498">
        <f>HOMO_TH!Y6</f>
        <v>14747485</v>
      </c>
      <c r="AI8" s="498">
        <f>V8</f>
        <v>14110834</v>
      </c>
      <c r="AJ8" s="581">
        <f>(AI8-AH8)/AH8</f>
        <v>-4.3170140535826955E-2</v>
      </c>
      <c r="AK8" s="6"/>
    </row>
    <row r="9" spans="1:43" s="58" customFormat="1" ht="12.75">
      <c r="A9" s="492" t="s">
        <v>38</v>
      </c>
      <c r="B9" s="278" t="s">
        <v>39</v>
      </c>
      <c r="C9" s="19">
        <v>1</v>
      </c>
      <c r="D9" s="388">
        <v>1</v>
      </c>
      <c r="E9" s="493">
        <f t="shared" ref="E9:E16" si="2">5+(5/30)</f>
        <v>5.166666666666667</v>
      </c>
      <c r="F9" s="599">
        <v>8600000</v>
      </c>
      <c r="G9" s="599">
        <f t="shared" ref="G9:G15" si="3">ROUND(F9*$D9*$E9*$C9,0)</f>
        <v>44433333</v>
      </c>
      <c r="H9" s="599">
        <v>10915815</v>
      </c>
      <c r="I9" s="599">
        <f t="shared" ref="I9:I15" si="4">ROUND(H9*$D9*$E9*$C9,0)</f>
        <v>56398378</v>
      </c>
      <c r="J9" s="599">
        <v>9306000</v>
      </c>
      <c r="K9" s="599">
        <f t="shared" ref="K9:K16" si="5">ROUND(J9*$D9*$E9*$C9,0)</f>
        <v>48081000</v>
      </c>
      <c r="L9" s="599">
        <v>11332919.324000001</v>
      </c>
      <c r="M9" s="600">
        <f>ROUND(L9*$D9*$E9*$C9,0)</f>
        <v>58553417</v>
      </c>
      <c r="N9" s="602">
        <f t="shared" ref="N9:N16" si="6">ROUND(MEDIAN(F9,H9,J9,L9),0)</f>
        <v>10110908</v>
      </c>
      <c r="O9" s="618"/>
      <c r="P9" s="602">
        <f t="shared" ref="P9:P16" si="7">ROUND(GEOMEAN(F9,H9,J9,L9),0)</f>
        <v>9975045</v>
      </c>
      <c r="Q9" s="618"/>
      <c r="R9" s="602">
        <f t="shared" ref="R9:R16" si="8">ROUND(HARMEAN(F9,H9,J9,L9),0)</f>
        <v>9911163</v>
      </c>
      <c r="S9" s="618"/>
      <c r="T9" s="33"/>
      <c r="U9" s="6"/>
      <c r="V9" s="623">
        <f t="shared" ref="V9:V16" si="9">ROUND((((MIN(N9:R9)*3)+SMALL(N9:R9,2)+SMALL(N9:R9,3))/5),0)</f>
        <v>9963888</v>
      </c>
      <c r="W9" s="594">
        <f t="shared" ref="W9:W16" si="10">ROUND(V9*$E9*$C9*$D9,0)</f>
        <v>51480088</v>
      </c>
      <c r="X9" s="604"/>
      <c r="Y9" s="596">
        <f t="shared" si="0"/>
        <v>321834</v>
      </c>
      <c r="Z9" s="622">
        <f t="shared" si="1"/>
        <v>10285722</v>
      </c>
      <c r="AA9" s="594">
        <f t="shared" ref="AA9:AA16" si="11">ROUND(Z9*12*$C9*$D9,0)</f>
        <v>123428664</v>
      </c>
      <c r="AB9" s="601"/>
      <c r="AC9" s="590">
        <f t="shared" ref="AC9:AC16" si="12">ROUND(Z9*3%,0)</f>
        <v>308572</v>
      </c>
      <c r="AD9" s="624">
        <f t="shared" ref="AD9:AD21" si="13">ROUND((+Z9+AC9),0)</f>
        <v>10594294</v>
      </c>
      <c r="AE9" s="594">
        <f t="shared" ref="AE9:AE16" si="14">ROUND(AD9*12*$C9*$D9,0)</f>
        <v>127131528</v>
      </c>
      <c r="AF9" s="162"/>
      <c r="AG9" s="556" t="s">
        <v>102</v>
      </c>
      <c r="AH9" s="498">
        <f>HOMO_TH!Y7</f>
        <v>12418845</v>
      </c>
      <c r="AI9" s="498">
        <f t="shared" ref="AI9:AI16" si="15">V9</f>
        <v>9963888</v>
      </c>
      <c r="AJ9" s="581">
        <f t="shared" ref="AJ9:AJ16" si="16">(AI9-AH9)/AH9</f>
        <v>-0.19767997748582899</v>
      </c>
      <c r="AK9" s="6"/>
    </row>
    <row r="10" spans="1:43" s="58" customFormat="1" ht="12.75">
      <c r="A10" s="492" t="s">
        <v>40</v>
      </c>
      <c r="B10" s="278" t="s">
        <v>41</v>
      </c>
      <c r="C10" s="19">
        <v>1</v>
      </c>
      <c r="D10" s="388">
        <v>1</v>
      </c>
      <c r="E10" s="493">
        <f t="shared" si="2"/>
        <v>5.166666666666667</v>
      </c>
      <c r="F10" s="599">
        <v>10500000</v>
      </c>
      <c r="G10" s="599">
        <f t="shared" si="3"/>
        <v>54250000</v>
      </c>
      <c r="H10" s="599">
        <v>10188094</v>
      </c>
      <c r="I10" s="599">
        <f t="shared" si="4"/>
        <v>52638486</v>
      </c>
      <c r="J10" s="599">
        <v>9306000</v>
      </c>
      <c r="K10" s="599">
        <f t="shared" si="5"/>
        <v>48081000</v>
      </c>
      <c r="L10" s="599">
        <v>11090346.008000001</v>
      </c>
      <c r="M10" s="600">
        <f>ROUND(L10*$D10*$E10*$C10,0)</f>
        <v>57300121</v>
      </c>
      <c r="N10" s="602">
        <f t="shared" si="6"/>
        <v>10344047</v>
      </c>
      <c r="O10" s="618"/>
      <c r="P10" s="602">
        <f t="shared" si="7"/>
        <v>10250560</v>
      </c>
      <c r="Q10" s="618"/>
      <c r="R10" s="602">
        <f t="shared" si="8"/>
        <v>10229709</v>
      </c>
      <c r="S10" s="618"/>
      <c r="T10" s="33"/>
      <c r="U10" s="6"/>
      <c r="V10" s="623">
        <f t="shared" si="9"/>
        <v>10256747</v>
      </c>
      <c r="W10" s="594">
        <f t="shared" si="10"/>
        <v>52993193</v>
      </c>
      <c r="X10" s="604"/>
      <c r="Y10" s="596">
        <f t="shared" si="0"/>
        <v>331293</v>
      </c>
      <c r="Z10" s="622">
        <f t="shared" si="1"/>
        <v>10588040</v>
      </c>
      <c r="AA10" s="594">
        <f t="shared" si="11"/>
        <v>127056480</v>
      </c>
      <c r="AB10" s="601"/>
      <c r="AC10" s="590">
        <f t="shared" si="12"/>
        <v>317641</v>
      </c>
      <c r="AD10" s="624">
        <f t="shared" si="13"/>
        <v>10905681</v>
      </c>
      <c r="AE10" s="594">
        <f t="shared" si="14"/>
        <v>130868172</v>
      </c>
      <c r="AF10" s="162"/>
      <c r="AG10" s="556" t="s">
        <v>103</v>
      </c>
      <c r="AH10" s="498">
        <f>HOMO_TH!Y8</f>
        <v>11383514</v>
      </c>
      <c r="AI10" s="498">
        <f t="shared" si="15"/>
        <v>10256747</v>
      </c>
      <c r="AJ10" s="581">
        <f t="shared" si="16"/>
        <v>-9.8982352900870499E-2</v>
      </c>
    </row>
    <row r="11" spans="1:43" s="58" customFormat="1" ht="12.75">
      <c r="A11" s="492" t="s">
        <v>42</v>
      </c>
      <c r="B11" s="278" t="s">
        <v>43</v>
      </c>
      <c r="C11" s="19">
        <v>1</v>
      </c>
      <c r="D11" s="388">
        <v>1</v>
      </c>
      <c r="E11" s="493">
        <f t="shared" si="2"/>
        <v>5.166666666666667</v>
      </c>
      <c r="F11" s="599">
        <v>7200000</v>
      </c>
      <c r="G11" s="599">
        <f>ROUND(F11*$D11*$E11*$C11,0)</f>
        <v>37200000</v>
      </c>
      <c r="H11" s="599">
        <v>10188094</v>
      </c>
      <c r="I11" s="599">
        <f t="shared" si="4"/>
        <v>52638486</v>
      </c>
      <c r="J11" s="599">
        <v>9306000</v>
      </c>
      <c r="K11" s="599">
        <f t="shared" si="5"/>
        <v>48081000</v>
      </c>
      <c r="L11" s="599">
        <v>11090346.008000001</v>
      </c>
      <c r="M11" s="600">
        <f>ROUND(L11*$D11*$E11*$C11,0)</f>
        <v>57300121</v>
      </c>
      <c r="N11" s="602">
        <f t="shared" si="6"/>
        <v>9747047</v>
      </c>
      <c r="O11" s="618"/>
      <c r="P11" s="602">
        <f t="shared" si="7"/>
        <v>9327890</v>
      </c>
      <c r="Q11" s="618"/>
      <c r="R11" s="602">
        <f t="shared" si="8"/>
        <v>9202410</v>
      </c>
      <c r="S11" s="618"/>
      <c r="T11" s="33"/>
      <c r="U11" s="6"/>
      <c r="V11" s="623">
        <f t="shared" si="9"/>
        <v>9336433</v>
      </c>
      <c r="W11" s="594">
        <f t="shared" si="10"/>
        <v>48238237</v>
      </c>
      <c r="X11" s="604"/>
      <c r="Y11" s="596">
        <f t="shared" si="0"/>
        <v>301567</v>
      </c>
      <c r="Z11" s="622">
        <f t="shared" si="1"/>
        <v>9638000</v>
      </c>
      <c r="AA11" s="594">
        <f t="shared" si="11"/>
        <v>115656000</v>
      </c>
      <c r="AB11" s="601"/>
      <c r="AC11" s="590">
        <f t="shared" si="12"/>
        <v>289140</v>
      </c>
      <c r="AD11" s="624">
        <f t="shared" si="13"/>
        <v>9927140</v>
      </c>
      <c r="AE11" s="594">
        <f t="shared" si="14"/>
        <v>119125680</v>
      </c>
      <c r="AF11" s="162"/>
      <c r="AG11" s="556" t="s">
        <v>104</v>
      </c>
      <c r="AH11" s="498">
        <f>HOMO_TH!Y9</f>
        <v>8796895</v>
      </c>
      <c r="AI11" s="498">
        <f t="shared" si="15"/>
        <v>9336433</v>
      </c>
      <c r="AJ11" s="582">
        <f t="shared" si="16"/>
        <v>6.1332777076457089E-2</v>
      </c>
    </row>
    <row r="12" spans="1:43" s="58" customFormat="1" ht="12.75">
      <c r="A12" s="492" t="s">
        <v>44</v>
      </c>
      <c r="B12" s="278" t="s">
        <v>45</v>
      </c>
      <c r="C12" s="19">
        <v>1</v>
      </c>
      <c r="D12" s="388">
        <v>1</v>
      </c>
      <c r="E12" s="493">
        <f t="shared" si="2"/>
        <v>5.166666666666667</v>
      </c>
      <c r="F12" s="599">
        <v>8600000</v>
      </c>
      <c r="G12" s="599">
        <f t="shared" si="3"/>
        <v>44433333</v>
      </c>
      <c r="H12" s="599">
        <v>6549489</v>
      </c>
      <c r="I12" s="599">
        <f t="shared" si="4"/>
        <v>33839027</v>
      </c>
      <c r="J12" s="599">
        <v>7755000</v>
      </c>
      <c r="K12" s="599">
        <f t="shared" si="5"/>
        <v>40067500</v>
      </c>
      <c r="L12" s="599">
        <v>8694629.5640000012</v>
      </c>
      <c r="M12" s="600">
        <f t="shared" ref="M12:M15" si="17">ROUND(L12*$D12*$E12*$C12,0)</f>
        <v>44922253</v>
      </c>
      <c r="N12" s="602">
        <f t="shared" si="6"/>
        <v>8177500</v>
      </c>
      <c r="O12" s="618"/>
      <c r="P12" s="602">
        <f t="shared" si="7"/>
        <v>7850272</v>
      </c>
      <c r="Q12" s="618"/>
      <c r="R12" s="602">
        <f t="shared" si="8"/>
        <v>7798406</v>
      </c>
      <c r="S12" s="618"/>
      <c r="T12" s="33"/>
      <c r="U12" s="6"/>
      <c r="V12" s="623">
        <f t="shared" si="9"/>
        <v>7884598</v>
      </c>
      <c r="W12" s="594">
        <f t="shared" si="10"/>
        <v>40737090</v>
      </c>
      <c r="X12" s="604"/>
      <c r="Y12" s="596">
        <f t="shared" si="0"/>
        <v>254673</v>
      </c>
      <c r="Z12" s="622">
        <f t="shared" si="1"/>
        <v>8139271</v>
      </c>
      <c r="AA12" s="594">
        <f t="shared" si="11"/>
        <v>97671252</v>
      </c>
      <c r="AB12" s="601"/>
      <c r="AC12" s="590">
        <f t="shared" si="12"/>
        <v>244178</v>
      </c>
      <c r="AD12" s="624">
        <f t="shared" si="13"/>
        <v>8383449</v>
      </c>
      <c r="AE12" s="594">
        <f t="shared" si="14"/>
        <v>100601388</v>
      </c>
      <c r="AF12" s="162"/>
      <c r="AG12" s="556" t="s">
        <v>105</v>
      </c>
      <c r="AH12" s="498">
        <f>HOMO_TH!Y10</f>
        <v>14747485</v>
      </c>
      <c r="AI12" s="498">
        <f t="shared" si="15"/>
        <v>7884598</v>
      </c>
      <c r="AJ12" s="581">
        <f t="shared" si="16"/>
        <v>-0.46535982236971252</v>
      </c>
    </row>
    <row r="13" spans="1:43" s="58" customFormat="1" ht="12.75">
      <c r="A13" s="492" t="s">
        <v>46</v>
      </c>
      <c r="B13" s="278" t="s">
        <v>47</v>
      </c>
      <c r="C13" s="589">
        <v>1</v>
      </c>
      <c r="D13" s="388">
        <v>0.5</v>
      </c>
      <c r="E13" s="493">
        <f t="shared" si="2"/>
        <v>5.166666666666667</v>
      </c>
      <c r="F13" s="606">
        <v>8600000</v>
      </c>
      <c r="G13" s="606">
        <f>ROUND(F13*$E13*$C13,0)</f>
        <v>44433333</v>
      </c>
      <c r="H13" s="606">
        <v>8004931</v>
      </c>
      <c r="I13" s="606">
        <f>ROUND(H13*$E13*$C13,0)</f>
        <v>41358810</v>
      </c>
      <c r="J13" s="606">
        <v>4653000</v>
      </c>
      <c r="K13" s="606">
        <f>ROUND(J13*$E13*$C13,0)</f>
        <v>24040500</v>
      </c>
      <c r="L13" s="606">
        <v>7283221.1279999996</v>
      </c>
      <c r="M13" s="607">
        <f>ROUND(L13*$E13*$C13,0)</f>
        <v>37629976</v>
      </c>
      <c r="N13" s="602">
        <f t="shared" si="6"/>
        <v>7644076</v>
      </c>
      <c r="O13" s="618"/>
      <c r="P13" s="602">
        <f t="shared" si="7"/>
        <v>6949893</v>
      </c>
      <c r="Q13" s="618"/>
      <c r="R13" s="602">
        <f t="shared" si="8"/>
        <v>6740599</v>
      </c>
      <c r="S13" s="618"/>
      <c r="T13" s="33"/>
      <c r="U13" s="6"/>
      <c r="V13" s="623">
        <f t="shared" si="9"/>
        <v>6963153</v>
      </c>
      <c r="W13" s="594">
        <f t="shared" si="10"/>
        <v>17988145</v>
      </c>
      <c r="X13" s="604"/>
      <c r="Y13" s="596">
        <f t="shared" si="0"/>
        <v>224910</v>
      </c>
      <c r="Z13" s="622">
        <f t="shared" si="1"/>
        <v>7188063</v>
      </c>
      <c r="AA13" s="597">
        <f t="shared" si="11"/>
        <v>43128378</v>
      </c>
      <c r="AB13" s="601"/>
      <c r="AC13" s="590">
        <f t="shared" si="12"/>
        <v>215642</v>
      </c>
      <c r="AD13" s="624">
        <f t="shared" si="13"/>
        <v>7403705</v>
      </c>
      <c r="AE13" s="597">
        <f t="shared" si="14"/>
        <v>44422230</v>
      </c>
      <c r="AF13" s="162"/>
      <c r="AG13" s="556" t="s">
        <v>106</v>
      </c>
      <c r="AH13" s="498">
        <f>HOMO_TH!Y11</f>
        <v>12418845</v>
      </c>
      <c r="AI13" s="498">
        <f t="shared" si="15"/>
        <v>6963153</v>
      </c>
      <c r="AJ13" s="581">
        <f t="shared" si="16"/>
        <v>-0.43930752014378149</v>
      </c>
    </row>
    <row r="14" spans="1:43" s="58" customFormat="1" ht="12.75">
      <c r="A14" s="492" t="s">
        <v>48</v>
      </c>
      <c r="B14" s="278" t="s">
        <v>107</v>
      </c>
      <c r="C14" s="19">
        <v>13</v>
      </c>
      <c r="D14" s="388">
        <v>1</v>
      </c>
      <c r="E14" s="493">
        <f t="shared" si="2"/>
        <v>5.166666666666667</v>
      </c>
      <c r="F14" s="599">
        <v>4400000</v>
      </c>
      <c r="G14" s="599">
        <f>ROUND(F14*$D14*$E14*$C14,0)</f>
        <v>295533333</v>
      </c>
      <c r="H14" s="599">
        <v>3809029</v>
      </c>
      <c r="I14" s="599">
        <f t="shared" si="4"/>
        <v>255839781</v>
      </c>
      <c r="J14" s="599">
        <v>5040750</v>
      </c>
      <c r="K14" s="599">
        <f t="shared" si="5"/>
        <v>338570375</v>
      </c>
      <c r="L14" s="599">
        <v>4290653.5360000003</v>
      </c>
      <c r="M14" s="600">
        <f t="shared" si="17"/>
        <v>288188896</v>
      </c>
      <c r="N14" s="602">
        <f t="shared" si="6"/>
        <v>4345327</v>
      </c>
      <c r="O14" s="618"/>
      <c r="P14" s="602">
        <f t="shared" si="7"/>
        <v>4363363</v>
      </c>
      <c r="Q14" s="618"/>
      <c r="R14" s="602">
        <f t="shared" si="8"/>
        <v>4341904</v>
      </c>
      <c r="S14" s="618"/>
      <c r="T14" s="33"/>
      <c r="U14" s="6"/>
      <c r="V14" s="623">
        <f t="shared" si="9"/>
        <v>4346880</v>
      </c>
      <c r="W14" s="594">
        <f t="shared" si="10"/>
        <v>291965440</v>
      </c>
      <c r="X14" s="604"/>
      <c r="Y14" s="596">
        <f t="shared" si="0"/>
        <v>140404</v>
      </c>
      <c r="Z14" s="622">
        <f t="shared" si="1"/>
        <v>4487284</v>
      </c>
      <c r="AA14" s="594">
        <f t="shared" si="11"/>
        <v>700016304</v>
      </c>
      <c r="AB14" s="601"/>
      <c r="AC14" s="590">
        <f t="shared" si="12"/>
        <v>134619</v>
      </c>
      <c r="AD14" s="624">
        <f t="shared" si="13"/>
        <v>4621903</v>
      </c>
      <c r="AE14" s="594">
        <f t="shared" si="14"/>
        <v>721016868</v>
      </c>
      <c r="AF14" s="162"/>
      <c r="AG14" s="556" t="s">
        <v>108</v>
      </c>
      <c r="AH14" s="498">
        <f>HOMO_TH!Y12</f>
        <v>7230231</v>
      </c>
      <c r="AI14" s="498">
        <f t="shared" si="15"/>
        <v>4346880</v>
      </c>
      <c r="AJ14" s="581">
        <f t="shared" si="16"/>
        <v>-0.39879099298487142</v>
      </c>
    </row>
    <row r="15" spans="1:43" s="58" customFormat="1" ht="12.75">
      <c r="A15" s="492" t="s">
        <v>50</v>
      </c>
      <c r="B15" s="278" t="s">
        <v>109</v>
      </c>
      <c r="C15" s="19">
        <v>13</v>
      </c>
      <c r="D15" s="388">
        <v>1</v>
      </c>
      <c r="E15" s="493">
        <f t="shared" si="2"/>
        <v>5.166666666666667</v>
      </c>
      <c r="F15" s="599">
        <v>4200000</v>
      </c>
      <c r="G15" s="599">
        <f t="shared" si="3"/>
        <v>282100000</v>
      </c>
      <c r="H15" s="599">
        <v>3929693.4</v>
      </c>
      <c r="I15" s="599">
        <f t="shared" si="4"/>
        <v>263944407</v>
      </c>
      <c r="J15" s="599">
        <v>5095035</v>
      </c>
      <c r="K15" s="599">
        <f t="shared" si="5"/>
        <v>342216518</v>
      </c>
      <c r="L15" s="599">
        <v>4360686.2280000001</v>
      </c>
      <c r="M15" s="600">
        <f t="shared" si="17"/>
        <v>292892758</v>
      </c>
      <c r="N15" s="602">
        <f t="shared" si="6"/>
        <v>4280343</v>
      </c>
      <c r="O15" s="618"/>
      <c r="P15" s="602">
        <f t="shared" si="7"/>
        <v>4376002</v>
      </c>
      <c r="Q15" s="618"/>
      <c r="R15" s="602">
        <f t="shared" si="8"/>
        <v>4356543</v>
      </c>
      <c r="S15" s="618"/>
      <c r="T15" s="33"/>
      <c r="U15" s="6"/>
      <c r="V15" s="623">
        <f t="shared" si="9"/>
        <v>4314715</v>
      </c>
      <c r="W15" s="594">
        <f t="shared" si="10"/>
        <v>289805024</v>
      </c>
      <c r="X15" s="604"/>
      <c r="Y15" s="596">
        <f t="shared" si="0"/>
        <v>139365</v>
      </c>
      <c r="Z15" s="622">
        <f t="shared" si="1"/>
        <v>4454080</v>
      </c>
      <c r="AA15" s="594">
        <f t="shared" si="11"/>
        <v>694836480</v>
      </c>
      <c r="AB15" s="601"/>
      <c r="AC15" s="590">
        <f t="shared" si="12"/>
        <v>133622</v>
      </c>
      <c r="AD15" s="624">
        <f t="shared" si="13"/>
        <v>4587702</v>
      </c>
      <c r="AE15" s="594">
        <f t="shared" si="14"/>
        <v>715681512</v>
      </c>
      <c r="AF15" s="162"/>
      <c r="AG15" s="556" t="s">
        <v>108</v>
      </c>
      <c r="AH15" s="498">
        <f>HOMO_TH!Y13</f>
        <v>7230231</v>
      </c>
      <c r="AI15" s="498">
        <f t="shared" si="15"/>
        <v>4314715</v>
      </c>
      <c r="AJ15" s="581">
        <f t="shared" si="16"/>
        <v>-0.40323967519156717</v>
      </c>
    </row>
    <row r="16" spans="1:43" s="485" customFormat="1" ht="12.75">
      <c r="A16" s="502" t="s">
        <v>52</v>
      </c>
      <c r="B16" s="278" t="s">
        <v>53</v>
      </c>
      <c r="C16" s="19">
        <v>1</v>
      </c>
      <c r="D16" s="388">
        <v>1</v>
      </c>
      <c r="E16" s="493">
        <f t="shared" si="2"/>
        <v>5.166666666666667</v>
      </c>
      <c r="F16" s="608">
        <v>3900000</v>
      </c>
      <c r="G16" s="608">
        <f>ROUND(F16*$D16*$E16*$C16,0)</f>
        <v>20150000</v>
      </c>
      <c r="H16" s="608">
        <v>10188094</v>
      </c>
      <c r="I16" s="599">
        <f>ROUND(H16*$E16*$C16,0)</f>
        <v>52638486</v>
      </c>
      <c r="J16" s="608">
        <v>5428500</v>
      </c>
      <c r="K16" s="608">
        <f t="shared" si="5"/>
        <v>28047250</v>
      </c>
      <c r="L16" s="608">
        <v>3690486.4840000002</v>
      </c>
      <c r="M16" s="609">
        <f>ROUND(L16*$D16*$E16*$C16,0)</f>
        <v>19067514</v>
      </c>
      <c r="N16" s="602">
        <f t="shared" si="6"/>
        <v>4664250</v>
      </c>
      <c r="O16" s="618"/>
      <c r="P16" s="602">
        <f t="shared" si="7"/>
        <v>5311660</v>
      </c>
      <c r="Q16" s="618"/>
      <c r="R16" s="602">
        <f t="shared" si="8"/>
        <v>4939833</v>
      </c>
      <c r="S16" s="618"/>
      <c r="T16" s="33"/>
      <c r="U16" s="6"/>
      <c r="V16" s="623">
        <f t="shared" si="9"/>
        <v>4848849</v>
      </c>
      <c r="W16" s="594">
        <f t="shared" si="10"/>
        <v>25052387</v>
      </c>
      <c r="X16" s="611"/>
      <c r="Y16" s="596">
        <f t="shared" si="0"/>
        <v>156618</v>
      </c>
      <c r="Z16" s="622">
        <f t="shared" si="1"/>
        <v>5005467</v>
      </c>
      <c r="AA16" s="594">
        <f t="shared" si="11"/>
        <v>60065604</v>
      </c>
      <c r="AB16" s="610"/>
      <c r="AC16" s="590">
        <f t="shared" si="12"/>
        <v>150164</v>
      </c>
      <c r="AD16" s="625">
        <f t="shared" si="13"/>
        <v>5155631</v>
      </c>
      <c r="AE16" s="594">
        <f t="shared" si="14"/>
        <v>61867572</v>
      </c>
      <c r="AF16" s="162"/>
      <c r="AG16" s="556" t="s">
        <v>110</v>
      </c>
      <c r="AH16" s="498">
        <f>HOMO_TH!Y14</f>
        <v>7230231</v>
      </c>
      <c r="AI16" s="498">
        <f t="shared" si="15"/>
        <v>4848849</v>
      </c>
      <c r="AJ16" s="581">
        <f t="shared" si="16"/>
        <v>-0.32936458046776101</v>
      </c>
      <c r="AL16" s="58"/>
    </row>
    <row r="17" spans="1:40" s="61" customFormat="1" ht="10.5" customHeight="1">
      <c r="A17" s="718" t="s">
        <v>54</v>
      </c>
      <c r="B17" s="719"/>
      <c r="C17" s="719"/>
      <c r="D17" s="386"/>
      <c r="E17" s="386"/>
      <c r="F17" s="612"/>
      <c r="G17" s="612"/>
      <c r="H17" s="612"/>
      <c r="I17" s="612"/>
      <c r="J17" s="612"/>
      <c r="K17" s="612"/>
      <c r="L17" s="612"/>
      <c r="M17" s="613"/>
      <c r="N17" s="617"/>
      <c r="O17" s="618"/>
      <c r="P17" s="617"/>
      <c r="Q17" s="600"/>
      <c r="R17" s="617"/>
      <c r="S17" s="618"/>
      <c r="T17" s="33"/>
      <c r="U17" s="6"/>
      <c r="V17" s="617"/>
      <c r="W17" s="618"/>
      <c r="X17" s="604"/>
      <c r="Y17" s="765"/>
      <c r="Z17" s="766"/>
      <c r="AA17" s="767"/>
      <c r="AB17" s="601"/>
      <c r="AC17" s="765"/>
      <c r="AD17" s="766"/>
      <c r="AE17" s="767"/>
      <c r="AF17" s="162"/>
    </row>
    <row r="18" spans="1:40" s="58" customFormat="1" ht="87.75" customHeight="1">
      <c r="A18" s="492" t="s">
        <v>55</v>
      </c>
      <c r="B18" s="278" t="s">
        <v>56</v>
      </c>
      <c r="C18" s="19">
        <v>1</v>
      </c>
      <c r="D18" s="760" t="s">
        <v>111</v>
      </c>
      <c r="E18" s="761"/>
      <c r="F18" s="762">
        <v>140000000</v>
      </c>
      <c r="G18" s="763"/>
      <c r="H18" s="762">
        <v>82056000</v>
      </c>
      <c r="I18" s="763"/>
      <c r="J18" s="762">
        <v>31020000</v>
      </c>
      <c r="K18" s="763"/>
      <c r="L18" s="762">
        <f>((108372917*5.2%+108372917)/5.5)*5.17</f>
        <v>107167810.16295999</v>
      </c>
      <c r="M18" s="764"/>
      <c r="N18" s="617"/>
      <c r="O18" s="603">
        <f>ROUND(MEDIAN(F18,H18,J18,L18),0)</f>
        <v>94611905</v>
      </c>
      <c r="P18" s="617"/>
      <c r="Q18" s="603">
        <f>ROUND(GEOMEAN(F18,H18,J18,L18),0)</f>
        <v>78611509</v>
      </c>
      <c r="R18" s="617"/>
      <c r="S18" s="603">
        <f>ROUND(HARMEAN(F18,H18,J18,L18),0)</f>
        <v>65683513</v>
      </c>
      <c r="T18" s="33"/>
      <c r="U18" s="6"/>
      <c r="V18" s="623">
        <f>ROUND(W18/$E$8,0)</f>
        <v>14333185</v>
      </c>
      <c r="W18" s="594">
        <f>ROUND((((MIN(O18:S18)*3)+SMALL(O18:S18,2)+SMALL(O18:S18,3))/5),0)</f>
        <v>74054791</v>
      </c>
      <c r="X18" s="604"/>
      <c r="Y18" s="596">
        <f>ROUND((+V18*3.23%),0)</f>
        <v>462962</v>
      </c>
      <c r="Z18" s="622">
        <f>ROUND((+V18+Y18),0)</f>
        <v>14796147</v>
      </c>
      <c r="AA18" s="594">
        <f>ROUNDUP((+Z18*12),0)</f>
        <v>177553764</v>
      </c>
      <c r="AB18" s="601"/>
      <c r="AC18" s="592">
        <f>ROUND(Z18*3%,0)</f>
        <v>443884</v>
      </c>
      <c r="AD18" s="622">
        <f>ROUND((+Z18+AC18),0)</f>
        <v>15240031</v>
      </c>
      <c r="AE18" s="594">
        <f>ROUND((+AD18*12),0)</f>
        <v>182880372</v>
      </c>
      <c r="AF18" s="162"/>
    </row>
    <row r="19" spans="1:40" s="58" customFormat="1" ht="51" customHeight="1">
      <c r="A19" s="492" t="s">
        <v>57</v>
      </c>
      <c r="B19" s="278" t="s">
        <v>58</v>
      </c>
      <c r="C19" s="19">
        <v>1</v>
      </c>
      <c r="D19" s="760" t="s">
        <v>111</v>
      </c>
      <c r="E19" s="761"/>
      <c r="F19" s="762">
        <v>50000000</v>
      </c>
      <c r="G19" s="763"/>
      <c r="H19" s="762">
        <v>112248400</v>
      </c>
      <c r="I19" s="763"/>
      <c r="J19" s="762">
        <v>186120000</v>
      </c>
      <c r="K19" s="763"/>
      <c r="L19" s="762">
        <f>((36109065*5.2%+36109065)/5.5)*5.17</f>
        <v>35707532.197200008</v>
      </c>
      <c r="M19" s="764"/>
      <c r="N19" s="617"/>
      <c r="O19" s="603">
        <f>ROUND(MEDIAN(F19,H19,J19,L19),0)</f>
        <v>81124200</v>
      </c>
      <c r="P19" s="617"/>
      <c r="Q19" s="603">
        <f>ROUND(GEOMEAN(F19,H19,J19,L19),0)</f>
        <v>78149420</v>
      </c>
      <c r="R19" s="617"/>
      <c r="S19" s="603">
        <f>ROUND(HARMEAN(F19,H19,J19,L19),0)</f>
        <v>64218872</v>
      </c>
      <c r="T19" s="33"/>
      <c r="U19" s="6"/>
      <c r="V19" s="623">
        <f>ROUND(W19/$E$8,0)</f>
        <v>13623106</v>
      </c>
      <c r="W19" s="594">
        <f>ROUND((((MIN(O19:S19)*3)+SMALL(O19:S19,2)+SMALL(O19:S19,3))/5),0)</f>
        <v>70386047</v>
      </c>
      <c r="X19" s="621"/>
      <c r="Y19" s="596">
        <f>ROUND((+V19*3.23%),0)</f>
        <v>440026</v>
      </c>
      <c r="Z19" s="622">
        <f>ROUND((+V19+Y19),0)</f>
        <v>14063132</v>
      </c>
      <c r="AA19" s="594">
        <f t="shared" ref="AA19:AA21" si="18">ROUNDUP((+Z19*12),0)</f>
        <v>168757584</v>
      </c>
      <c r="AB19" s="601"/>
      <c r="AC19" s="592">
        <f>ROUND(Z19*3%,0)</f>
        <v>421894</v>
      </c>
      <c r="AD19" s="622">
        <f t="shared" si="13"/>
        <v>14485026</v>
      </c>
      <c r="AE19" s="594">
        <f t="shared" ref="AE19:AE21" si="19">ROUND((+AD19*12),0)</f>
        <v>173820312</v>
      </c>
      <c r="AF19" s="162"/>
    </row>
    <row r="20" spans="1:40" s="128" customFormat="1" ht="16.5" customHeight="1" thickBot="1">
      <c r="A20" s="753" t="s">
        <v>59</v>
      </c>
      <c r="B20" s="754"/>
      <c r="C20" s="755"/>
      <c r="D20" s="768"/>
      <c r="E20" s="755"/>
      <c r="F20" s="768"/>
      <c r="G20" s="755"/>
      <c r="H20" s="768"/>
      <c r="I20" s="755"/>
      <c r="J20" s="768"/>
      <c r="K20" s="755"/>
      <c r="L20" s="768"/>
      <c r="M20" s="789"/>
      <c r="N20" s="617"/>
      <c r="O20" s="618"/>
      <c r="P20" s="617"/>
      <c r="Q20" s="618"/>
      <c r="R20" s="617"/>
      <c r="S20" s="618"/>
      <c r="T20" s="33"/>
      <c r="U20" s="6"/>
      <c r="V20" s="662"/>
      <c r="W20" s="663"/>
      <c r="X20" s="604"/>
      <c r="Y20" s="660"/>
      <c r="Z20" s="595"/>
      <c r="AA20" s="661"/>
      <c r="AB20" s="601"/>
      <c r="AC20" s="658"/>
      <c r="AD20" s="32"/>
      <c r="AE20" s="659"/>
      <c r="AF20" s="162"/>
      <c r="AH20" s="58"/>
      <c r="AI20" s="58"/>
      <c r="AJ20" s="58"/>
      <c r="AK20" s="58"/>
      <c r="AL20" s="58"/>
      <c r="AM20" s="58"/>
      <c r="AN20" s="58"/>
    </row>
    <row r="21" spans="1:40" s="58" customFormat="1" ht="26.25" customHeight="1" thickBot="1">
      <c r="A21" s="516">
        <v>3</v>
      </c>
      <c r="B21" s="517" t="s">
        <v>60</v>
      </c>
      <c r="C21" s="518">
        <v>1</v>
      </c>
      <c r="D21" s="518" t="s">
        <v>111</v>
      </c>
      <c r="E21" s="587"/>
      <c r="F21" s="785">
        <v>107070950</v>
      </c>
      <c r="G21" s="785"/>
      <c r="H21" s="785">
        <v>500000000</v>
      </c>
      <c r="I21" s="785"/>
      <c r="J21" s="786">
        <v>51700000</v>
      </c>
      <c r="K21" s="787"/>
      <c r="L21" s="785">
        <f>((103281457*5.2%+103281457)/5.5)*5.17</f>
        <v>102132967.19816001</v>
      </c>
      <c r="M21" s="788"/>
      <c r="N21" s="619"/>
      <c r="O21" s="620">
        <f>ROUND(MEDIAN(F21,H21,J21,L21),0)</f>
        <v>104601959</v>
      </c>
      <c r="P21" s="619"/>
      <c r="Q21" s="620">
        <f>ROUND(GEOMEAN(F21,H21,J21,L21),0)</f>
        <v>129665530</v>
      </c>
      <c r="R21" s="619"/>
      <c r="S21" s="620">
        <f>ROUND(HARMEAN(F21,H21,J21,L21),0)</f>
        <v>98831029</v>
      </c>
      <c r="T21" s="33"/>
      <c r="U21" s="6"/>
      <c r="V21" s="634">
        <f>ROUND(W21/$E$8,0)</f>
        <v>20545571</v>
      </c>
      <c r="W21" s="631">
        <f>ROUND((((MIN(O21:S21)*3)+SMALL(O21:S21,2)+SMALL(O21:S21,3))/5),0)</f>
        <v>106152115</v>
      </c>
      <c r="X21" s="604"/>
      <c r="Y21" s="629">
        <f>ROUND((+V21*3.23%),0)</f>
        <v>663622</v>
      </c>
      <c r="Z21" s="630">
        <f>ROUND((+V21+Y21),0)</f>
        <v>21209193</v>
      </c>
      <c r="AA21" s="631">
        <f t="shared" si="18"/>
        <v>254510316</v>
      </c>
      <c r="AB21" s="601"/>
      <c r="AC21" s="632">
        <f>ROUND(Z21*3%,0)</f>
        <v>636276</v>
      </c>
      <c r="AD21" s="630">
        <f t="shared" si="13"/>
        <v>21845469</v>
      </c>
      <c r="AE21" s="631">
        <f t="shared" si="19"/>
        <v>262145628</v>
      </c>
      <c r="AF21" s="162"/>
    </row>
    <row r="22" spans="1:40" s="128" customFormat="1" ht="28.5" customHeight="1" thickBot="1">
      <c r="A22" s="293"/>
      <c r="B22" s="294"/>
      <c r="C22" s="295"/>
      <c r="D22" s="295"/>
      <c r="E22" s="295"/>
      <c r="F22" s="614"/>
      <c r="G22" s="614"/>
      <c r="H22" s="614"/>
      <c r="I22" s="614"/>
      <c r="J22" s="614"/>
      <c r="K22" s="614"/>
      <c r="L22" s="614"/>
      <c r="M22" s="614"/>
      <c r="N22" s="615"/>
      <c r="O22" s="615"/>
      <c r="P22" s="615"/>
      <c r="Q22" s="615"/>
      <c r="R22" s="615"/>
      <c r="S22" s="615"/>
      <c r="T22" s="601"/>
      <c r="U22" s="6"/>
      <c r="V22" s="598"/>
      <c r="W22" s="633">
        <f>ROUND((SUM(W8:W21)),0)</f>
        <v>1141758533</v>
      </c>
      <c r="X22" s="32"/>
      <c r="Y22" s="595"/>
      <c r="Z22" s="595"/>
      <c r="AA22" s="627">
        <f>SUM(AA8:AA21)</f>
        <v>2737480194</v>
      </c>
      <c r="AB22" s="601"/>
      <c r="AC22" s="626"/>
      <c r="AD22" s="626"/>
      <c r="AE22" s="628">
        <f>SUM(AE8:AE21)</f>
        <v>2819604606</v>
      </c>
      <c r="AF22" s="162"/>
      <c r="AH22" s="58"/>
      <c r="AI22" s="58"/>
      <c r="AJ22" s="58"/>
      <c r="AK22" s="58"/>
      <c r="AL22" s="58"/>
      <c r="AM22" s="58"/>
      <c r="AN22" s="58"/>
    </row>
    <row r="23" spans="1:40" s="4" customFormat="1" ht="25.5" customHeight="1" thickBot="1">
      <c r="A23" s="303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6"/>
      <c r="V23" s="595"/>
      <c r="W23" s="595"/>
      <c r="X23" s="32"/>
      <c r="Y23" s="595"/>
      <c r="Z23" s="595"/>
      <c r="AA23" s="595"/>
      <c r="AB23" s="601"/>
      <c r="AC23" s="302"/>
      <c r="AD23" s="302"/>
      <c r="AE23" s="302"/>
      <c r="AF23" s="162"/>
      <c r="AG23" s="32"/>
      <c r="AH23" s="32"/>
      <c r="AI23" s="32"/>
      <c r="AJ23" s="32"/>
      <c r="AK23" s="32"/>
      <c r="AL23" s="32"/>
      <c r="AM23" s="32"/>
      <c r="AN23" s="32"/>
    </row>
    <row r="24" spans="1:40" s="4" customFormat="1" ht="82.5" customHeight="1" thickBot="1">
      <c r="A24" s="744" t="s">
        <v>61</v>
      </c>
      <c r="B24" s="745"/>
      <c r="C24" s="745"/>
      <c r="D24" s="745"/>
      <c r="E24" s="746"/>
      <c r="F24" s="747" t="s">
        <v>7</v>
      </c>
      <c r="G24" s="746"/>
      <c r="H24" s="747" t="s">
        <v>112</v>
      </c>
      <c r="I24" s="746"/>
      <c r="J24" s="747" t="str">
        <f>J5</f>
        <v>3. OLI CONSULTING
24/04/2025</v>
      </c>
      <c r="K24" s="746"/>
      <c r="L24" s="747" t="str">
        <f>L5</f>
        <v>4. No. SED-CM-A-DSA-063-2024
ALIANZA INTEGRAL DE PROYECTOS SAS</v>
      </c>
      <c r="M24" s="748"/>
      <c r="N24" s="32"/>
      <c r="O24" s="32"/>
      <c r="P24" s="32"/>
      <c r="Q24" s="32"/>
      <c r="R24" s="32"/>
      <c r="S24" s="32"/>
      <c r="T24" s="32"/>
      <c r="U24" s="6"/>
      <c r="V24" s="595"/>
      <c r="W24" s="651" t="s">
        <v>62</v>
      </c>
      <c r="X24" s="162"/>
      <c r="Y24" s="593"/>
      <c r="Z24" s="593"/>
      <c r="AA24" s="651" t="s">
        <v>63</v>
      </c>
      <c r="AB24" s="162"/>
      <c r="AC24" s="302"/>
      <c r="AD24" s="40"/>
      <c r="AE24" s="268" t="s">
        <v>64</v>
      </c>
      <c r="AF24" s="162"/>
      <c r="AG24" s="268" t="s">
        <v>64</v>
      </c>
      <c r="AH24" s="32"/>
      <c r="AI24" s="32"/>
      <c r="AJ24" s="32"/>
      <c r="AK24" s="32"/>
      <c r="AL24" s="32"/>
      <c r="AM24" s="32"/>
      <c r="AN24" s="32"/>
    </row>
    <row r="25" spans="1:40" s="3" customFormat="1" ht="18.75" customHeight="1" thickTop="1">
      <c r="A25" s="774" t="s">
        <v>65</v>
      </c>
      <c r="B25" s="775"/>
      <c r="C25" s="775"/>
      <c r="D25" s="775"/>
      <c r="E25" s="776"/>
      <c r="F25" s="772">
        <f>SUM(G8:G16)+F18+F19</f>
        <v>1102433332</v>
      </c>
      <c r="G25" s="725"/>
      <c r="H25" s="772">
        <f>SUM(I8:I16)+H18+H19</f>
        <v>1071278314</v>
      </c>
      <c r="I25" s="725"/>
      <c r="J25" s="772">
        <f>SUM(K8:K16)+J18+J19</f>
        <v>1210453393</v>
      </c>
      <c r="K25" s="725"/>
      <c r="L25" s="772">
        <f>SUM(M8:M16)+L18+L19</f>
        <v>1065823712.3601601</v>
      </c>
      <c r="M25" s="773"/>
      <c r="N25" s="32"/>
      <c r="O25" s="605">
        <f>MEDIAN(F25,H25,J25,L25)</f>
        <v>1086855823</v>
      </c>
      <c r="P25" s="32"/>
      <c r="Q25" s="605">
        <f>GEOMEAN(F25,H25,J25,L25)</f>
        <v>1111020378.3864911</v>
      </c>
      <c r="R25" s="32"/>
      <c r="S25" s="605">
        <f>HARMEAN(F25,H25,J25,L25)</f>
        <v>1109592584.4855497</v>
      </c>
      <c r="T25" s="162"/>
      <c r="U25" s="6"/>
      <c r="V25" s="595"/>
      <c r="W25" s="638">
        <f>ROUND((+W8+W9+W10+W11+W12+W13+W14+W15+W16+W18+W19),0)</f>
        <v>1035606418</v>
      </c>
      <c r="X25" s="162"/>
      <c r="Y25" s="593"/>
      <c r="Z25" s="593"/>
      <c r="AA25" s="635">
        <f>+AA8+AA9+AA10+AA11+AA12+AA13+AA14+AA15+AA16+AA18+AA19</f>
        <v>2482969878</v>
      </c>
      <c r="AB25" s="162"/>
      <c r="AC25" s="162"/>
      <c r="AD25" s="162"/>
      <c r="AE25" s="638">
        <f>+AE8+AE9+AE10+AE11+AE12+AE13+AE14+AE15+AE16+AE18+AE19</f>
        <v>2557458978</v>
      </c>
      <c r="AF25" s="649"/>
      <c r="AG25" s="638">
        <f>SUM(W25:AE25)</f>
        <v>6076035274</v>
      </c>
      <c r="AH25" s="162"/>
      <c r="AI25" s="162"/>
      <c r="AJ25" s="162"/>
      <c r="AK25" s="162"/>
      <c r="AL25" s="162"/>
      <c r="AM25" s="162"/>
      <c r="AN25" s="162"/>
    </row>
    <row r="26" spans="1:40" s="3" customFormat="1" ht="18.75" customHeight="1">
      <c r="A26" s="769" t="s">
        <v>66</v>
      </c>
      <c r="B26" s="770"/>
      <c r="C26" s="770"/>
      <c r="D26" s="770"/>
      <c r="E26" s="771"/>
      <c r="F26" s="772">
        <f>F21</f>
        <v>107070950</v>
      </c>
      <c r="G26" s="725"/>
      <c r="H26" s="772">
        <f>H21</f>
        <v>500000000</v>
      </c>
      <c r="I26" s="725"/>
      <c r="J26" s="772">
        <f>J21</f>
        <v>51700000</v>
      </c>
      <c r="K26" s="725"/>
      <c r="L26" s="772">
        <f>L21</f>
        <v>102132967.19816001</v>
      </c>
      <c r="M26" s="773"/>
      <c r="N26" s="32"/>
      <c r="O26" s="605">
        <f>MEDIAN(F26,H26,J26,L26)</f>
        <v>104601958.59908</v>
      </c>
      <c r="P26" s="32"/>
      <c r="Q26" s="605">
        <f>GEOMEAN(F26,H26,J26,L26)</f>
        <v>129665529.60143012</v>
      </c>
      <c r="R26" s="32"/>
      <c r="S26" s="605">
        <f>HARMEAN(F26,H26,J26,L26)</f>
        <v>98831028.974686027</v>
      </c>
      <c r="T26" s="162"/>
      <c r="U26" s="6"/>
      <c r="V26" s="595"/>
      <c r="W26" s="638">
        <f>ROUND((+W21),0)</f>
        <v>106152115</v>
      </c>
      <c r="X26" s="162"/>
      <c r="Y26" s="593"/>
      <c r="Z26" s="593"/>
      <c r="AA26" s="635">
        <f>+AA21</f>
        <v>254510316</v>
      </c>
      <c r="AB26" s="162"/>
      <c r="AC26" s="162"/>
      <c r="AD26" s="162"/>
      <c r="AE26" s="638">
        <f>+AE21</f>
        <v>262145628</v>
      </c>
      <c r="AF26" s="649"/>
      <c r="AG26" s="638">
        <f>SUM(W26:AE26)</f>
        <v>622808059</v>
      </c>
      <c r="AH26" s="162"/>
      <c r="AI26" s="162"/>
      <c r="AJ26" s="162"/>
      <c r="AK26" s="162"/>
      <c r="AL26" s="162"/>
      <c r="AM26" s="162"/>
      <c r="AN26" s="162"/>
    </row>
    <row r="27" spans="1:40" s="3" customFormat="1" ht="18.75" customHeight="1">
      <c r="A27" s="769" t="s">
        <v>67</v>
      </c>
      <c r="B27" s="770"/>
      <c r="C27" s="770"/>
      <c r="D27" s="770"/>
      <c r="E27" s="771"/>
      <c r="F27" s="772">
        <f>F25+F26</f>
        <v>1209504282</v>
      </c>
      <c r="G27" s="725"/>
      <c r="H27" s="772">
        <f>H25+H26</f>
        <v>1571278314</v>
      </c>
      <c r="I27" s="725"/>
      <c r="J27" s="772">
        <f>J25+J26</f>
        <v>1262153393</v>
      </c>
      <c r="K27" s="725"/>
      <c r="L27" s="772">
        <f>L25+L26</f>
        <v>1167956679.55832</v>
      </c>
      <c r="M27" s="773"/>
      <c r="N27" s="32"/>
      <c r="O27" s="605">
        <f>MEDIAN(F27,H27,J27,L27)</f>
        <v>1235828837.5</v>
      </c>
      <c r="P27" s="32"/>
      <c r="Q27" s="605">
        <f>GEOMEAN(F27,H27,J27,L27)</f>
        <v>1293748472.9309719</v>
      </c>
      <c r="R27" s="32"/>
      <c r="S27" s="605">
        <f>HARMEAN(F27,H27,J27,L27)</f>
        <v>1285469990.8696702</v>
      </c>
      <c r="T27" s="162"/>
      <c r="U27" s="6"/>
      <c r="V27" s="595"/>
      <c r="W27" s="654">
        <f>SUM(W25:W26)</f>
        <v>1141758533</v>
      </c>
      <c r="X27" s="162"/>
      <c r="Y27" s="593"/>
      <c r="Z27" s="593"/>
      <c r="AA27" s="635">
        <f>SUM(AA25:AA26)</f>
        <v>2737480194</v>
      </c>
      <c r="AB27" s="162"/>
      <c r="AC27" s="588"/>
      <c r="AD27" s="162"/>
      <c r="AE27" s="638">
        <f>SUM(AE25:AE26)</f>
        <v>2819604606</v>
      </c>
      <c r="AF27" s="649"/>
      <c r="AG27" s="638">
        <f>SUM(W27:AE27)</f>
        <v>6698843333</v>
      </c>
      <c r="AH27" s="162"/>
      <c r="AI27" s="162"/>
      <c r="AJ27" s="162"/>
      <c r="AK27" s="162"/>
      <c r="AL27" s="162"/>
      <c r="AM27" s="162"/>
      <c r="AN27" s="162"/>
    </row>
    <row r="28" spans="1:40" s="3" customFormat="1" ht="18.75" customHeight="1" thickBot="1">
      <c r="A28" s="769" t="s">
        <v>68</v>
      </c>
      <c r="B28" s="770"/>
      <c r="C28" s="770"/>
      <c r="D28" s="770"/>
      <c r="E28" s="771"/>
      <c r="F28" s="772">
        <f>F27*19%</f>
        <v>229805813.58000001</v>
      </c>
      <c r="G28" s="725"/>
      <c r="H28" s="772">
        <f>H27*19%</f>
        <v>298542879.66000003</v>
      </c>
      <c r="I28" s="725"/>
      <c r="J28" s="772">
        <f>J27*19%</f>
        <v>239809144.67000002</v>
      </c>
      <c r="K28" s="725"/>
      <c r="L28" s="772">
        <f>L27*19%</f>
        <v>221911769.11608082</v>
      </c>
      <c r="M28" s="773"/>
      <c r="N28" s="32"/>
      <c r="O28" s="605">
        <f>MEDIAN(F28,H28,J28,L28)</f>
        <v>234807479.125</v>
      </c>
      <c r="P28" s="32"/>
      <c r="Q28" s="605">
        <f>GEOMEAN(F28,H28,J28,L28)</f>
        <v>245812209.85688466</v>
      </c>
      <c r="R28" s="32"/>
      <c r="S28" s="605">
        <f>HARMEAN(F28,H28,J28,L28)</f>
        <v>244239298.26523736</v>
      </c>
      <c r="T28" s="162"/>
      <c r="U28" s="6"/>
      <c r="V28" s="595"/>
      <c r="W28" s="650">
        <f>ROUND((+W27*19%),0)</f>
        <v>216934121</v>
      </c>
      <c r="X28" s="162"/>
      <c r="Y28" s="593"/>
      <c r="Z28" s="593"/>
      <c r="AA28" s="648">
        <f>ROUND((+AA27*19%),0)</f>
        <v>520121237</v>
      </c>
      <c r="AB28" s="162"/>
      <c r="AC28" s="365"/>
      <c r="AD28" s="162"/>
      <c r="AE28" s="650">
        <f>ROUND((+AE27*19%),0)</f>
        <v>535724875</v>
      </c>
      <c r="AF28" s="649"/>
      <c r="AG28" s="638">
        <f>ROUND(SUM(W28:AE28),0)</f>
        <v>1272780233</v>
      </c>
      <c r="AH28" s="162"/>
      <c r="AI28" s="365"/>
      <c r="AJ28" s="162"/>
      <c r="AK28" s="162"/>
      <c r="AL28" s="162"/>
      <c r="AM28" s="162"/>
      <c r="AN28" s="162"/>
    </row>
    <row r="29" spans="1:40" s="3" customFormat="1" ht="18.75" customHeight="1" thickTop="1" thickBot="1">
      <c r="A29" s="778" t="s">
        <v>69</v>
      </c>
      <c r="B29" s="779"/>
      <c r="C29" s="779"/>
      <c r="D29" s="779"/>
      <c r="E29" s="780"/>
      <c r="F29" s="781">
        <f>SUM(F27:G28)</f>
        <v>1439310095.5799999</v>
      </c>
      <c r="G29" s="782"/>
      <c r="H29" s="781">
        <f>SUM(H27:I28)</f>
        <v>1869821193.6600001</v>
      </c>
      <c r="I29" s="782"/>
      <c r="J29" s="781">
        <f>SUM(J27:K28)</f>
        <v>1501962537.6700001</v>
      </c>
      <c r="K29" s="782"/>
      <c r="L29" s="781">
        <f>SUM(L27:M28)</f>
        <v>1389868448.6744008</v>
      </c>
      <c r="M29" s="783"/>
      <c r="N29" s="162"/>
      <c r="O29" s="32"/>
      <c r="P29" s="271"/>
      <c r="Q29" s="271"/>
      <c r="R29" s="162"/>
      <c r="S29" s="162"/>
      <c r="T29" s="162"/>
      <c r="U29" s="6"/>
      <c r="V29" s="653" t="s">
        <v>26</v>
      </c>
      <c r="W29" s="639">
        <f>ROUND((+W27+W28),0)</f>
        <v>1358692654</v>
      </c>
      <c r="X29" s="162"/>
      <c r="Y29" s="593"/>
      <c r="Z29" s="593"/>
      <c r="AA29" s="636">
        <f>ROUND((+AA27+AA28),0)</f>
        <v>3257601431</v>
      </c>
      <c r="AB29" s="162"/>
      <c r="AC29" s="162"/>
      <c r="AD29" s="162"/>
      <c r="AE29" s="639">
        <f>ROUND((+AE27+AE28),0)</f>
        <v>3355329481</v>
      </c>
      <c r="AF29" s="649"/>
      <c r="AG29" s="639">
        <f>ROUND((+AG27+AG28),0)</f>
        <v>7971623566</v>
      </c>
      <c r="AH29" s="162"/>
      <c r="AI29" s="162"/>
      <c r="AJ29" s="162"/>
      <c r="AK29" s="162"/>
      <c r="AL29" s="162"/>
      <c r="AM29" s="162"/>
      <c r="AN29" s="162"/>
    </row>
    <row r="30" spans="1:40" s="3" customFormat="1" ht="24.75" customHeight="1" thickBo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  <c r="M30" s="162"/>
      <c r="N30" s="162"/>
      <c r="O30" s="162"/>
      <c r="P30" s="271"/>
      <c r="Q30" s="271"/>
      <c r="R30" s="162"/>
      <c r="S30" s="162"/>
      <c r="T30" s="162"/>
      <c r="U30" s="6"/>
      <c r="V30" s="653" t="s">
        <v>113</v>
      </c>
      <c r="W30" s="640">
        <f>ROUND((+W29/155)*30,0)</f>
        <v>262972772</v>
      </c>
      <c r="X30" s="162"/>
      <c r="Y30" s="647"/>
      <c r="Z30" s="393">
        <f>(AA30-W30)/W30</f>
        <v>3.2299975147236919E-2</v>
      </c>
      <c r="AA30" s="637">
        <f>ROUND(AA29/12,0)</f>
        <v>271466786</v>
      </c>
      <c r="AB30" s="162"/>
      <c r="AC30" s="162"/>
      <c r="AD30" s="393">
        <f>(AE30-AA30)/AA30</f>
        <v>3.0000001547150597E-2</v>
      </c>
      <c r="AE30" s="652">
        <f>ROUND(AE29/12,0)</f>
        <v>279610790</v>
      </c>
      <c r="AF30" s="649"/>
      <c r="AG30" s="640">
        <f>ROUND(AG29/12,0)</f>
        <v>664301964</v>
      </c>
      <c r="AH30" s="162"/>
      <c r="AI30" s="365"/>
      <c r="AJ30" s="162"/>
      <c r="AK30" s="162"/>
      <c r="AL30" s="162"/>
      <c r="AM30" s="162"/>
      <c r="AN30" s="162"/>
    </row>
    <row r="31" spans="1:40" s="162" customFormat="1" ht="24.75" customHeight="1">
      <c r="A31" s="269"/>
      <c r="B31" s="269"/>
      <c r="C31" s="269"/>
      <c r="D31" s="269"/>
      <c r="E31" s="269"/>
      <c r="F31" s="489"/>
      <c r="G31" s="269"/>
      <c r="H31" s="489"/>
      <c r="I31" s="269"/>
      <c r="J31" s="489"/>
      <c r="K31" s="269"/>
      <c r="L31" s="489"/>
      <c r="M31" s="269"/>
      <c r="P31" s="271"/>
      <c r="Q31" s="271"/>
      <c r="U31" s="6"/>
      <c r="V31" s="591"/>
      <c r="W31" s="647"/>
      <c r="Z31" s="490"/>
      <c r="AA31" s="58"/>
      <c r="AD31" s="490"/>
      <c r="AE31" s="58"/>
      <c r="AG31" s="272"/>
    </row>
    <row r="32" spans="1:40" s="162" customFormat="1" ht="24.75" customHeight="1">
      <c r="A32" s="269"/>
      <c r="B32" s="269"/>
      <c r="C32" s="269"/>
      <c r="D32" s="269"/>
      <c r="E32" s="269"/>
      <c r="F32" s="489"/>
      <c r="G32" s="269"/>
      <c r="H32" s="489"/>
      <c r="I32" s="269"/>
      <c r="J32" s="489"/>
      <c r="K32" s="269"/>
      <c r="L32" s="489"/>
      <c r="M32" s="269"/>
      <c r="P32" s="271"/>
      <c r="Q32" s="271"/>
      <c r="U32" s="6"/>
      <c r="V32" s="58"/>
      <c r="Z32" s="490"/>
      <c r="AA32" s="58"/>
      <c r="AD32" s="490"/>
      <c r="AE32" s="58"/>
      <c r="AG32" s="272"/>
    </row>
    <row r="33" spans="1:40" s="162" customFormat="1" ht="24.75" customHeight="1">
      <c r="A33" s="269"/>
      <c r="B33" s="269"/>
      <c r="C33" s="269"/>
      <c r="D33" s="269"/>
      <c r="E33" s="269"/>
      <c r="F33" s="489"/>
      <c r="G33" s="269"/>
      <c r="H33" s="489"/>
      <c r="I33" s="269"/>
      <c r="J33" s="489"/>
      <c r="K33" s="269"/>
      <c r="L33" s="489"/>
      <c r="M33" s="269"/>
      <c r="P33" s="271"/>
      <c r="Q33" s="271"/>
      <c r="U33" s="6"/>
      <c r="V33" s="58"/>
      <c r="Z33" s="490"/>
      <c r="AA33" s="58"/>
      <c r="AD33" s="490"/>
      <c r="AE33" s="58"/>
      <c r="AG33" s="272"/>
    </row>
    <row r="34" spans="1:40" s="162" customFormat="1" ht="24.75" customHeight="1">
      <c r="A34" s="269"/>
      <c r="B34" s="269"/>
      <c r="C34" s="269"/>
      <c r="D34" s="269"/>
      <c r="E34" s="269"/>
      <c r="F34" s="489"/>
      <c r="G34" s="269"/>
      <c r="H34" s="489"/>
      <c r="I34" s="269"/>
      <c r="J34" s="489"/>
      <c r="K34" s="269"/>
      <c r="L34" s="489"/>
      <c r="M34" s="269"/>
      <c r="P34" s="271"/>
      <c r="Q34" s="271"/>
      <c r="U34" s="6"/>
      <c r="V34" s="58"/>
      <c r="Z34" s="490"/>
      <c r="AA34" s="58"/>
      <c r="AD34" s="490"/>
      <c r="AE34" s="58"/>
      <c r="AG34" s="682" t="s">
        <v>114</v>
      </c>
      <c r="AH34" s="162" t="s">
        <v>115</v>
      </c>
    </row>
    <row r="35" spans="1:40" s="3" customFormat="1" ht="35.25" customHeight="1">
      <c r="A35" s="269"/>
      <c r="B35" s="162"/>
      <c r="C35" s="664"/>
      <c r="D35" s="664"/>
      <c r="E35" s="664"/>
      <c r="F35" s="664"/>
      <c r="G35" s="664"/>
      <c r="H35" s="664"/>
      <c r="I35" s="664"/>
      <c r="J35" s="664"/>
      <c r="K35" s="664"/>
      <c r="L35" s="664"/>
      <c r="M35" s="664"/>
      <c r="N35" s="162"/>
      <c r="O35" s="162"/>
      <c r="P35" s="162"/>
      <c r="Q35" s="162"/>
      <c r="R35" s="162"/>
      <c r="S35" s="162"/>
      <c r="T35" s="162"/>
      <c r="U35" s="6"/>
      <c r="V35" s="644" t="s">
        <v>70</v>
      </c>
      <c r="W35" s="131">
        <f>W29/155*30</f>
        <v>262972771.74193549</v>
      </c>
      <c r="Y35" s="226" t="s">
        <v>71</v>
      </c>
      <c r="AA35" s="232">
        <f>ROUND((+W35/30*155),0)</f>
        <v>1358692654</v>
      </c>
      <c r="AE35" s="287">
        <v>1386161735</v>
      </c>
      <c r="AF35" s="233" t="s">
        <v>72</v>
      </c>
      <c r="AG35" s="664">
        <v>1518</v>
      </c>
      <c r="AH35" s="680">
        <v>1386161735</v>
      </c>
      <c r="AI35" s="490">
        <f>(AH35-AA35)/AH35</f>
        <v>1.9816649317620935E-2</v>
      </c>
      <c r="AJ35" s="681">
        <f>AH35-AA35</f>
        <v>27469081</v>
      </c>
      <c r="AK35" s="162"/>
      <c r="AL35" s="162"/>
      <c r="AM35" s="162"/>
      <c r="AN35" s="162"/>
    </row>
    <row r="36" spans="1:40" s="3" customFormat="1">
      <c r="A36" s="269"/>
      <c r="B36" s="162"/>
      <c r="C36" s="665"/>
      <c r="D36" s="665"/>
      <c r="E36" s="665"/>
      <c r="F36" s="665"/>
      <c r="G36" s="665"/>
      <c r="H36" s="665"/>
      <c r="I36" s="665"/>
      <c r="J36" s="665"/>
      <c r="K36" s="665"/>
      <c r="L36" s="665"/>
      <c r="M36" s="665"/>
      <c r="N36" s="162"/>
      <c r="O36" s="162"/>
      <c r="P36" s="162"/>
      <c r="Q36" s="162"/>
      <c r="R36" s="162"/>
      <c r="S36" s="162"/>
      <c r="T36" s="162"/>
      <c r="U36" s="6"/>
      <c r="V36" s="162"/>
      <c r="W36" s="670"/>
      <c r="X36" s="162"/>
      <c r="Y36" s="667"/>
      <c r="Z36" s="162"/>
      <c r="AA36" s="667"/>
      <c r="AB36" s="162"/>
      <c r="AE36" s="288">
        <f>+AE35-AA35</f>
        <v>27469081</v>
      </c>
      <c r="AF36" s="3" t="s">
        <v>74</v>
      </c>
      <c r="AG36" s="664"/>
      <c r="AH36" s="681"/>
      <c r="AI36" s="490"/>
      <c r="AJ36" s="162"/>
      <c r="AK36" s="162"/>
      <c r="AL36" s="162"/>
      <c r="AM36" s="162"/>
      <c r="AN36" s="162"/>
    </row>
    <row r="37" spans="1:40" s="3" customFormat="1" ht="30.75" customHeight="1">
      <c r="A37" s="269"/>
      <c r="B37" s="162"/>
      <c r="C37" s="162"/>
      <c r="D37" s="162"/>
      <c r="E37" s="162"/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6"/>
      <c r="V37" s="644" t="s">
        <v>75</v>
      </c>
      <c r="W37" s="227">
        <f>AA29/12</f>
        <v>271466785.91666669</v>
      </c>
      <c r="X37" s="162"/>
      <c r="Y37" s="226" t="s">
        <v>116</v>
      </c>
      <c r="Z37" s="162"/>
      <c r="AA37" s="227">
        <f>+W37*12</f>
        <v>3257601431</v>
      </c>
      <c r="AB37" s="162"/>
      <c r="AE37" s="287">
        <v>3316056552</v>
      </c>
      <c r="AF37" s="131" t="s">
        <v>72</v>
      </c>
      <c r="AG37" s="664">
        <v>10</v>
      </c>
      <c r="AH37" s="680">
        <v>3219472381</v>
      </c>
      <c r="AI37" s="490">
        <f>(AH37-AA37)/AH37</f>
        <v>-1.18432604749219E-2</v>
      </c>
      <c r="AJ37" s="681">
        <f>AH37-AA37</f>
        <v>-38129050</v>
      </c>
      <c r="AK37" s="162"/>
      <c r="AL37" s="162"/>
      <c r="AM37" s="162"/>
      <c r="AN37" s="162"/>
    </row>
    <row r="38" spans="1:40" s="3" customFormat="1">
      <c r="A38" s="269"/>
      <c r="B38" s="162"/>
      <c r="C38" s="162"/>
      <c r="D38" s="162"/>
      <c r="E38" s="162"/>
      <c r="F38" s="162"/>
      <c r="G38" s="162"/>
      <c r="H38" s="162"/>
      <c r="I38" s="162"/>
      <c r="J38" s="162"/>
      <c r="K38" s="162"/>
      <c r="L38" s="162"/>
      <c r="M38" s="162"/>
      <c r="N38" s="666"/>
      <c r="O38" s="666"/>
      <c r="P38" s="666"/>
      <c r="Q38" s="666"/>
      <c r="R38" s="666"/>
      <c r="S38" s="666"/>
      <c r="T38" s="666"/>
      <c r="U38" s="6"/>
      <c r="V38" s="162"/>
      <c r="W38" s="667"/>
      <c r="X38" s="162"/>
      <c r="Y38" s="667"/>
      <c r="Z38" s="162"/>
      <c r="AA38" s="669"/>
      <c r="AB38" s="162"/>
      <c r="AE38" s="288">
        <f>+AE37-AA37</f>
        <v>58455121</v>
      </c>
      <c r="AF38" s="3" t="s">
        <v>74</v>
      </c>
      <c r="AG38" s="664"/>
      <c r="AH38" s="681"/>
      <c r="AI38" s="162"/>
      <c r="AJ38" s="162"/>
      <c r="AK38" s="162"/>
      <c r="AL38" s="162"/>
      <c r="AM38" s="162"/>
      <c r="AN38" s="162"/>
    </row>
    <row r="39" spans="1:40" s="3" customFormat="1" ht="33.75" customHeight="1">
      <c r="A39" s="269"/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  <c r="S39" s="162"/>
      <c r="T39" s="162"/>
      <c r="U39" s="6"/>
      <c r="V39" s="644" t="s">
        <v>77</v>
      </c>
      <c r="W39" s="227">
        <f>AE29/12</f>
        <v>279610790.08333331</v>
      </c>
      <c r="X39" s="162"/>
      <c r="Y39" s="226" t="s">
        <v>117</v>
      </c>
      <c r="Z39" s="162"/>
      <c r="AA39" s="227">
        <f>+W39*12</f>
        <v>3355329481</v>
      </c>
      <c r="AB39" s="162"/>
      <c r="AE39" s="287">
        <v>3415538196</v>
      </c>
      <c r="AF39" s="131" t="s">
        <v>72</v>
      </c>
      <c r="AG39" s="664">
        <v>6</v>
      </c>
      <c r="AH39" s="680">
        <v>3219472381</v>
      </c>
      <c r="AI39" s="490">
        <f>(AH39-AA39)/AH39</f>
        <v>-4.2198560485181565E-2</v>
      </c>
      <c r="AJ39" s="681">
        <f>AH39-AA39</f>
        <v>-135857100</v>
      </c>
      <c r="AK39" s="162"/>
      <c r="AL39" s="162"/>
      <c r="AM39" s="162"/>
      <c r="AN39" s="162"/>
    </row>
    <row r="40" spans="1:40" s="3" customFormat="1">
      <c r="A40" s="269"/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  <c r="S40" s="162"/>
      <c r="T40" s="162"/>
      <c r="U40" s="6"/>
      <c r="V40" s="162"/>
      <c r="W40" s="668"/>
      <c r="X40" s="162"/>
      <c r="Y40" s="667"/>
      <c r="Z40" s="162"/>
      <c r="AA40" s="667"/>
      <c r="AB40" s="162"/>
      <c r="AC40" s="162"/>
      <c r="AD40" s="162"/>
      <c r="AE40" s="288">
        <f>+AE39-AA39</f>
        <v>60208715</v>
      </c>
      <c r="AF40" s="3" t="s">
        <v>74</v>
      </c>
      <c r="AG40" s="162"/>
      <c r="AH40" s="162"/>
      <c r="AI40" s="162"/>
      <c r="AJ40" s="162"/>
      <c r="AK40" s="162"/>
      <c r="AL40" s="162"/>
      <c r="AM40" s="162"/>
      <c r="AN40" s="162"/>
    </row>
    <row r="41" spans="1:40" s="3" customFormat="1" ht="39.75" customHeight="1">
      <c r="A41" s="269"/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162"/>
      <c r="T41" s="162"/>
      <c r="U41" s="6"/>
      <c r="V41" s="695" t="s">
        <v>78</v>
      </c>
      <c r="W41" s="696"/>
      <c r="X41" s="162"/>
      <c r="Y41" s="667"/>
      <c r="Z41" s="162"/>
      <c r="AA41" s="227">
        <f>+AA35+AA37+AA39</f>
        <v>7971623566</v>
      </c>
      <c r="AB41" s="162"/>
      <c r="AC41" s="906" t="s">
        <v>118</v>
      </c>
      <c r="AD41" s="162"/>
      <c r="AE41" s="287">
        <f>+AE35+AE37+AE39</f>
        <v>8117756483</v>
      </c>
      <c r="AF41" s="131" t="s">
        <v>72</v>
      </c>
      <c r="AG41" s="162"/>
      <c r="AH41" s="681">
        <f>SUM(AH35:AH40)</f>
        <v>7825106497</v>
      </c>
      <c r="AI41" s="162"/>
      <c r="AJ41" s="162"/>
      <c r="AK41" s="162"/>
      <c r="AL41" s="162"/>
      <c r="AM41" s="162"/>
      <c r="AN41" s="162"/>
    </row>
    <row r="42" spans="1:40" s="162" customFormat="1">
      <c r="A42" s="269"/>
      <c r="U42" s="6"/>
      <c r="Y42" s="667"/>
      <c r="AE42" s="365">
        <f>+AE41-AA41</f>
        <v>146132917</v>
      </c>
      <c r="AF42" s="162" t="s">
        <v>74</v>
      </c>
    </row>
    <row r="43" spans="1:40" s="162" customFormat="1">
      <c r="A43" s="269"/>
      <c r="U43" s="6"/>
      <c r="Y43" s="667"/>
    </row>
    <row r="44" spans="1:40">
      <c r="A44" s="269"/>
      <c r="U44" s="6"/>
      <c r="Y44" s="777">
        <v>2024</v>
      </c>
      <c r="Z44" s="777"/>
      <c r="AA44" s="777"/>
    </row>
    <row r="45" spans="1:40" ht="24" customHeight="1">
      <c r="A45" s="269"/>
      <c r="U45" s="6"/>
      <c r="V45" s="784" t="s">
        <v>79</v>
      </c>
      <c r="W45" s="784"/>
      <c r="Y45" s="645" t="s">
        <v>80</v>
      </c>
      <c r="Z45" s="645" t="s">
        <v>81</v>
      </c>
      <c r="AA45" s="645" t="s">
        <v>82</v>
      </c>
    </row>
    <row r="46" spans="1:40">
      <c r="A46" s="269"/>
      <c r="U46" s="6"/>
      <c r="V46" s="784" t="s">
        <v>119</v>
      </c>
      <c r="W46" s="784"/>
      <c r="Y46" s="646">
        <f>(+AA46/164)*14</f>
        <v>115410729.98896343</v>
      </c>
      <c r="Z46" s="646">
        <f>+AA46/164*30</f>
        <v>247308707.11920732</v>
      </c>
      <c r="AA46" s="646">
        <v>1351954265.585</v>
      </c>
    </row>
    <row r="47" spans="1:40">
      <c r="U47" s="6"/>
    </row>
    <row r="48" spans="1:40">
      <c r="AA48" s="683">
        <f>ROUND(AA41/1423500,0)</f>
        <v>5600</v>
      </c>
    </row>
    <row r="49" ht="22.5" customHeight="1"/>
  </sheetData>
  <mergeCells count="73">
    <mergeCell ref="D19:E19"/>
    <mergeCell ref="V46:W46"/>
    <mergeCell ref="F19:G19"/>
    <mergeCell ref="H19:I19"/>
    <mergeCell ref="J19:K19"/>
    <mergeCell ref="L19:M19"/>
    <mergeCell ref="F21:G21"/>
    <mergeCell ref="H21:I21"/>
    <mergeCell ref="J21:K21"/>
    <mergeCell ref="L21:M21"/>
    <mergeCell ref="V41:W41"/>
    <mergeCell ref="V45:W45"/>
    <mergeCell ref="F20:G20"/>
    <mergeCell ref="H20:I20"/>
    <mergeCell ref="J20:K20"/>
    <mergeCell ref="L20:M20"/>
    <mergeCell ref="Y44:AA44"/>
    <mergeCell ref="A29:E29"/>
    <mergeCell ref="F29:G29"/>
    <mergeCell ref="H29:I29"/>
    <mergeCell ref="J29:K29"/>
    <mergeCell ref="L29:M29"/>
    <mergeCell ref="A27:E27"/>
    <mergeCell ref="F27:G27"/>
    <mergeCell ref="H27:I27"/>
    <mergeCell ref="J27:K27"/>
    <mergeCell ref="L27:M27"/>
    <mergeCell ref="A28:E28"/>
    <mergeCell ref="F28:G28"/>
    <mergeCell ref="H28:I28"/>
    <mergeCell ref="J28:K28"/>
    <mergeCell ref="L28:M28"/>
    <mergeCell ref="A25:E25"/>
    <mergeCell ref="F25:G25"/>
    <mergeCell ref="H25:I25"/>
    <mergeCell ref="J25:K25"/>
    <mergeCell ref="L25:M25"/>
    <mergeCell ref="A26:E26"/>
    <mergeCell ref="F26:G26"/>
    <mergeCell ref="H26:I26"/>
    <mergeCell ref="J26:K26"/>
    <mergeCell ref="L26:M26"/>
    <mergeCell ref="A24:E24"/>
    <mergeCell ref="F24:G24"/>
    <mergeCell ref="H24:I24"/>
    <mergeCell ref="J24:K24"/>
    <mergeCell ref="L24:M24"/>
    <mergeCell ref="A20:C20"/>
    <mergeCell ref="Y5:AA5"/>
    <mergeCell ref="AC5:AE5"/>
    <mergeCell ref="AG6:AH6"/>
    <mergeCell ref="A7:C7"/>
    <mergeCell ref="A17:C17"/>
    <mergeCell ref="D18:E18"/>
    <mergeCell ref="F18:G18"/>
    <mergeCell ref="H18:I18"/>
    <mergeCell ref="J18:K18"/>
    <mergeCell ref="L18:M18"/>
    <mergeCell ref="P5:Q5"/>
    <mergeCell ref="R5:S5"/>
    <mergeCell ref="Y17:AA17"/>
    <mergeCell ref="AC17:AE17"/>
    <mergeCell ref="D20:E20"/>
    <mergeCell ref="U2:W3"/>
    <mergeCell ref="A4:C4"/>
    <mergeCell ref="A5:E5"/>
    <mergeCell ref="F5:G5"/>
    <mergeCell ref="H5:I5"/>
    <mergeCell ref="J5:K5"/>
    <mergeCell ref="L5:M5"/>
    <mergeCell ref="V5:W5"/>
    <mergeCell ref="N5:O5"/>
    <mergeCell ref="N4:S4"/>
  </mergeCells>
  <phoneticPr fontId="50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77ACC-4B34-4B93-A57D-FBE2C794EF6C}">
  <dimension ref="A1:AQ50"/>
  <sheetViews>
    <sheetView topLeftCell="A4" zoomScale="90" zoomScaleNormal="90" workbookViewId="0">
      <pane xSplit="3" ySplit="2" topLeftCell="N6" activePane="bottomRight" state="frozen"/>
      <selection pane="bottomRight" activeCell="D9" sqref="D9"/>
      <selection pane="bottomLeft" activeCell="A6" sqref="A6"/>
      <selection pane="topRight" activeCell="D4" sqref="D4"/>
    </sheetView>
  </sheetViews>
  <sheetFormatPr defaultColWidth="7.28515625" defaultRowHeight="12"/>
  <cols>
    <col min="1" max="1" width="4" style="27" bestFit="1" customWidth="1"/>
    <col min="2" max="2" width="49.85546875" style="32" bestFit="1" customWidth="1"/>
    <col min="3" max="3" width="10.140625" style="32" bestFit="1" customWidth="1"/>
    <col min="4" max="5" width="10.42578125" style="32" bestFit="1" customWidth="1"/>
    <col min="6" max="6" width="13.140625" style="32" bestFit="1" customWidth="1"/>
    <col min="7" max="7" width="12.28515625" style="32" bestFit="1" customWidth="1"/>
    <col min="8" max="8" width="14.28515625" style="32" bestFit="1" customWidth="1"/>
    <col min="9" max="9" width="12.28515625" style="32" bestFit="1" customWidth="1"/>
    <col min="10" max="10" width="14.28515625" style="32" bestFit="1" customWidth="1"/>
    <col min="11" max="11" width="12.28515625" style="32" bestFit="1" customWidth="1"/>
    <col min="12" max="12" width="14.28515625" style="32" bestFit="1" customWidth="1"/>
    <col min="13" max="13" width="12.28515625" style="32" bestFit="1" customWidth="1"/>
    <col min="14" max="15" width="14.7109375" style="4" bestFit="1" customWidth="1"/>
    <col min="16" max="16" width="15.85546875" style="4" bestFit="1" customWidth="1"/>
    <col min="17" max="17" width="2.28515625" style="4" hidden="1" customWidth="1"/>
    <col min="18" max="19" width="11.42578125" style="4" hidden="1" customWidth="1"/>
    <col min="20" max="21" width="15.5703125" style="4" bestFit="1" customWidth="1"/>
    <col min="22" max="22" width="21" style="4" bestFit="1" customWidth="1"/>
    <col min="23" max="23" width="17.140625" style="4" bestFit="1" customWidth="1"/>
    <col min="24" max="24" width="3.140625" style="4" hidden="1" customWidth="1"/>
    <col min="25" max="25" width="15.5703125" style="4" bestFit="1" customWidth="1"/>
    <col min="26" max="26" width="14.28515625" style="4" bestFit="1" customWidth="1"/>
    <col min="27" max="27" width="18.7109375" style="4" bestFit="1" customWidth="1"/>
    <col min="28" max="28" width="3.42578125" style="32" hidden="1" customWidth="1"/>
    <col min="29" max="29" width="11.28515625" style="4" bestFit="1" customWidth="1"/>
    <col min="30" max="30" width="12.140625" style="4" bestFit="1" customWidth="1"/>
    <col min="31" max="31" width="18.7109375" style="4" bestFit="1" customWidth="1"/>
    <col min="32" max="32" width="5.42578125" style="4" bestFit="1" customWidth="1"/>
    <col min="33" max="33" width="25.42578125" style="4" customWidth="1"/>
    <col min="34" max="34" width="12.140625" style="4" bestFit="1" customWidth="1"/>
    <col min="35" max="35" width="15.5703125" style="4" bestFit="1" customWidth="1"/>
    <col min="36" max="36" width="12.5703125" style="4" bestFit="1" customWidth="1"/>
    <col min="37" max="37" width="5.140625" style="4" customWidth="1"/>
    <col min="38" max="38" width="12.140625" style="4" bestFit="1" customWidth="1"/>
    <col min="39" max="42" width="11.42578125" style="4" customWidth="1"/>
    <col min="43" max="43" width="4.42578125" style="4" bestFit="1" customWidth="1"/>
    <col min="44" max="197" width="11.42578125" style="4" customWidth="1"/>
    <col min="198" max="16384" width="7.28515625" style="4"/>
  </cols>
  <sheetData>
    <row r="1" spans="1:43" ht="12.75" thickBot="1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43">
      <c r="A2" s="1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U2" s="705" t="s">
        <v>0</v>
      </c>
      <c r="V2" s="706"/>
      <c r="W2" s="707"/>
    </row>
    <row r="3" spans="1:43" s="5" customFormat="1" ht="12.75" thickBot="1">
      <c r="Q3" s="6"/>
      <c r="T3" s="7"/>
      <c r="U3" s="708"/>
      <c r="V3" s="709"/>
      <c r="W3" s="710"/>
      <c r="X3" s="6"/>
      <c r="AB3" s="6"/>
    </row>
    <row r="4" spans="1:43" s="5" customFormat="1" ht="15" customHeight="1" thickBot="1">
      <c r="A4" s="711" t="s">
        <v>3</v>
      </c>
      <c r="B4" s="712"/>
      <c r="C4" s="712"/>
      <c r="D4" s="49"/>
      <c r="E4" s="49"/>
      <c r="F4" s="391"/>
      <c r="G4" s="49"/>
      <c r="H4" s="49"/>
      <c r="I4" s="49"/>
      <c r="J4" s="49"/>
      <c r="K4" s="49"/>
      <c r="L4" s="391"/>
      <c r="M4" s="391"/>
      <c r="N4" s="711" t="s">
        <v>5</v>
      </c>
      <c r="O4" s="712"/>
      <c r="P4" s="713"/>
      <c r="Q4" s="33"/>
      <c r="V4" s="5">
        <f>5*30</f>
        <v>150</v>
      </c>
      <c r="W4" s="5">
        <f>V4+5</f>
        <v>155</v>
      </c>
      <c r="X4" s="33"/>
      <c r="Y4" s="387">
        <f>W4/30</f>
        <v>5.166666666666667</v>
      </c>
      <c r="AB4" s="6"/>
    </row>
    <row r="5" spans="1:43" s="8" customFormat="1" ht="48.75" customHeight="1" thickBot="1">
      <c r="A5" s="744" t="s">
        <v>6</v>
      </c>
      <c r="B5" s="745"/>
      <c r="C5" s="745"/>
      <c r="D5" s="745"/>
      <c r="E5" s="746"/>
      <c r="F5" s="747" t="s">
        <v>7</v>
      </c>
      <c r="G5" s="746"/>
      <c r="H5" s="747" t="s">
        <v>84</v>
      </c>
      <c r="I5" s="746"/>
      <c r="J5" s="747" t="s">
        <v>85</v>
      </c>
      <c r="K5" s="746"/>
      <c r="L5" s="747" t="s">
        <v>90</v>
      </c>
      <c r="M5" s="748"/>
      <c r="N5" s="337" t="s">
        <v>14</v>
      </c>
      <c r="O5" s="338" t="s">
        <v>15</v>
      </c>
      <c r="P5" s="339" t="s">
        <v>16</v>
      </c>
      <c r="Q5" s="340"/>
      <c r="R5" s="341"/>
      <c r="S5" s="342"/>
      <c r="T5" s="343"/>
      <c r="U5" s="342"/>
      <c r="V5" s="700" t="s">
        <v>17</v>
      </c>
      <c r="W5" s="701"/>
      <c r="X5" s="340"/>
      <c r="Y5" s="729" t="s">
        <v>19</v>
      </c>
      <c r="Z5" s="730"/>
      <c r="AA5" s="731"/>
      <c r="AB5" s="347"/>
      <c r="AC5" s="687" t="s">
        <v>20</v>
      </c>
      <c r="AD5" s="688"/>
      <c r="AE5" s="689"/>
    </row>
    <row r="6" spans="1:43" s="8" customFormat="1" ht="37.5" customHeight="1" thickTop="1">
      <c r="A6" s="313" t="s">
        <v>21</v>
      </c>
      <c r="B6" s="314" t="s">
        <v>22</v>
      </c>
      <c r="C6" s="315" t="s">
        <v>23</v>
      </c>
      <c r="D6" s="315" t="s">
        <v>91</v>
      </c>
      <c r="E6" s="315" t="s">
        <v>92</v>
      </c>
      <c r="F6" s="316" t="s">
        <v>93</v>
      </c>
      <c r="G6" s="316" t="s">
        <v>24</v>
      </c>
      <c r="H6" s="316" t="s">
        <v>93</v>
      </c>
      <c r="I6" s="316" t="s">
        <v>24</v>
      </c>
      <c r="J6" s="316" t="s">
        <v>93</v>
      </c>
      <c r="K6" s="316" t="s">
        <v>24</v>
      </c>
      <c r="L6" s="316" t="s">
        <v>93</v>
      </c>
      <c r="M6" s="519" t="s">
        <v>24</v>
      </c>
      <c r="N6" s="350" t="s">
        <v>26</v>
      </c>
      <c r="O6" s="326" t="s">
        <v>26</v>
      </c>
      <c r="P6" s="351" t="s">
        <v>26</v>
      </c>
      <c r="Q6" s="348"/>
      <c r="R6" s="328"/>
      <c r="S6" s="144"/>
      <c r="T6" s="329" t="s">
        <v>27</v>
      </c>
      <c r="U6" s="330"/>
      <c r="V6" s="283" t="s">
        <v>87</v>
      </c>
      <c r="W6" s="286" t="s">
        <v>30</v>
      </c>
      <c r="X6" s="40"/>
      <c r="Y6" s="284" t="s">
        <v>88</v>
      </c>
      <c r="Z6" s="331" t="s">
        <v>32</v>
      </c>
      <c r="AA6" s="332" t="s">
        <v>34</v>
      </c>
      <c r="AB6" s="40"/>
      <c r="AC6" s="333" t="s">
        <v>31</v>
      </c>
      <c r="AD6" s="334" t="s">
        <v>32</v>
      </c>
      <c r="AE6" s="335" t="s">
        <v>33</v>
      </c>
      <c r="AG6" s="759" t="s">
        <v>98</v>
      </c>
      <c r="AH6" s="759"/>
      <c r="AI6" s="585" t="s">
        <v>120</v>
      </c>
      <c r="AJ6" s="585" t="s">
        <v>121</v>
      </c>
      <c r="AQ6" s="586">
        <f>5/30</f>
        <v>0.16666666666666666</v>
      </c>
    </row>
    <row r="7" spans="1:43" s="8" customFormat="1" ht="11.25" customHeight="1">
      <c r="A7" s="718" t="s">
        <v>35</v>
      </c>
      <c r="B7" s="719"/>
      <c r="C7" s="719"/>
      <c r="D7" s="386"/>
      <c r="E7" s="386"/>
      <c r="F7" s="386"/>
      <c r="G7" s="386"/>
      <c r="H7" s="386"/>
      <c r="I7" s="386"/>
      <c r="J7" s="386"/>
      <c r="K7" s="386"/>
      <c r="L7" s="386"/>
      <c r="M7" s="520"/>
      <c r="N7" s="138"/>
      <c r="O7" s="67"/>
      <c r="P7" s="139"/>
      <c r="Q7" s="265"/>
      <c r="R7" s="100"/>
      <c r="S7" s="26"/>
      <c r="T7" s="158"/>
      <c r="U7" s="160"/>
      <c r="V7" s="138"/>
      <c r="W7" s="103"/>
      <c r="X7" s="40"/>
      <c r="Y7" s="102"/>
      <c r="Z7" s="100"/>
      <c r="AA7" s="103"/>
      <c r="AB7" s="10"/>
      <c r="AC7" s="102"/>
      <c r="AD7" s="100"/>
      <c r="AE7" s="156"/>
    </row>
    <row r="8" spans="1:43" s="58" customFormat="1" ht="12.75">
      <c r="A8" s="492" t="s">
        <v>36</v>
      </c>
      <c r="B8" s="278" t="s">
        <v>37</v>
      </c>
      <c r="C8" s="19">
        <v>1</v>
      </c>
      <c r="D8" s="388">
        <v>1</v>
      </c>
      <c r="E8" s="493">
        <v>5.17</v>
      </c>
      <c r="F8" s="494">
        <v>17400000</v>
      </c>
      <c r="G8" s="494">
        <f>ROUND(F8*$D8*$E8*$C8,0)</f>
        <v>89958000</v>
      </c>
      <c r="H8" s="494">
        <v>13098978</v>
      </c>
      <c r="I8" s="494">
        <f>ROUND(H8*$D8*$E8*$C8,0)</f>
        <v>67721716</v>
      </c>
      <c r="J8" s="494">
        <v>14734500</v>
      </c>
      <c r="K8" s="494">
        <f>ROUND(J8*$D8*$E8*$C8,0)</f>
        <v>76177365</v>
      </c>
      <c r="L8" s="494">
        <v>12985802.788000001</v>
      </c>
      <c r="M8" s="521">
        <f>ROUND(L8*$D8*$E8*$C8,0)</f>
        <v>67136600</v>
      </c>
      <c r="N8" s="149">
        <f t="shared" ref="N8:N16" si="0">MEDIAN(G8,I8,K8,M8)</f>
        <v>71949540.5</v>
      </c>
      <c r="O8" s="150">
        <f t="shared" ref="O8:O16" si="1">GEOMEAN(G8,I8,K8,M8)</f>
        <v>74711638.118864447</v>
      </c>
      <c r="P8" s="151">
        <f t="shared" ref="P8:P16" si="2">HARMEAN(G8,I8,K8,M8)</f>
        <v>74204791.303784981</v>
      </c>
      <c r="Q8" s="56"/>
      <c r="R8" s="10"/>
      <c r="T8" s="58">
        <f>MIN(N8:P8)</f>
        <v>71949540.5</v>
      </c>
      <c r="V8" s="495">
        <f>+((MIN(N8:P8)*3)+SMALL(N8:P8,2)+SMALL(N8:P8,3))/5</f>
        <v>72953010.184529871</v>
      </c>
      <c r="W8" s="496">
        <f>ROUND((+V8/155)*30,0)</f>
        <v>14119937</v>
      </c>
      <c r="X8" s="40"/>
      <c r="Y8" s="497">
        <f>ROUND((+W8*3.23%),0)</f>
        <v>456074</v>
      </c>
      <c r="Z8" s="498">
        <f>ROUND((+W8+Y8),0)</f>
        <v>14576011</v>
      </c>
      <c r="AA8" s="499">
        <f>ROUNDUP((+Z8*12),0)</f>
        <v>174912132</v>
      </c>
      <c r="AB8" s="193"/>
      <c r="AC8" s="500">
        <f>+Z8*3%</f>
        <v>437280.32999999996</v>
      </c>
      <c r="AD8" s="501">
        <f>ROUND((+Z8+AC8),0)</f>
        <v>15013291</v>
      </c>
      <c r="AE8" s="499">
        <f>ROUND((+AD8*12),0)</f>
        <v>180159492</v>
      </c>
      <c r="AG8" s="539" t="s">
        <v>101</v>
      </c>
      <c r="AH8" s="498">
        <v>14747485</v>
      </c>
      <c r="AI8" s="498">
        <f>W8/C8</f>
        <v>14119937</v>
      </c>
      <c r="AJ8" s="581">
        <f>(AI8-AH8)/AH8</f>
        <v>-4.255288274576987E-2</v>
      </c>
      <c r="AL8" s="58">
        <f>V8/5.17/C8</f>
        <v>14110833.691398427</v>
      </c>
    </row>
    <row r="9" spans="1:43" s="58" customFormat="1" ht="25.5">
      <c r="A9" s="492" t="s">
        <v>38</v>
      </c>
      <c r="B9" s="278" t="s">
        <v>39</v>
      </c>
      <c r="C9" s="19">
        <v>1</v>
      </c>
      <c r="D9" s="388">
        <v>1</v>
      </c>
      <c r="E9" s="493">
        <v>5.17</v>
      </c>
      <c r="F9" s="494">
        <v>8600000</v>
      </c>
      <c r="G9" s="494">
        <f t="shared" ref="G9:G15" si="3">ROUND(F9*$D9*$E9*$C9,0)</f>
        <v>44462000</v>
      </c>
      <c r="H9" s="494">
        <v>10915815</v>
      </c>
      <c r="I9" s="494">
        <f t="shared" ref="I9:I15" si="4">ROUND(H9*$D9*$E9*$C9,0)</f>
        <v>56434764</v>
      </c>
      <c r="J9" s="494">
        <v>9306000</v>
      </c>
      <c r="K9" s="494">
        <f t="shared" ref="K9:K16" si="5">ROUND(J9*$D9*$E9*$C9,0)</f>
        <v>48112020</v>
      </c>
      <c r="L9" s="494">
        <v>11332919.324000001</v>
      </c>
      <c r="M9" s="521">
        <f>ROUND(L9*$D9*$E9*$C9,0)</f>
        <v>58591193</v>
      </c>
      <c r="N9" s="149">
        <f t="shared" si="0"/>
        <v>52273392</v>
      </c>
      <c r="O9" s="150">
        <f t="shared" si="1"/>
        <v>51570983.039981283</v>
      </c>
      <c r="P9" s="151">
        <f t="shared" si="2"/>
        <v>51240711.430731528</v>
      </c>
      <c r="Q9" s="56"/>
      <c r="R9" s="10"/>
      <c r="T9" s="58">
        <f t="shared" ref="T9:T16" si="6">MIN(N9:P9)</f>
        <v>51240711.430731528</v>
      </c>
      <c r="V9" s="495">
        <f>+((MIN(N9:P9)*3)+SMALL(N9:P9,2)+SMALL(N9:P9,3))/5</f>
        <v>51513301.86643517</v>
      </c>
      <c r="W9" s="496">
        <f t="shared" ref="W9:W21" si="7">ROUND((+V9/155)*30,0)</f>
        <v>9970316</v>
      </c>
      <c r="X9" s="40"/>
      <c r="Y9" s="497">
        <f t="shared" ref="Y9:Y21" si="8">ROUND((+W9*3.23%),0)</f>
        <v>322041</v>
      </c>
      <c r="Z9" s="498">
        <f t="shared" ref="Z9:Z16" si="9">ROUND((+W9+Y9),0)</f>
        <v>10292357</v>
      </c>
      <c r="AA9" s="499">
        <f t="shared" ref="AA9:AA21" si="10">ROUNDUP((+Z9*12),0)</f>
        <v>123508284</v>
      </c>
      <c r="AB9" s="193"/>
      <c r="AC9" s="500">
        <f t="shared" ref="AC9:AC21" si="11">+Z9*3%</f>
        <v>308770.70999999996</v>
      </c>
      <c r="AD9" s="501">
        <f t="shared" ref="AD9:AD22" si="12">ROUND((+Z9+AC9),0)</f>
        <v>10601128</v>
      </c>
      <c r="AE9" s="499">
        <f t="shared" ref="AE9:AE21" si="13">ROUND((+AD9*12),0)</f>
        <v>127213536</v>
      </c>
      <c r="AG9" s="556" t="s">
        <v>102</v>
      </c>
      <c r="AH9" s="498">
        <v>12418845</v>
      </c>
      <c r="AI9" s="498">
        <f t="shared" ref="AI9:AI16" si="14">W9/C9</f>
        <v>9970316</v>
      </c>
      <c r="AJ9" s="581">
        <f t="shared" ref="AJ9:AJ16" si="15">(AI9-AH9)/AH9</f>
        <v>-0.19716237701654221</v>
      </c>
      <c r="AL9" s="58">
        <f t="shared" ref="AL9:AL16" si="16">V9/5.17/C9</f>
        <v>9963888.1753259525</v>
      </c>
    </row>
    <row r="10" spans="1:43" s="58" customFormat="1" ht="12.75">
      <c r="A10" s="492" t="s">
        <v>40</v>
      </c>
      <c r="B10" s="278" t="s">
        <v>41</v>
      </c>
      <c r="C10" s="19">
        <v>1</v>
      </c>
      <c r="D10" s="388">
        <v>1</v>
      </c>
      <c r="E10" s="493">
        <v>5.17</v>
      </c>
      <c r="F10" s="494">
        <v>10500000</v>
      </c>
      <c r="G10" s="494">
        <f t="shared" si="3"/>
        <v>54285000</v>
      </c>
      <c r="H10" s="494">
        <v>10188094</v>
      </c>
      <c r="I10" s="494">
        <f t="shared" si="4"/>
        <v>52672446</v>
      </c>
      <c r="J10" s="494">
        <v>9306000</v>
      </c>
      <c r="K10" s="494">
        <f t="shared" si="5"/>
        <v>48112020</v>
      </c>
      <c r="L10" s="494">
        <v>11090346.008000001</v>
      </c>
      <c r="M10" s="521">
        <f>ROUND(L10*$D10*$E10*$C10,0)</f>
        <v>57337089</v>
      </c>
      <c r="N10" s="149">
        <f t="shared" si="0"/>
        <v>53478723</v>
      </c>
      <c r="O10" s="150">
        <f t="shared" si="1"/>
        <v>52995395.795156702</v>
      </c>
      <c r="P10" s="151">
        <f t="shared" si="2"/>
        <v>52887597.928643405</v>
      </c>
      <c r="Q10" s="56"/>
      <c r="R10" s="10"/>
      <c r="T10" s="58">
        <f t="shared" si="6"/>
        <v>52887597.928643405</v>
      </c>
      <c r="V10" s="495">
        <f t="shared" ref="V10:V16" si="17">+((MIN(N10:P10)*3)+SMALL(N10:P10,2)+SMALL(N10:P10,3))/5</f>
        <v>53027382.516217388</v>
      </c>
      <c r="W10" s="496">
        <f t="shared" si="7"/>
        <v>10263364</v>
      </c>
      <c r="X10" s="40"/>
      <c r="Y10" s="497">
        <f t="shared" si="8"/>
        <v>331507</v>
      </c>
      <c r="Z10" s="498">
        <f t="shared" si="9"/>
        <v>10594871</v>
      </c>
      <c r="AA10" s="499">
        <f t="shared" si="10"/>
        <v>127138452</v>
      </c>
      <c r="AB10" s="193"/>
      <c r="AC10" s="500">
        <f t="shared" si="11"/>
        <v>317846.13</v>
      </c>
      <c r="AD10" s="501">
        <f t="shared" si="12"/>
        <v>10912717</v>
      </c>
      <c r="AE10" s="499">
        <f t="shared" si="13"/>
        <v>130952604</v>
      </c>
      <c r="AG10" s="556" t="s">
        <v>103</v>
      </c>
      <c r="AH10" s="498">
        <v>11383514</v>
      </c>
      <c r="AI10" s="498">
        <f t="shared" si="14"/>
        <v>10263364</v>
      </c>
      <c r="AJ10" s="581">
        <f t="shared" si="15"/>
        <v>-9.8401073693061739E-2</v>
      </c>
      <c r="AL10" s="58">
        <f t="shared" si="16"/>
        <v>10256747.10178286</v>
      </c>
    </row>
    <row r="11" spans="1:43" s="58" customFormat="1" ht="12.75">
      <c r="A11" s="492" t="s">
        <v>42</v>
      </c>
      <c r="B11" s="278" t="s">
        <v>43</v>
      </c>
      <c r="C11" s="19">
        <v>1</v>
      </c>
      <c r="D11" s="388">
        <v>1</v>
      </c>
      <c r="E11" s="493">
        <v>5.17</v>
      </c>
      <c r="F11" s="494">
        <v>7200000</v>
      </c>
      <c r="G11" s="494">
        <f>ROUND(F11*$D11*$E11*$C11,0)</f>
        <v>37224000</v>
      </c>
      <c r="H11" s="494">
        <v>10188094</v>
      </c>
      <c r="I11" s="494">
        <f t="shared" si="4"/>
        <v>52672446</v>
      </c>
      <c r="J11" s="494">
        <v>9306000</v>
      </c>
      <c r="K11" s="494">
        <f t="shared" si="5"/>
        <v>48112020</v>
      </c>
      <c r="L11" s="494">
        <v>11090346.008000001</v>
      </c>
      <c r="M11" s="521">
        <f>ROUND(L11*$D11*$E11*$C11,0)</f>
        <v>57337089</v>
      </c>
      <c r="N11" s="149">
        <f t="shared" si="0"/>
        <v>50392233</v>
      </c>
      <c r="O11" s="150">
        <f t="shared" si="1"/>
        <v>48225189.110459343</v>
      </c>
      <c r="P11" s="151">
        <f t="shared" si="2"/>
        <v>47576460.033658013</v>
      </c>
      <c r="Q11" s="56"/>
      <c r="R11" s="10"/>
      <c r="T11" s="58">
        <f t="shared" si="6"/>
        <v>47576460.033658013</v>
      </c>
      <c r="V11" s="495">
        <f t="shared" si="17"/>
        <v>48269360.44228667</v>
      </c>
      <c r="W11" s="496">
        <f>ROUND((+V11/155)*30,0)</f>
        <v>9342457</v>
      </c>
      <c r="X11" s="40"/>
      <c r="Y11" s="497">
        <f t="shared" si="8"/>
        <v>301761</v>
      </c>
      <c r="Z11" s="498">
        <f t="shared" si="9"/>
        <v>9644218</v>
      </c>
      <c r="AA11" s="499">
        <f t="shared" si="10"/>
        <v>115730616</v>
      </c>
      <c r="AB11" s="193"/>
      <c r="AC11" s="500">
        <f t="shared" si="11"/>
        <v>289326.53999999998</v>
      </c>
      <c r="AD11" s="501">
        <f t="shared" si="12"/>
        <v>9933545</v>
      </c>
      <c r="AE11" s="499">
        <f t="shared" si="13"/>
        <v>119202540</v>
      </c>
      <c r="AG11" s="556" t="s">
        <v>104</v>
      </c>
      <c r="AH11" s="498">
        <v>8796895</v>
      </c>
      <c r="AI11" s="580">
        <f t="shared" si="14"/>
        <v>9342457</v>
      </c>
      <c r="AJ11" s="582">
        <f t="shared" si="15"/>
        <v>6.2017564151896777E-2</v>
      </c>
      <c r="AL11" s="58">
        <f t="shared" si="16"/>
        <v>9336433.35440748</v>
      </c>
    </row>
    <row r="12" spans="1:43" s="58" customFormat="1" ht="12.75">
      <c r="A12" s="492" t="s">
        <v>44</v>
      </c>
      <c r="B12" s="278" t="s">
        <v>45</v>
      </c>
      <c r="C12" s="19">
        <v>1</v>
      </c>
      <c r="D12" s="388">
        <v>1</v>
      </c>
      <c r="E12" s="493">
        <v>5.17</v>
      </c>
      <c r="F12" s="494">
        <v>8600000</v>
      </c>
      <c r="G12" s="494">
        <f t="shared" si="3"/>
        <v>44462000</v>
      </c>
      <c r="H12" s="494">
        <v>6549489</v>
      </c>
      <c r="I12" s="494">
        <f t="shared" si="4"/>
        <v>33860858</v>
      </c>
      <c r="J12" s="494">
        <v>7755000</v>
      </c>
      <c r="K12" s="494">
        <f t="shared" si="5"/>
        <v>40093350</v>
      </c>
      <c r="L12" s="494">
        <v>8694629.5640000012</v>
      </c>
      <c r="M12" s="521">
        <f t="shared" ref="M12:M15" si="18">ROUND(L12*$D12*$E12*$C12,0)</f>
        <v>44951235</v>
      </c>
      <c r="N12" s="149">
        <f t="shared" si="0"/>
        <v>42277675</v>
      </c>
      <c r="O12" s="150">
        <f t="shared" si="1"/>
        <v>40585904.726908475</v>
      </c>
      <c r="P12" s="151">
        <f t="shared" si="2"/>
        <v>40317759.463957034</v>
      </c>
      <c r="Q12" s="56"/>
      <c r="R12" s="10"/>
      <c r="T12" s="58">
        <f t="shared" si="6"/>
        <v>40317759.463957034</v>
      </c>
      <c r="V12" s="495">
        <f t="shared" si="17"/>
        <v>40763371.623755917</v>
      </c>
      <c r="W12" s="496">
        <f t="shared" si="7"/>
        <v>7889685</v>
      </c>
      <c r="X12" s="40"/>
      <c r="Y12" s="497">
        <f t="shared" si="8"/>
        <v>254837</v>
      </c>
      <c r="Z12" s="498">
        <f t="shared" si="9"/>
        <v>8144522</v>
      </c>
      <c r="AA12" s="499">
        <f t="shared" si="10"/>
        <v>97734264</v>
      </c>
      <c r="AB12" s="193"/>
      <c r="AC12" s="500">
        <f t="shared" si="11"/>
        <v>244335.66</v>
      </c>
      <c r="AD12" s="501">
        <f t="shared" si="12"/>
        <v>8388858</v>
      </c>
      <c r="AE12" s="499">
        <f t="shared" si="13"/>
        <v>100666296</v>
      </c>
      <c r="AG12" s="556" t="s">
        <v>105</v>
      </c>
      <c r="AH12" s="498">
        <v>14747485</v>
      </c>
      <c r="AI12" s="498">
        <f t="shared" si="14"/>
        <v>7889685</v>
      </c>
      <c r="AJ12" s="581">
        <f t="shared" si="15"/>
        <v>-0.46501488219855791</v>
      </c>
      <c r="AL12" s="58">
        <f t="shared" si="16"/>
        <v>7884597.9929895392</v>
      </c>
    </row>
    <row r="13" spans="1:43" s="58" customFormat="1" ht="12.75">
      <c r="A13" s="492" t="s">
        <v>46</v>
      </c>
      <c r="B13" s="278" t="s">
        <v>47</v>
      </c>
      <c r="C13" s="19">
        <v>0.5</v>
      </c>
      <c r="D13" s="388">
        <v>0.5</v>
      </c>
      <c r="E13" s="493">
        <v>5.17</v>
      </c>
      <c r="F13" s="494">
        <v>8600000</v>
      </c>
      <c r="G13" s="494">
        <f>ROUND(F13*$E13*$C13,0)</f>
        <v>22231000</v>
      </c>
      <c r="H13" s="494">
        <v>8004931</v>
      </c>
      <c r="I13" s="494">
        <f>ROUND(H13*$E13*$C13,0)</f>
        <v>20692747</v>
      </c>
      <c r="J13" s="494">
        <v>4653000</v>
      </c>
      <c r="K13" s="494">
        <f>ROUND(J13*$E13*$C13,0)</f>
        <v>12028005</v>
      </c>
      <c r="L13" s="494">
        <v>7283221.1279999996</v>
      </c>
      <c r="M13" s="521">
        <f>ROUND(L13*$E13*$C13,0)</f>
        <v>18827127</v>
      </c>
      <c r="N13" s="149">
        <f t="shared" si="0"/>
        <v>19759937</v>
      </c>
      <c r="O13" s="150">
        <f t="shared" si="1"/>
        <v>17965474.810131673</v>
      </c>
      <c r="P13" s="151">
        <f t="shared" si="2"/>
        <v>17424448.744500235</v>
      </c>
      <c r="Q13" s="56"/>
      <c r="R13" s="10"/>
      <c r="T13" s="58">
        <f t="shared" si="6"/>
        <v>17424448.744500235</v>
      </c>
      <c r="V13" s="495">
        <f t="shared" si="17"/>
        <v>17999751.608726475</v>
      </c>
      <c r="W13" s="496">
        <f>ROUND((+V13/155)*30,0)</f>
        <v>3483823</v>
      </c>
      <c r="X13" s="40"/>
      <c r="Y13" s="497">
        <f>ROUND((+W13*3.23%),0)</f>
        <v>112527</v>
      </c>
      <c r="Z13" s="498">
        <f>ROUND((+W13+Y13),0)</f>
        <v>3596350</v>
      </c>
      <c r="AA13" s="499">
        <f>ROUNDUP((+Z13*12),0)</f>
        <v>43156200</v>
      </c>
      <c r="AB13" s="193"/>
      <c r="AC13" s="500">
        <f>+Z13*3%</f>
        <v>107890.5</v>
      </c>
      <c r="AD13" s="501">
        <f t="shared" si="12"/>
        <v>3704241</v>
      </c>
      <c r="AE13" s="499">
        <f t="shared" si="13"/>
        <v>44450892</v>
      </c>
      <c r="AG13" s="556" t="s">
        <v>106</v>
      </c>
      <c r="AH13" s="498">
        <v>12418845</v>
      </c>
      <c r="AI13" s="498">
        <f t="shared" si="14"/>
        <v>6967646</v>
      </c>
      <c r="AJ13" s="581">
        <f t="shared" si="15"/>
        <v>-0.43894573126566921</v>
      </c>
      <c r="AL13" s="58">
        <f t="shared" si="16"/>
        <v>6963153.4269734919</v>
      </c>
    </row>
    <row r="14" spans="1:43" s="58" customFormat="1" ht="12.75">
      <c r="A14" s="492" t="s">
        <v>48</v>
      </c>
      <c r="B14" s="278" t="s">
        <v>49</v>
      </c>
      <c r="C14" s="19">
        <v>13</v>
      </c>
      <c r="D14" s="388">
        <v>1</v>
      </c>
      <c r="E14" s="493">
        <v>5.17</v>
      </c>
      <c r="F14" s="494">
        <v>4400000</v>
      </c>
      <c r="G14" s="494">
        <f>ROUND(F14*$D14*$E14*$C14,0)</f>
        <v>295724000</v>
      </c>
      <c r="H14" s="494">
        <v>3809029</v>
      </c>
      <c r="I14" s="494">
        <f t="shared" si="4"/>
        <v>256004839</v>
      </c>
      <c r="J14" s="494">
        <v>5040750</v>
      </c>
      <c r="K14" s="494">
        <f t="shared" si="5"/>
        <v>338788808</v>
      </c>
      <c r="L14" s="494">
        <v>4290653.5360000003</v>
      </c>
      <c r="M14" s="521">
        <f t="shared" si="18"/>
        <v>288374824</v>
      </c>
      <c r="N14" s="149">
        <f t="shared" si="0"/>
        <v>292049412</v>
      </c>
      <c r="O14" s="150">
        <f t="shared" si="1"/>
        <v>293261658.20861363</v>
      </c>
      <c r="P14" s="151">
        <f t="shared" si="2"/>
        <v>291819396.47744989</v>
      </c>
      <c r="Q14" s="56"/>
      <c r="R14" s="10"/>
      <c r="T14" s="58">
        <f t="shared" si="6"/>
        <v>291819396.47744989</v>
      </c>
      <c r="V14" s="495">
        <f>+((MIN(N14:P14)*3)+SMALL(N14:P14,2)+SMALL(N14:P14,3))/5</f>
        <v>292153851.92819268</v>
      </c>
      <c r="W14" s="496">
        <f>ROUND((+V14/155)*30,0)</f>
        <v>56545907</v>
      </c>
      <c r="X14" s="40"/>
      <c r="Y14" s="497">
        <f t="shared" si="8"/>
        <v>1826433</v>
      </c>
      <c r="Z14" s="498">
        <f t="shared" si="9"/>
        <v>58372340</v>
      </c>
      <c r="AA14" s="499">
        <f t="shared" si="10"/>
        <v>700468080</v>
      </c>
      <c r="AB14" s="193"/>
      <c r="AC14" s="500">
        <f t="shared" si="11"/>
        <v>1751170.2</v>
      </c>
      <c r="AD14" s="501">
        <f t="shared" si="12"/>
        <v>60123510</v>
      </c>
      <c r="AE14" s="499">
        <f t="shared" si="13"/>
        <v>721482120</v>
      </c>
      <c r="AG14" s="556" t="s">
        <v>108</v>
      </c>
      <c r="AH14" s="498">
        <v>7230231</v>
      </c>
      <c r="AI14" s="498">
        <f t="shared" si="14"/>
        <v>4349685.153846154</v>
      </c>
      <c r="AJ14" s="581">
        <f t="shared" si="15"/>
        <v>-0.39840301729693645</v>
      </c>
      <c r="AL14" s="58">
        <f t="shared" si="16"/>
        <v>4346880.7012080448</v>
      </c>
    </row>
    <row r="15" spans="1:43" s="58" customFormat="1" ht="12.75">
      <c r="A15" s="492" t="s">
        <v>50</v>
      </c>
      <c r="B15" s="278" t="s">
        <v>51</v>
      </c>
      <c r="C15" s="19">
        <v>13</v>
      </c>
      <c r="D15" s="388">
        <v>1</v>
      </c>
      <c r="E15" s="493">
        <v>5.17</v>
      </c>
      <c r="F15" s="494">
        <v>4200000</v>
      </c>
      <c r="G15" s="494">
        <f t="shared" si="3"/>
        <v>282282000</v>
      </c>
      <c r="H15" s="494">
        <v>3929693.4</v>
      </c>
      <c r="I15" s="494">
        <f t="shared" si="4"/>
        <v>264114693</v>
      </c>
      <c r="J15" s="494">
        <v>5095035</v>
      </c>
      <c r="K15" s="494">
        <f t="shared" si="5"/>
        <v>342437302</v>
      </c>
      <c r="L15" s="494">
        <v>4360686.2280000001</v>
      </c>
      <c r="M15" s="521">
        <f t="shared" si="18"/>
        <v>293081721</v>
      </c>
      <c r="N15" s="149">
        <f t="shared" si="0"/>
        <v>287681860.5</v>
      </c>
      <c r="O15" s="150">
        <f t="shared" si="1"/>
        <v>294111080.6834656</v>
      </c>
      <c r="P15" s="151">
        <f t="shared" si="2"/>
        <v>292803243.39683753</v>
      </c>
      <c r="Q15" s="56"/>
      <c r="R15" s="10"/>
      <c r="T15" s="58">
        <f t="shared" si="6"/>
        <v>287681860.5</v>
      </c>
      <c r="V15" s="495">
        <f t="shared" si="17"/>
        <v>289991981.11606061</v>
      </c>
      <c r="W15" s="496">
        <f t="shared" si="7"/>
        <v>56127480</v>
      </c>
      <c r="X15" s="40"/>
      <c r="Y15" s="497">
        <f t="shared" si="8"/>
        <v>1812918</v>
      </c>
      <c r="Z15" s="498">
        <f t="shared" si="9"/>
        <v>57940398</v>
      </c>
      <c r="AA15" s="499">
        <f t="shared" si="10"/>
        <v>695284776</v>
      </c>
      <c r="AB15" s="193"/>
      <c r="AC15" s="500">
        <f t="shared" si="11"/>
        <v>1738211.94</v>
      </c>
      <c r="AD15" s="501">
        <f t="shared" si="12"/>
        <v>59678610</v>
      </c>
      <c r="AE15" s="499">
        <f t="shared" si="13"/>
        <v>716143320</v>
      </c>
      <c r="AG15" s="556" t="s">
        <v>108</v>
      </c>
      <c r="AH15" s="498">
        <v>7230231</v>
      </c>
      <c r="AI15" s="498">
        <f t="shared" si="14"/>
        <v>4317498.461538462</v>
      </c>
      <c r="AJ15" s="581">
        <f t="shared" si="15"/>
        <v>-0.40285469972695725</v>
      </c>
      <c r="AL15" s="58">
        <f t="shared" si="16"/>
        <v>4314714.791192689</v>
      </c>
    </row>
    <row r="16" spans="1:43" s="485" customFormat="1" ht="12.75">
      <c r="A16" s="502" t="s">
        <v>52</v>
      </c>
      <c r="B16" s="278" t="s">
        <v>53</v>
      </c>
      <c r="C16" s="19">
        <v>1</v>
      </c>
      <c r="D16" s="388">
        <v>1</v>
      </c>
      <c r="E16" s="503">
        <v>5.17</v>
      </c>
      <c r="F16" s="504">
        <v>3900000</v>
      </c>
      <c r="G16" s="504">
        <f>ROUND(F16*$D16*$E16*$C16,0)</f>
        <v>20163000</v>
      </c>
      <c r="H16" s="504">
        <v>10188094</v>
      </c>
      <c r="I16" s="494">
        <f>ROUND(H16*$E16*$C16,0)</f>
        <v>52672446</v>
      </c>
      <c r="J16" s="504">
        <v>5428500</v>
      </c>
      <c r="K16" s="504">
        <f t="shared" si="5"/>
        <v>28065345</v>
      </c>
      <c r="L16" s="504">
        <v>3690486.4840000002</v>
      </c>
      <c r="M16" s="522">
        <f>ROUND(L16*$D16*$E16*$C16,0)</f>
        <v>19079815</v>
      </c>
      <c r="N16" s="481">
        <f t="shared" si="0"/>
        <v>24114172.5</v>
      </c>
      <c r="O16" s="482">
        <f t="shared" si="1"/>
        <v>27461281.20350232</v>
      </c>
      <c r="P16" s="483">
        <f t="shared" si="2"/>
        <v>25538936.374117173</v>
      </c>
      <c r="Q16" s="484"/>
      <c r="R16" s="505"/>
      <c r="T16" s="485">
        <f t="shared" si="6"/>
        <v>24114172.5</v>
      </c>
      <c r="V16" s="506">
        <f t="shared" si="17"/>
        <v>25068547.015523899</v>
      </c>
      <c r="W16" s="507">
        <f t="shared" si="7"/>
        <v>4851977</v>
      </c>
      <c r="X16" s="486"/>
      <c r="Y16" s="508">
        <f t="shared" si="8"/>
        <v>156719</v>
      </c>
      <c r="Z16" s="509">
        <f t="shared" si="9"/>
        <v>5008696</v>
      </c>
      <c r="AA16" s="510">
        <f t="shared" si="10"/>
        <v>60104352</v>
      </c>
      <c r="AB16" s="487"/>
      <c r="AC16" s="511">
        <f t="shared" si="11"/>
        <v>150260.88</v>
      </c>
      <c r="AD16" s="512">
        <f t="shared" si="12"/>
        <v>5158957</v>
      </c>
      <c r="AE16" s="513">
        <f t="shared" si="13"/>
        <v>61907484</v>
      </c>
      <c r="AG16" s="556" t="s">
        <v>110</v>
      </c>
      <c r="AH16" s="509">
        <v>7230231</v>
      </c>
      <c r="AI16" s="498">
        <f t="shared" si="14"/>
        <v>4851977</v>
      </c>
      <c r="AJ16" s="581">
        <f t="shared" si="15"/>
        <v>-0.32893195251991258</v>
      </c>
      <c r="AL16" s="58">
        <f t="shared" si="16"/>
        <v>4848848.552325706</v>
      </c>
    </row>
    <row r="17" spans="1:35" s="61" customFormat="1" ht="10.5" customHeight="1">
      <c r="A17" s="718" t="s">
        <v>54</v>
      </c>
      <c r="B17" s="719"/>
      <c r="C17" s="719"/>
      <c r="D17" s="386"/>
      <c r="E17" s="386"/>
      <c r="F17" s="386"/>
      <c r="G17" s="386"/>
      <c r="H17" s="386"/>
      <c r="I17" s="386"/>
      <c r="J17" s="386"/>
      <c r="K17" s="386"/>
      <c r="L17" s="386"/>
      <c r="M17" s="520"/>
      <c r="N17" s="352"/>
      <c r="O17" s="140"/>
      <c r="P17" s="353"/>
      <c r="Q17" s="349"/>
      <c r="R17" s="100"/>
      <c r="S17" s="143"/>
      <c r="T17" s="143"/>
      <c r="U17" s="164"/>
      <c r="V17" s="167"/>
      <c r="W17" s="282"/>
      <c r="X17" s="40"/>
      <c r="Y17" s="281">
        <f t="shared" si="8"/>
        <v>0</v>
      </c>
      <c r="Z17" s="91"/>
      <c r="AA17" s="98"/>
      <c r="AB17" s="193"/>
      <c r="AC17" s="153"/>
      <c r="AD17" s="101"/>
      <c r="AE17" s="98"/>
    </row>
    <row r="18" spans="1:35" s="58" customFormat="1" ht="66" customHeight="1">
      <c r="A18" s="492" t="s">
        <v>55</v>
      </c>
      <c r="B18" s="278" t="s">
        <v>56</v>
      </c>
      <c r="C18" s="19">
        <v>1</v>
      </c>
      <c r="D18" s="760" t="s">
        <v>111</v>
      </c>
      <c r="E18" s="801"/>
      <c r="F18" s="798">
        <v>140000000</v>
      </c>
      <c r="G18" s="800"/>
      <c r="H18" s="798">
        <v>82056000</v>
      </c>
      <c r="I18" s="800"/>
      <c r="J18" s="798">
        <v>31020000</v>
      </c>
      <c r="K18" s="800"/>
      <c r="L18" s="798">
        <f>((108372917*5.2%+108372917)/5.5)*5.17</f>
        <v>107167810.16295999</v>
      </c>
      <c r="M18" s="799"/>
      <c r="N18" s="149">
        <f>MEDIAN(F18,H18,J18,L18)</f>
        <v>94611905.081479996</v>
      </c>
      <c r="O18" s="150">
        <f>GEOMEAN(F18,H18,J18,L18)</f>
        <v>78611508.842118502</v>
      </c>
      <c r="P18" s="151">
        <f>HARMEAN(F18,H18,J18,L18)</f>
        <v>65683512.743426792</v>
      </c>
      <c r="Q18" s="56"/>
      <c r="R18" s="10"/>
      <c r="T18" s="58">
        <f>MIN(N18:P18)</f>
        <v>65683512.743426792</v>
      </c>
      <c r="V18" s="495">
        <f>+((MIN(N18:P18)*3)+SMALL(N18:P18,2)+SMALL(N18:P18,3))/5</f>
        <v>74054790.430775791</v>
      </c>
      <c r="W18" s="496">
        <f t="shared" si="7"/>
        <v>14333185</v>
      </c>
      <c r="X18" s="40"/>
      <c r="Y18" s="497">
        <f t="shared" si="8"/>
        <v>462962</v>
      </c>
      <c r="Z18" s="498">
        <f>ROUND((+W18+Y18),0)</f>
        <v>14796147</v>
      </c>
      <c r="AA18" s="499">
        <f t="shared" si="10"/>
        <v>177553764</v>
      </c>
      <c r="AB18" s="193"/>
      <c r="AC18" s="500">
        <f t="shared" si="11"/>
        <v>443884.41</v>
      </c>
      <c r="AD18" s="501">
        <f t="shared" si="12"/>
        <v>15240031</v>
      </c>
      <c r="AE18" s="514">
        <f t="shared" si="13"/>
        <v>182880372</v>
      </c>
    </row>
    <row r="19" spans="1:35" s="58" customFormat="1" ht="51" customHeight="1">
      <c r="A19" s="492" t="s">
        <v>57</v>
      </c>
      <c r="B19" s="278" t="s">
        <v>58</v>
      </c>
      <c r="C19" s="19">
        <v>1</v>
      </c>
      <c r="D19" s="760" t="s">
        <v>111</v>
      </c>
      <c r="E19" s="801"/>
      <c r="F19" s="798">
        <v>50000000</v>
      </c>
      <c r="G19" s="800">
        <v>50000000</v>
      </c>
      <c r="H19" s="798">
        <v>112248400</v>
      </c>
      <c r="I19" s="800"/>
      <c r="J19" s="798">
        <v>186120000</v>
      </c>
      <c r="K19" s="800"/>
      <c r="L19" s="798">
        <f>((36109065*5.2%+36109065)/5.5)*5.17</f>
        <v>35707532.197200008</v>
      </c>
      <c r="M19" s="799"/>
      <c r="N19" s="149">
        <f>MEDIAN(F19,H19,J19,L19)</f>
        <v>81124200</v>
      </c>
      <c r="O19" s="150">
        <f>GEOMEAN(F19,H19,J19,L19)</f>
        <v>78149420.324623317</v>
      </c>
      <c r="P19" s="151">
        <f>HARMEAN(F19,H19,J19,L19)</f>
        <v>64218871.86236655</v>
      </c>
      <c r="Q19" s="56"/>
      <c r="R19" s="10"/>
      <c r="T19" s="58">
        <f t="shared" ref="T19:T21" si="19">MIN(N19:P19)</f>
        <v>64218871.86236655</v>
      </c>
      <c r="V19" s="495">
        <f>+((MIN(N19:P19)*3)+SMALL(N19:P19,2)+SMALL(N19:P19,3))/5</f>
        <v>70386047.182344586</v>
      </c>
      <c r="W19" s="496">
        <f t="shared" si="7"/>
        <v>13623106</v>
      </c>
      <c r="X19" s="40"/>
      <c r="Y19" s="497">
        <f t="shared" si="8"/>
        <v>440026</v>
      </c>
      <c r="Z19" s="498">
        <f>ROUND((+W19+Y19),0)</f>
        <v>14063132</v>
      </c>
      <c r="AA19" s="499">
        <f t="shared" si="10"/>
        <v>168757584</v>
      </c>
      <c r="AB19" s="193"/>
      <c r="AC19" s="500">
        <f t="shared" si="11"/>
        <v>421893.95999999996</v>
      </c>
      <c r="AD19" s="501">
        <f t="shared" si="12"/>
        <v>14485026</v>
      </c>
      <c r="AE19" s="515">
        <f t="shared" si="13"/>
        <v>173820312</v>
      </c>
    </row>
    <row r="20" spans="1:35" s="128" customFormat="1" ht="16.5" customHeight="1">
      <c r="A20" s="718" t="s">
        <v>59</v>
      </c>
      <c r="B20" s="719"/>
      <c r="C20" s="719"/>
      <c r="D20" s="386"/>
      <c r="E20" s="389"/>
      <c r="F20" s="768"/>
      <c r="G20" s="755"/>
      <c r="H20" s="768"/>
      <c r="I20" s="755"/>
      <c r="J20" s="768"/>
      <c r="K20" s="755"/>
      <c r="L20" s="768"/>
      <c r="M20" s="789"/>
      <c r="N20" s="352"/>
      <c r="O20" s="140"/>
      <c r="P20" s="353"/>
      <c r="Q20" s="349"/>
      <c r="R20" s="100"/>
      <c r="S20" s="143"/>
      <c r="T20" s="143"/>
      <c r="U20" s="164"/>
      <c r="V20" s="167"/>
      <c r="W20" s="282"/>
      <c r="X20" s="40"/>
      <c r="Y20" s="281">
        <f t="shared" si="8"/>
        <v>0</v>
      </c>
      <c r="Z20" s="91"/>
      <c r="AA20" s="98"/>
      <c r="AB20" s="193"/>
      <c r="AC20" s="153"/>
      <c r="AD20" s="101"/>
      <c r="AE20" s="98"/>
    </row>
    <row r="21" spans="1:35" s="58" customFormat="1" ht="26.25" customHeight="1" thickBot="1">
      <c r="A21" s="516">
        <v>3</v>
      </c>
      <c r="B21" s="517" t="s">
        <v>60</v>
      </c>
      <c r="C21" s="518">
        <v>1</v>
      </c>
      <c r="D21" s="518" t="s">
        <v>111</v>
      </c>
      <c r="E21" s="518"/>
      <c r="F21" s="793">
        <v>107070950</v>
      </c>
      <c r="G21" s="793"/>
      <c r="H21" s="793">
        <v>500000000</v>
      </c>
      <c r="I21" s="793"/>
      <c r="J21" s="793">
        <v>51700000</v>
      </c>
      <c r="K21" s="793"/>
      <c r="L21" s="794">
        <f>((103281457*5.2%+103281457)/5.5)*5.17</f>
        <v>102132967.19816001</v>
      </c>
      <c r="M21" s="795"/>
      <c r="N21" s="354">
        <f>MEDIAN(F21,H21,J21,L21)</f>
        <v>104601958.59908</v>
      </c>
      <c r="O21" s="150">
        <f>GEOMEAN(F21,H21,J21,L21)</f>
        <v>129665529.60143012</v>
      </c>
      <c r="P21" s="151">
        <f>HARMEAN(F21,H21,J21,L21)</f>
        <v>98831028.974686027</v>
      </c>
      <c r="Q21" s="56"/>
      <c r="R21" s="10"/>
      <c r="T21" s="58">
        <f t="shared" si="19"/>
        <v>98831028.974686027</v>
      </c>
      <c r="V21" s="495">
        <f>+((MIN(N21:P21)*3)+SMALL(N21:P21,2)+SMALL(N21:P21,3))/5</f>
        <v>106152115.02491364</v>
      </c>
      <c r="W21" s="496">
        <f t="shared" si="7"/>
        <v>20545571</v>
      </c>
      <c r="X21" s="40"/>
      <c r="Y21" s="497">
        <f t="shared" si="8"/>
        <v>663622</v>
      </c>
      <c r="Z21" s="498">
        <f>ROUND((+W21+Y21),0)</f>
        <v>21209193</v>
      </c>
      <c r="AA21" s="499">
        <f t="shared" si="10"/>
        <v>254510316</v>
      </c>
      <c r="AB21" s="193"/>
      <c r="AC21" s="500">
        <f t="shared" si="11"/>
        <v>636275.78999999992</v>
      </c>
      <c r="AD21" s="501">
        <f t="shared" si="12"/>
        <v>21845469</v>
      </c>
      <c r="AE21" s="514">
        <f t="shared" si="13"/>
        <v>262145628</v>
      </c>
    </row>
    <row r="22" spans="1:35" s="128" customFormat="1" ht="28.5" customHeight="1" thickBot="1">
      <c r="A22" s="293"/>
      <c r="B22" s="294"/>
      <c r="C22" s="295"/>
      <c r="D22" s="295"/>
      <c r="E22" s="295"/>
      <c r="F22" s="295"/>
      <c r="G22" s="295"/>
      <c r="H22" s="295"/>
      <c r="I22" s="295"/>
      <c r="J22" s="295"/>
      <c r="K22" s="295"/>
      <c r="L22" s="295"/>
      <c r="M22" s="295"/>
      <c r="N22" s="32"/>
      <c r="O22" s="32"/>
      <c r="P22" s="32"/>
      <c r="Q22" s="56"/>
      <c r="R22" s="10"/>
      <c r="S22" s="58"/>
      <c r="T22" s="394" t="s">
        <v>26</v>
      </c>
      <c r="V22" s="285">
        <f>ROUND((SUM(V8:V21)),0)</f>
        <v>1142333511</v>
      </c>
      <c r="Y22" s="281"/>
      <c r="Z22" s="392"/>
      <c r="AA22" s="357">
        <f>SUM(AA8:AA21)</f>
        <v>2738858820</v>
      </c>
      <c r="AB22" s="241"/>
      <c r="AC22" s="163">
        <f>SUM(AC8:AC21)</f>
        <v>6847147.0499999998</v>
      </c>
      <c r="AD22" s="221">
        <f t="shared" si="12"/>
        <v>6847147</v>
      </c>
      <c r="AE22" s="132">
        <f>SUM(AE8:AE21)</f>
        <v>2821024596</v>
      </c>
    </row>
    <row r="23" spans="1:35" ht="25.5" customHeight="1" thickBot="1">
      <c r="A23" s="303"/>
      <c r="N23" s="32"/>
      <c r="O23" s="32"/>
      <c r="P23" s="32"/>
      <c r="Q23" s="32"/>
      <c r="R23" s="32"/>
      <c r="S23" s="32"/>
      <c r="T23" s="394" t="s">
        <v>113</v>
      </c>
      <c r="V23" s="115">
        <f>ROUND((+V22/155)*30,0)</f>
        <v>221096809</v>
      </c>
      <c r="W23" s="193"/>
      <c r="X23" s="193"/>
      <c r="Y23" s="32"/>
      <c r="Z23" s="393">
        <f>(AA23-V23)/V23</f>
        <v>3.2299995790531742E-2</v>
      </c>
      <c r="AA23" s="115">
        <f>ROUND(AA22/12,0)</f>
        <v>228238235</v>
      </c>
      <c r="AC23" s="32"/>
      <c r="AD23" s="393">
        <f>(AE23-AA23)/AA23</f>
        <v>3.00000041623175E-2</v>
      </c>
      <c r="AE23" s="115">
        <f>ROUND(AE22/12,0)</f>
        <v>235085383</v>
      </c>
      <c r="AF23" s="32"/>
      <c r="AG23" s="32"/>
    </row>
    <row r="24" spans="1:35" ht="82.5" customHeight="1" thickBot="1">
      <c r="A24" s="747" t="s">
        <v>61</v>
      </c>
      <c r="B24" s="745"/>
      <c r="C24" s="745"/>
      <c r="D24" s="745"/>
      <c r="E24" s="746"/>
      <c r="F24" s="747" t="s">
        <v>7</v>
      </c>
      <c r="G24" s="746"/>
      <c r="H24" s="747" t="s">
        <v>112</v>
      </c>
      <c r="I24" s="746"/>
      <c r="J24" s="747" t="str">
        <f>J5</f>
        <v>3. OLI CONSULTING
24/04/2025</v>
      </c>
      <c r="K24" s="746"/>
      <c r="L24" s="747" t="str">
        <f>L5</f>
        <v>4. No. SED-CM-A-DSA-063-2024
ALIANZA INTEGRAL DE PROYECTOS SAS</v>
      </c>
      <c r="M24" s="746"/>
      <c r="N24" s="32"/>
      <c r="O24" s="32"/>
      <c r="P24" s="32"/>
      <c r="Q24" s="32"/>
      <c r="R24" s="32"/>
      <c r="S24" s="32"/>
      <c r="T24" s="32"/>
      <c r="U24" s="300" t="s">
        <v>62</v>
      </c>
      <c r="V24" s="301" t="s">
        <v>62</v>
      </c>
      <c r="W24" s="40"/>
      <c r="X24" s="10"/>
      <c r="Y24" s="302"/>
      <c r="Z24" s="40"/>
      <c r="AA24" s="301" t="s">
        <v>63</v>
      </c>
      <c r="AB24" s="4"/>
      <c r="AC24" s="302"/>
      <c r="AD24" s="40"/>
      <c r="AE24" s="301" t="s">
        <v>64</v>
      </c>
      <c r="AG24" s="301" t="s">
        <v>64</v>
      </c>
    </row>
    <row r="25" spans="1:35" s="3" customFormat="1" ht="18.75" customHeight="1" thickTop="1">
      <c r="A25" s="796" t="s">
        <v>65</v>
      </c>
      <c r="B25" s="775"/>
      <c r="C25" s="775"/>
      <c r="D25" s="775"/>
      <c r="E25" s="776"/>
      <c r="F25" s="772">
        <f>SUM(G8:G16)+F18+F19</f>
        <v>1080791000</v>
      </c>
      <c r="G25" s="725"/>
      <c r="H25" s="772">
        <f>SUM(I8:I16)+H18+H19</f>
        <v>1051151355</v>
      </c>
      <c r="I25" s="725"/>
      <c r="J25" s="772">
        <f>SUM(K8:K16)+J18+J19</f>
        <v>1199066235</v>
      </c>
      <c r="K25" s="725"/>
      <c r="L25" s="772">
        <f>SUM(M8:M16)+L18+L19</f>
        <v>1047592035.3601601</v>
      </c>
      <c r="M25" s="725"/>
      <c r="N25" s="162"/>
      <c r="O25" s="162"/>
      <c r="P25" s="162"/>
      <c r="Q25" s="162"/>
      <c r="R25" s="162"/>
      <c r="S25" s="162"/>
      <c r="T25" s="162"/>
      <c r="U25" s="289">
        <f>+V25/1.19</f>
        <v>870740668.90756309</v>
      </c>
      <c r="V25" s="291">
        <f>ROUND((+V8+V9+V10+V11+V12+V13+V14+V15+V16+V18+V19),0)</f>
        <v>1036181396</v>
      </c>
      <c r="W25" s="162"/>
      <c r="X25" s="162"/>
      <c r="Y25" s="162"/>
      <c r="Z25" s="162"/>
      <c r="AA25" s="291">
        <f>+AA8+AA9+AA10+AA11+AA12+AA13+AA14+AA15+AA16+AA18+AA19</f>
        <v>2484348504</v>
      </c>
      <c r="AC25" s="162"/>
      <c r="AD25" s="162"/>
      <c r="AE25" s="291">
        <f>+AE8+AE9+AE10+AE11+AE12+AE13+AE14+AE15+AE16+AE18+AE19</f>
        <v>2558878968</v>
      </c>
      <c r="AG25" s="291">
        <f>SUM(V25:AE25)</f>
        <v>6079408868</v>
      </c>
    </row>
    <row r="26" spans="1:35" s="3" customFormat="1" ht="18.75" customHeight="1">
      <c r="A26" s="797" t="s">
        <v>66</v>
      </c>
      <c r="B26" s="770"/>
      <c r="C26" s="770"/>
      <c r="D26" s="770"/>
      <c r="E26" s="771"/>
      <c r="F26" s="772">
        <f>F21</f>
        <v>107070950</v>
      </c>
      <c r="G26" s="725"/>
      <c r="H26" s="772">
        <f>H21</f>
        <v>500000000</v>
      </c>
      <c r="I26" s="725"/>
      <c r="J26" s="772">
        <f>J21</f>
        <v>51700000</v>
      </c>
      <c r="K26" s="725"/>
      <c r="L26" s="772">
        <f>L21</f>
        <v>102132967.19816001</v>
      </c>
      <c r="M26" s="725"/>
      <c r="N26" s="162"/>
      <c r="O26" s="162"/>
      <c r="P26" s="162"/>
      <c r="Q26" s="162"/>
      <c r="R26" s="162"/>
      <c r="S26" s="162"/>
      <c r="T26" s="162"/>
      <c r="U26" s="289">
        <f>+V26/1.19</f>
        <v>89203457.983193278</v>
      </c>
      <c r="V26" s="291">
        <f>ROUND((+V21),0)</f>
        <v>106152115</v>
      </c>
      <c r="W26" s="162"/>
      <c r="X26" s="162"/>
      <c r="Y26" s="162"/>
      <c r="Z26" s="162"/>
      <c r="AA26" s="291">
        <f>+AA21</f>
        <v>254510316</v>
      </c>
      <c r="AC26" s="162"/>
      <c r="AD26" s="162"/>
      <c r="AE26" s="291">
        <f>+AE21</f>
        <v>262145628</v>
      </c>
      <c r="AG26" s="291">
        <f t="shared" ref="AG26:AG27" si="20">SUM(V26:AE26)</f>
        <v>622808059</v>
      </c>
    </row>
    <row r="27" spans="1:35" s="3" customFormat="1" ht="18.75" customHeight="1">
      <c r="A27" s="797" t="s">
        <v>67</v>
      </c>
      <c r="B27" s="770"/>
      <c r="C27" s="770"/>
      <c r="D27" s="770"/>
      <c r="E27" s="771"/>
      <c r="F27" s="772">
        <f>F25+F26</f>
        <v>1187861950</v>
      </c>
      <c r="G27" s="725"/>
      <c r="H27" s="772">
        <f>H25+H26</f>
        <v>1551151355</v>
      </c>
      <c r="I27" s="725"/>
      <c r="J27" s="772">
        <f>J25+J26</f>
        <v>1250766235</v>
      </c>
      <c r="K27" s="725"/>
      <c r="L27" s="772">
        <f>L25+L26</f>
        <v>1149725002.55832</v>
      </c>
      <c r="M27" s="725"/>
      <c r="N27" s="162"/>
      <c r="O27" s="162"/>
      <c r="P27" s="162"/>
      <c r="Q27" s="162"/>
      <c r="R27" s="162"/>
      <c r="S27" s="162"/>
      <c r="T27" s="162"/>
      <c r="U27" s="289">
        <f t="shared" ref="U27" si="21">+V27/1.19</f>
        <v>959944126.89075637</v>
      </c>
      <c r="V27" s="291">
        <f>SUM(V25:V26)</f>
        <v>1142333511</v>
      </c>
      <c r="W27" s="162"/>
      <c r="X27" s="162"/>
      <c r="Y27" s="162"/>
      <c r="Z27" s="162"/>
      <c r="AA27" s="291">
        <f>SUM(AA25:AA26)</f>
        <v>2738858820</v>
      </c>
      <c r="AC27" s="162"/>
      <c r="AD27" s="162"/>
      <c r="AE27" s="291">
        <f>SUM(AE25:AE26)</f>
        <v>2821024596</v>
      </c>
      <c r="AG27" s="291">
        <f t="shared" si="20"/>
        <v>6702216927</v>
      </c>
    </row>
    <row r="28" spans="1:35" s="3" customFormat="1" ht="18.75" customHeight="1" thickBot="1">
      <c r="A28" s="797" t="s">
        <v>68</v>
      </c>
      <c r="B28" s="770"/>
      <c r="C28" s="770"/>
      <c r="D28" s="770"/>
      <c r="E28" s="771"/>
      <c r="F28" s="772">
        <f>F27*19%</f>
        <v>225693770.5</v>
      </c>
      <c r="G28" s="725"/>
      <c r="H28" s="772">
        <f>H27*19%</f>
        <v>294718757.44999999</v>
      </c>
      <c r="I28" s="725"/>
      <c r="J28" s="772">
        <f>J27*19%</f>
        <v>237645584.65000001</v>
      </c>
      <c r="K28" s="725"/>
      <c r="L28" s="772">
        <f>L27*19%</f>
        <v>218447750.48608083</v>
      </c>
      <c r="M28" s="725"/>
      <c r="N28" s="162"/>
      <c r="O28" s="162"/>
      <c r="P28" s="162"/>
      <c r="Q28" s="162"/>
      <c r="R28" s="162"/>
      <c r="S28" s="162"/>
      <c r="T28" s="162"/>
      <c r="U28" s="289">
        <f>+U27*19%</f>
        <v>182389384.10924372</v>
      </c>
      <c r="V28" s="362">
        <f>ROUND((+V27*19%),0)</f>
        <v>217043367</v>
      </c>
      <c r="W28" s="365">
        <f>+V26/V29</f>
        <v>7.8088804302878539E-2</v>
      </c>
      <c r="X28" s="162"/>
      <c r="Y28" s="162"/>
      <c r="Z28" s="162"/>
      <c r="AA28" s="362">
        <f>ROUND((+AA27*19%),0)</f>
        <v>520383176</v>
      </c>
      <c r="AC28" s="365">
        <f>+AA26/AA29</f>
        <v>7.8088806020649965E-2</v>
      </c>
      <c r="AD28" s="162"/>
      <c r="AE28" s="362">
        <f>ROUND((+AE27*19%),0)</f>
        <v>535994673</v>
      </c>
      <c r="AF28" s="157">
        <f>+AE26/AE29</f>
        <v>7.8088806466126953E-2</v>
      </c>
      <c r="AG28" s="291">
        <f>ROUND(SUM(V28:AE28),0)</f>
        <v>1273421216</v>
      </c>
      <c r="AI28" s="157">
        <f>AG29*60%</f>
        <v>4785382885.8000002</v>
      </c>
    </row>
    <row r="29" spans="1:35" s="3" customFormat="1" ht="18.75" customHeight="1" thickTop="1" thickBot="1">
      <c r="A29" s="790" t="s">
        <v>69</v>
      </c>
      <c r="B29" s="791"/>
      <c r="C29" s="791"/>
      <c r="D29" s="791"/>
      <c r="E29" s="792"/>
      <c r="F29" s="802">
        <f>SUM(F27:G28)</f>
        <v>1413555720.5</v>
      </c>
      <c r="G29" s="803"/>
      <c r="H29" s="802">
        <f>SUM(H27:I28)</f>
        <v>1845870112.45</v>
      </c>
      <c r="I29" s="803"/>
      <c r="J29" s="802">
        <f>SUM(J27:K28)</f>
        <v>1488411819.6500001</v>
      </c>
      <c r="K29" s="803"/>
      <c r="L29" s="802">
        <f>SUM(L27:M28)</f>
        <v>1368172753.0444009</v>
      </c>
      <c r="M29" s="803"/>
      <c r="N29" s="162"/>
      <c r="O29" s="271"/>
      <c r="P29" s="162"/>
      <c r="Q29" s="162"/>
      <c r="R29" s="162"/>
      <c r="S29" s="162"/>
      <c r="T29" s="394" t="s">
        <v>26</v>
      </c>
      <c r="U29" s="290">
        <f>+U27+U28</f>
        <v>1142333511</v>
      </c>
      <c r="V29" s="361">
        <f>ROUND((+V27+V28),0)</f>
        <v>1359376878</v>
      </c>
      <c r="W29" s="292"/>
      <c r="X29" s="292"/>
      <c r="Y29" s="292"/>
      <c r="Z29" s="292"/>
      <c r="AA29" s="361">
        <f>ROUND((+AA27+AA28),0)</f>
        <v>3259241996</v>
      </c>
      <c r="AB29" s="240"/>
      <c r="AC29" s="292"/>
      <c r="AD29" s="292"/>
      <c r="AE29" s="361">
        <f>ROUND((+AE27+AE28),0)</f>
        <v>3357019269</v>
      </c>
      <c r="AG29" s="361">
        <f>ROUND((+AG27+AG28),0)</f>
        <v>7975638143</v>
      </c>
      <c r="AI29" s="3">
        <v>1423500</v>
      </c>
    </row>
    <row r="30" spans="1:35" s="3" customFormat="1" ht="24.75" customHeight="1" thickBot="1">
      <c r="A30" s="390"/>
      <c r="B30" s="390"/>
      <c r="C30" s="390"/>
      <c r="D30" s="390"/>
      <c r="E30" s="390"/>
      <c r="F30" s="395"/>
      <c r="G30" s="390"/>
      <c r="H30" s="395"/>
      <c r="I30" s="390"/>
      <c r="J30" s="395"/>
      <c r="K30" s="390"/>
      <c r="L30" s="395"/>
      <c r="M30" s="390"/>
      <c r="N30" s="162"/>
      <c r="O30" s="271"/>
      <c r="P30" s="162"/>
      <c r="Q30" s="162"/>
      <c r="R30" s="162"/>
      <c r="S30" s="162"/>
      <c r="T30" s="394" t="s">
        <v>113</v>
      </c>
      <c r="U30" s="396"/>
      <c r="V30" s="115">
        <f>ROUND((+V29/155)*30,0)</f>
        <v>263105202</v>
      </c>
      <c r="W30" s="162"/>
      <c r="X30" s="162"/>
      <c r="Y30" s="162"/>
      <c r="Z30" s="393">
        <f>(AA30-V30)/V30</f>
        <v>3.229999990650128E-2</v>
      </c>
      <c r="AA30" s="115">
        <f>ROUND(AA29/12,0)</f>
        <v>271603500</v>
      </c>
      <c r="AC30" s="162"/>
      <c r="AD30" s="393">
        <f>(AE30-AA30)/AA30</f>
        <v>3.0000003681837677E-2</v>
      </c>
      <c r="AE30" s="115">
        <f>ROUND(AE29/12,0)</f>
        <v>279751606</v>
      </c>
      <c r="AG30" s="115">
        <f>ROUND(AG29/12,0)</f>
        <v>664636512</v>
      </c>
      <c r="AI30" s="157">
        <f>AG29/AI29</f>
        <v>5602.8367706357567</v>
      </c>
    </row>
    <row r="31" spans="1:35" s="162" customFormat="1" ht="24.75" customHeight="1">
      <c r="A31" s="269"/>
      <c r="B31" s="269"/>
      <c r="C31" s="269"/>
      <c r="D31" s="269"/>
      <c r="E31" s="269"/>
      <c r="F31" s="489"/>
      <c r="G31" s="269"/>
      <c r="H31" s="489"/>
      <c r="I31" s="269"/>
      <c r="J31" s="489"/>
      <c r="K31" s="269"/>
      <c r="L31" s="489"/>
      <c r="M31" s="269"/>
      <c r="O31" s="271"/>
      <c r="T31" s="56"/>
      <c r="U31" s="161"/>
      <c r="V31" s="58"/>
      <c r="Z31" s="490"/>
      <c r="AA31" s="58"/>
      <c r="AD31" s="490"/>
      <c r="AE31" s="58"/>
      <c r="AG31" s="272"/>
    </row>
    <row r="32" spans="1:35" s="162" customFormat="1" ht="24.75" customHeight="1">
      <c r="A32" s="269"/>
      <c r="B32" s="269"/>
      <c r="C32" s="269"/>
      <c r="D32" s="269"/>
      <c r="E32" s="269"/>
      <c r="F32" s="489"/>
      <c r="G32" s="269"/>
      <c r="H32" s="489"/>
      <c r="I32" s="269"/>
      <c r="J32" s="489"/>
      <c r="K32" s="269"/>
      <c r="L32" s="489"/>
      <c r="M32" s="269"/>
      <c r="O32" s="271"/>
      <c r="T32" s="56"/>
      <c r="U32" s="161"/>
      <c r="V32" s="58"/>
      <c r="Z32" s="490"/>
      <c r="AA32" s="58"/>
      <c r="AD32" s="490"/>
      <c r="AE32" s="58"/>
      <c r="AG32" s="272"/>
    </row>
    <row r="33" spans="1:33" s="162" customFormat="1" ht="24.75" customHeight="1">
      <c r="A33" s="269"/>
      <c r="B33" s="269"/>
      <c r="C33" s="269"/>
      <c r="D33" s="269"/>
      <c r="E33" s="269"/>
      <c r="F33" s="489"/>
      <c r="G33" s="269"/>
      <c r="H33" s="489"/>
      <c r="I33" s="269"/>
      <c r="J33" s="489"/>
      <c r="K33" s="269"/>
      <c r="L33" s="489"/>
      <c r="M33" s="269"/>
      <c r="O33" s="271"/>
      <c r="T33" s="56"/>
      <c r="U33" s="161"/>
      <c r="V33" s="58"/>
      <c r="Z33" s="490"/>
      <c r="AA33" s="58"/>
      <c r="AD33" s="490"/>
      <c r="AE33" s="58"/>
      <c r="AG33" s="272"/>
    </row>
    <row r="34" spans="1:33" s="162" customFormat="1" ht="24.75" customHeight="1">
      <c r="A34" s="269"/>
      <c r="B34" s="269"/>
      <c r="C34" s="269"/>
      <c r="D34" s="269"/>
      <c r="E34" s="269"/>
      <c r="F34" s="489"/>
      <c r="G34" s="269"/>
      <c r="H34" s="489"/>
      <c r="I34" s="269"/>
      <c r="J34" s="489"/>
      <c r="K34" s="269"/>
      <c r="L34" s="489"/>
      <c r="M34" s="269"/>
      <c r="O34" s="271"/>
      <c r="T34" s="56"/>
      <c r="U34" s="161"/>
      <c r="V34" s="58"/>
      <c r="Z34" s="490"/>
      <c r="AA34" s="58"/>
      <c r="AD34" s="490"/>
      <c r="AE34" s="58"/>
      <c r="AG34" s="272"/>
    </row>
    <row r="35" spans="1:33" s="3" customFormat="1" ht="35.25" customHeight="1">
      <c r="A35" s="2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O35" s="120"/>
      <c r="P35" s="695" t="s">
        <v>70</v>
      </c>
      <c r="Q35" s="696"/>
      <c r="R35" s="129"/>
      <c r="S35" s="129"/>
      <c r="T35" s="131">
        <f>+V29/155*30</f>
        <v>263105202.19354838</v>
      </c>
      <c r="V35" s="226" t="s">
        <v>71</v>
      </c>
      <c r="W35" s="232">
        <f>ROUND((+T35/30*155),0)</f>
        <v>1359376878</v>
      </c>
      <c r="Y35" s="287">
        <v>1386161735</v>
      </c>
      <c r="Z35" s="233" t="s">
        <v>72</v>
      </c>
      <c r="AA35" s="157"/>
      <c r="AB35" s="162"/>
    </row>
    <row r="36" spans="1:33" s="3" customFormat="1">
      <c r="A36" s="27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T36" s="122"/>
      <c r="V36" s="123"/>
      <c r="W36" s="123"/>
      <c r="Y36" s="288">
        <f>+Y35-W35</f>
        <v>26784857</v>
      </c>
      <c r="Z36" s="3" t="s">
        <v>74</v>
      </c>
      <c r="AB36" s="162"/>
    </row>
    <row r="37" spans="1:33" s="3" customFormat="1" ht="30.75" customHeight="1">
      <c r="A37" s="27"/>
      <c r="P37" s="695" t="s">
        <v>75</v>
      </c>
      <c r="Q37" s="696"/>
      <c r="R37" s="129"/>
      <c r="S37" s="129"/>
      <c r="T37" s="227">
        <f>+AA29/12</f>
        <v>271603499.66666669</v>
      </c>
      <c r="V37" s="226" t="s">
        <v>116</v>
      </c>
      <c r="W37" s="227">
        <f>+T37*12</f>
        <v>3259241996</v>
      </c>
      <c r="Y37" s="287">
        <v>3316056552</v>
      </c>
      <c r="Z37" s="131" t="s">
        <v>72</v>
      </c>
      <c r="AA37" s="157"/>
      <c r="AB37" s="162"/>
    </row>
    <row r="38" spans="1:33" s="3" customFormat="1">
      <c r="N38" s="229"/>
      <c r="T38" s="123"/>
      <c r="V38" s="123"/>
      <c r="W38" s="491"/>
      <c r="Y38" s="288">
        <f>+Y37-W37</f>
        <v>56814556</v>
      </c>
      <c r="Z38" s="3" t="s">
        <v>74</v>
      </c>
    </row>
    <row r="39" spans="1:33" s="3" customFormat="1" ht="33.75" customHeight="1">
      <c r="P39" s="695" t="s">
        <v>77</v>
      </c>
      <c r="Q39" s="696"/>
      <c r="R39" s="129"/>
      <c r="S39" s="129"/>
      <c r="T39" s="227">
        <f>+AE29/12</f>
        <v>279751605.75</v>
      </c>
      <c r="V39" s="226" t="s">
        <v>117</v>
      </c>
      <c r="W39" s="227">
        <f>+T39*12</f>
        <v>3357019269</v>
      </c>
      <c r="Y39" s="287">
        <v>3415538196</v>
      </c>
      <c r="Z39" s="131" t="s">
        <v>72</v>
      </c>
      <c r="AA39" s="491"/>
    </row>
    <row r="40" spans="1:33" s="3" customFormat="1">
      <c r="T40" s="125"/>
      <c r="V40" s="123"/>
      <c r="W40" s="123"/>
      <c r="Y40" s="288">
        <f>+Y39-W39</f>
        <v>58518927</v>
      </c>
      <c r="Z40" s="3" t="s">
        <v>74</v>
      </c>
    </row>
    <row r="41" spans="1:33" s="3" customFormat="1" ht="25.5" customHeight="1">
      <c r="P41" s="697" t="s">
        <v>78</v>
      </c>
      <c r="Q41" s="697"/>
      <c r="R41" s="697"/>
      <c r="S41" s="697"/>
      <c r="T41" s="697"/>
      <c r="U41" s="697"/>
      <c r="V41" s="697"/>
      <c r="W41" s="227">
        <f>+W35+W37+W39</f>
        <v>7975638143</v>
      </c>
      <c r="Y41" s="287">
        <f>+Y35+Y37+Y39</f>
        <v>8117756483</v>
      </c>
      <c r="Z41" s="131" t="s">
        <v>72</v>
      </c>
    </row>
    <row r="42" spans="1:33" s="3" customFormat="1">
      <c r="Y42" s="288">
        <f>+Y41-W41</f>
        <v>142118340</v>
      </c>
      <c r="Z42" s="3" t="s">
        <v>74</v>
      </c>
    </row>
    <row r="43" spans="1:33" s="3" customFormat="1"/>
    <row r="44" spans="1:33" s="3" customFormat="1"/>
    <row r="48" spans="1:33">
      <c r="T48" s="692">
        <v>2024</v>
      </c>
      <c r="U48" s="692"/>
      <c r="V48" s="692"/>
      <c r="W48" s="692"/>
    </row>
    <row r="49" spans="16:23">
      <c r="P49" s="129" t="s">
        <v>79</v>
      </c>
      <c r="T49" s="129" t="s">
        <v>80</v>
      </c>
      <c r="U49" s="129"/>
      <c r="V49" s="130" t="s">
        <v>81</v>
      </c>
      <c r="W49" s="130" t="s">
        <v>82</v>
      </c>
    </row>
    <row r="50" spans="16:23">
      <c r="P50" s="129" t="s">
        <v>83</v>
      </c>
      <c r="T50" s="230">
        <f>(+W50/164)*14</f>
        <v>115410729.98896343</v>
      </c>
      <c r="U50" s="129"/>
      <c r="V50" s="230">
        <f>+W50/164*30</f>
        <v>247308707.11920732</v>
      </c>
      <c r="W50" s="231">
        <v>1351954265.585</v>
      </c>
    </row>
  </sheetData>
  <mergeCells count="68">
    <mergeCell ref="H27:I27"/>
    <mergeCell ref="L24:M24"/>
    <mergeCell ref="L25:M25"/>
    <mergeCell ref="L26:M26"/>
    <mergeCell ref="L27:M27"/>
    <mergeCell ref="P37:Q37"/>
    <mergeCell ref="P39:Q39"/>
    <mergeCell ref="P41:V41"/>
    <mergeCell ref="T48:W48"/>
    <mergeCell ref="F18:G18"/>
    <mergeCell ref="F19:G19"/>
    <mergeCell ref="F25:G25"/>
    <mergeCell ref="F26:G26"/>
    <mergeCell ref="F27:G27"/>
    <mergeCell ref="F28:G28"/>
    <mergeCell ref="J18:K18"/>
    <mergeCell ref="J19:K19"/>
    <mergeCell ref="J20:K20"/>
    <mergeCell ref="J21:K21"/>
    <mergeCell ref="J24:K24"/>
    <mergeCell ref="J25:K25"/>
    <mergeCell ref="F20:G20"/>
    <mergeCell ref="D19:E19"/>
    <mergeCell ref="A5:E5"/>
    <mergeCell ref="D18:E18"/>
    <mergeCell ref="P35:Q35"/>
    <mergeCell ref="F29:G29"/>
    <mergeCell ref="J26:K26"/>
    <mergeCell ref="J27:K27"/>
    <mergeCell ref="J28:K28"/>
    <mergeCell ref="J29:K29"/>
    <mergeCell ref="L29:M29"/>
    <mergeCell ref="H28:I28"/>
    <mergeCell ref="H29:I29"/>
    <mergeCell ref="L28:M28"/>
    <mergeCell ref="H25:I25"/>
    <mergeCell ref="H26:I26"/>
    <mergeCell ref="L18:M18"/>
    <mergeCell ref="L19:M19"/>
    <mergeCell ref="L20:M20"/>
    <mergeCell ref="H5:I5"/>
    <mergeCell ref="H18:I18"/>
    <mergeCell ref="H19:I19"/>
    <mergeCell ref="H20:I20"/>
    <mergeCell ref="Y5:AA5"/>
    <mergeCell ref="AC5:AE5"/>
    <mergeCell ref="A7:C7"/>
    <mergeCell ref="A17:C17"/>
    <mergeCell ref="AG6:AH6"/>
    <mergeCell ref="F5:G5"/>
    <mergeCell ref="J5:K5"/>
    <mergeCell ref="L5:M5"/>
    <mergeCell ref="A29:E29"/>
    <mergeCell ref="U2:W3"/>
    <mergeCell ref="A4:C4"/>
    <mergeCell ref="N4:P4"/>
    <mergeCell ref="V5:W5"/>
    <mergeCell ref="F21:G21"/>
    <mergeCell ref="F24:G24"/>
    <mergeCell ref="H24:I24"/>
    <mergeCell ref="L21:M21"/>
    <mergeCell ref="A24:E24"/>
    <mergeCell ref="A25:E25"/>
    <mergeCell ref="A26:E26"/>
    <mergeCell ref="A27:E27"/>
    <mergeCell ref="A28:E28"/>
    <mergeCell ref="H21:I21"/>
    <mergeCell ref="A20:C2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B9396-4F2F-462D-8173-3278DA3465BE}">
  <dimension ref="B1:S32"/>
  <sheetViews>
    <sheetView showGridLines="0" zoomScale="55" zoomScaleNormal="55" workbookViewId="0">
      <pane ySplit="1" topLeftCell="A14" activePane="bottomLeft" state="frozen"/>
      <selection pane="bottomLeft" activeCell="G13" sqref="G13"/>
    </sheetView>
  </sheetViews>
  <sheetFormatPr defaultColWidth="9.140625" defaultRowHeight="15.75"/>
  <cols>
    <col min="1" max="2" width="9.140625" style="397"/>
    <col min="3" max="3" width="62.28515625" style="397" customWidth="1"/>
    <col min="4" max="4" width="14.85546875" style="398" customWidth="1"/>
    <col min="5" max="5" width="16.5703125" style="398" customWidth="1"/>
    <col min="6" max="6" width="29.42578125" style="398" customWidth="1"/>
    <col min="7" max="7" width="21.5703125" style="397" bestFit="1" customWidth="1"/>
    <col min="8" max="8" width="33.85546875" style="397" customWidth="1"/>
    <col min="9" max="9" width="31.85546875" style="398" bestFit="1" customWidth="1"/>
    <col min="10" max="12" width="31.85546875" style="398" customWidth="1"/>
    <col min="13" max="13" width="31.85546875" style="397" bestFit="1" customWidth="1"/>
    <col min="14" max="15" width="31.5703125" style="397" customWidth="1"/>
    <col min="16" max="16" width="9.140625" style="397"/>
    <col min="17" max="17" width="16" style="397" customWidth="1"/>
    <col min="18" max="18" width="9.140625" style="397"/>
    <col min="19" max="19" width="19.140625" style="397" bestFit="1" customWidth="1"/>
    <col min="20" max="16384" width="9.140625" style="397"/>
  </cols>
  <sheetData>
    <row r="1" spans="2:19">
      <c r="G1" s="473"/>
    </row>
    <row r="2" spans="2:19" ht="25.5" customHeight="1">
      <c r="B2" s="811" t="s">
        <v>122</v>
      </c>
      <c r="C2" s="811"/>
      <c r="D2" s="811"/>
      <c r="E2" s="811"/>
      <c r="F2" s="811"/>
      <c r="G2" s="811"/>
      <c r="H2" s="811"/>
      <c r="I2" s="811"/>
      <c r="J2" s="811"/>
      <c r="K2" s="811"/>
      <c r="L2" s="811"/>
      <c r="M2" s="811"/>
    </row>
    <row r="3" spans="2:19">
      <c r="B3" s="811" t="s">
        <v>123</v>
      </c>
      <c r="C3" s="811"/>
      <c r="D3" s="811"/>
      <c r="E3" s="811"/>
      <c r="F3" s="811"/>
      <c r="G3" s="811"/>
      <c r="H3" s="811"/>
      <c r="I3" s="811"/>
      <c r="J3" s="811"/>
      <c r="K3" s="811"/>
      <c r="L3" s="811"/>
      <c r="M3" s="811"/>
    </row>
    <row r="4" spans="2:19">
      <c r="B4" s="811" t="s">
        <v>124</v>
      </c>
      <c r="C4" s="811"/>
      <c r="D4" s="811"/>
      <c r="E4" s="811"/>
      <c r="F4" s="811"/>
      <c r="G4" s="811"/>
      <c r="H4" s="811"/>
      <c r="I4" s="811"/>
      <c r="J4" s="811"/>
      <c r="K4" s="811"/>
      <c r="L4" s="811"/>
      <c r="M4" s="811"/>
    </row>
    <row r="5" spans="2:19">
      <c r="B5" s="811" t="s">
        <v>125</v>
      </c>
      <c r="C5" s="811"/>
      <c r="D5" s="811"/>
      <c r="E5" s="811"/>
      <c r="F5" s="811"/>
      <c r="G5" s="811"/>
      <c r="H5" s="811"/>
      <c r="I5" s="811"/>
      <c r="J5" s="811"/>
      <c r="K5" s="811"/>
      <c r="L5" s="811"/>
      <c r="M5" s="811"/>
      <c r="N5" s="488">
        <f>+N14*2</f>
        <v>7283221.1280000005</v>
      </c>
    </row>
    <row r="6" spans="2:19">
      <c r="B6" s="811" t="s">
        <v>126</v>
      </c>
      <c r="C6" s="811"/>
      <c r="D6" s="811"/>
      <c r="E6" s="811"/>
      <c r="F6" s="811"/>
      <c r="G6" s="811"/>
      <c r="H6" s="811"/>
      <c r="I6" s="811"/>
      <c r="J6" s="811"/>
      <c r="K6" s="811"/>
      <c r="L6" s="811"/>
      <c r="M6" s="811"/>
    </row>
    <row r="7" spans="2:19" ht="16.5" thickBot="1">
      <c r="G7" s="398"/>
      <c r="H7" s="398"/>
    </row>
    <row r="8" spans="2:19" ht="67.5" customHeight="1" thickBot="1">
      <c r="B8" s="399" t="s">
        <v>127</v>
      </c>
      <c r="C8" s="400" t="s">
        <v>128</v>
      </c>
      <c r="D8" s="401" t="s">
        <v>129</v>
      </c>
      <c r="E8" s="401" t="s">
        <v>130</v>
      </c>
      <c r="F8" s="401" t="s">
        <v>131</v>
      </c>
      <c r="G8" s="401" t="s">
        <v>132</v>
      </c>
      <c r="H8" s="402" t="s">
        <v>133</v>
      </c>
      <c r="I8" s="403" t="s">
        <v>134</v>
      </c>
      <c r="K8" s="401" t="s">
        <v>132</v>
      </c>
      <c r="L8" s="404" t="s">
        <v>135</v>
      </c>
      <c r="M8" s="404" t="s">
        <v>135</v>
      </c>
      <c r="N8" s="404" t="s">
        <v>136</v>
      </c>
      <c r="O8" s="404" t="s">
        <v>137</v>
      </c>
      <c r="Q8" s="474"/>
    </row>
    <row r="9" spans="2:19" ht="34.5" customHeight="1">
      <c r="B9" s="405" t="s">
        <v>138</v>
      </c>
      <c r="C9" s="406" t="s">
        <v>37</v>
      </c>
      <c r="D9" s="406">
        <v>1</v>
      </c>
      <c r="E9" s="407">
        <v>1</v>
      </c>
      <c r="F9" s="408">
        <v>5.5</v>
      </c>
      <c r="G9" s="409">
        <v>12343919</v>
      </c>
      <c r="H9" s="409">
        <f>G9</f>
        <v>12343919</v>
      </c>
      <c r="I9" s="410">
        <f>D9*F9*H9</f>
        <v>67891554.5</v>
      </c>
      <c r="K9" s="406" t="s">
        <v>37</v>
      </c>
      <c r="L9" s="411">
        <f t="shared" ref="L9:L17" si="0">G9*(1+5.2%)</f>
        <v>12985802.788000001</v>
      </c>
      <c r="M9" s="411">
        <f>L9*D9*E9*F9</f>
        <v>71421915.334000006</v>
      </c>
      <c r="N9" s="411">
        <f>M9/5.5/D9</f>
        <v>12985802.788000001</v>
      </c>
      <c r="O9" s="411">
        <f>N9*5.17</f>
        <v>67136600.41396001</v>
      </c>
      <c r="Q9" s="475">
        <f>(N9-G9)/G9</f>
        <v>5.2000000000000053E-2</v>
      </c>
      <c r="S9" s="412"/>
    </row>
    <row r="10" spans="2:19" ht="34.5" customHeight="1">
      <c r="B10" s="413" t="s">
        <v>139</v>
      </c>
      <c r="C10" s="414" t="s">
        <v>39</v>
      </c>
      <c r="D10" s="415">
        <v>1</v>
      </c>
      <c r="E10" s="416">
        <v>1</v>
      </c>
      <c r="F10" s="417">
        <v>5.5</v>
      </c>
      <c r="G10" s="418">
        <v>10772737</v>
      </c>
      <c r="H10" s="409">
        <f t="shared" ref="H10:H17" si="1">G10</f>
        <v>10772737</v>
      </c>
      <c r="I10" s="419">
        <f>D10*F10*H10</f>
        <v>59250053.5</v>
      </c>
      <c r="K10" s="414" t="s">
        <v>39</v>
      </c>
      <c r="L10" s="411">
        <f t="shared" si="0"/>
        <v>11332919.324000001</v>
      </c>
      <c r="M10" s="411">
        <f t="shared" ref="M10:M17" si="2">L10*D10*E10*F10</f>
        <v>62331056.282000005</v>
      </c>
      <c r="N10" s="411">
        <f t="shared" ref="N10:N17" si="3">M10/5.5/D10</f>
        <v>11332919.324000001</v>
      </c>
      <c r="O10" s="411">
        <f t="shared" ref="O10:O17" si="4">N10*5.17</f>
        <v>58591192.905080006</v>
      </c>
      <c r="Q10" s="475">
        <f t="shared" ref="Q10:Q17" si="5">(N10-G10)/G10</f>
        <v>5.2000000000000088E-2</v>
      </c>
    </row>
    <row r="11" spans="2:19" ht="34.5" customHeight="1">
      <c r="B11" s="413" t="s">
        <v>140</v>
      </c>
      <c r="C11" s="414" t="s">
        <v>41</v>
      </c>
      <c r="D11" s="415">
        <v>1</v>
      </c>
      <c r="E11" s="416">
        <v>1</v>
      </c>
      <c r="F11" s="417">
        <v>5.5</v>
      </c>
      <c r="G11" s="418">
        <v>10542154</v>
      </c>
      <c r="H11" s="409">
        <f t="shared" si="1"/>
        <v>10542154</v>
      </c>
      <c r="I11" s="419">
        <f t="shared" ref="I11:I16" si="6">D11*F11*H11</f>
        <v>57981847</v>
      </c>
      <c r="K11" s="414" t="s">
        <v>41</v>
      </c>
      <c r="L11" s="411">
        <f t="shared" si="0"/>
        <v>11090346.008000001</v>
      </c>
      <c r="M11" s="411">
        <f t="shared" si="2"/>
        <v>60996903.044000007</v>
      </c>
      <c r="N11" s="411">
        <f t="shared" si="3"/>
        <v>11090346.008000001</v>
      </c>
      <c r="O11" s="411">
        <f t="shared" si="4"/>
        <v>57337088.861360006</v>
      </c>
      <c r="Q11" s="475">
        <f t="shared" si="5"/>
        <v>5.2000000000000123E-2</v>
      </c>
    </row>
    <row r="12" spans="2:19" ht="34.5" customHeight="1">
      <c r="B12" s="413" t="s">
        <v>141</v>
      </c>
      <c r="C12" s="414" t="s">
        <v>142</v>
      </c>
      <c r="D12" s="415">
        <v>1</v>
      </c>
      <c r="E12" s="416">
        <v>1</v>
      </c>
      <c r="F12" s="417">
        <v>5.5</v>
      </c>
      <c r="G12" s="418">
        <v>10542154</v>
      </c>
      <c r="H12" s="409">
        <f t="shared" si="1"/>
        <v>10542154</v>
      </c>
      <c r="I12" s="419">
        <f t="shared" si="6"/>
        <v>57981847</v>
      </c>
      <c r="K12" s="414" t="s">
        <v>142</v>
      </c>
      <c r="L12" s="411">
        <f t="shared" si="0"/>
        <v>11090346.008000001</v>
      </c>
      <c r="M12" s="411">
        <f t="shared" si="2"/>
        <v>60996903.044000007</v>
      </c>
      <c r="N12" s="411">
        <f t="shared" si="3"/>
        <v>11090346.008000001</v>
      </c>
      <c r="O12" s="411">
        <f t="shared" si="4"/>
        <v>57337088.861360006</v>
      </c>
      <c r="Q12" s="475">
        <f t="shared" si="5"/>
        <v>5.2000000000000123E-2</v>
      </c>
    </row>
    <row r="13" spans="2:19" ht="34.5" customHeight="1">
      <c r="B13" s="413" t="s">
        <v>143</v>
      </c>
      <c r="C13" s="414" t="s">
        <v>45</v>
      </c>
      <c r="D13" s="415">
        <v>1</v>
      </c>
      <c r="E13" s="416">
        <v>1</v>
      </c>
      <c r="F13" s="417">
        <v>5.5</v>
      </c>
      <c r="G13" s="418">
        <v>8264857</v>
      </c>
      <c r="H13" s="409">
        <f t="shared" si="1"/>
        <v>8264857</v>
      </c>
      <c r="I13" s="419">
        <f t="shared" si="6"/>
        <v>45456713.5</v>
      </c>
      <c r="K13" s="414" t="s">
        <v>45</v>
      </c>
      <c r="L13" s="411">
        <f t="shared" si="0"/>
        <v>8694629.5640000012</v>
      </c>
      <c r="M13" s="411">
        <f t="shared" si="2"/>
        <v>47820462.602000006</v>
      </c>
      <c r="N13" s="411">
        <f t="shared" si="3"/>
        <v>8694629.5640000012</v>
      </c>
      <c r="O13" s="411">
        <f t="shared" si="4"/>
        <v>44951234.845880002</v>
      </c>
      <c r="Q13" s="475">
        <f t="shared" si="5"/>
        <v>5.2000000000000143E-2</v>
      </c>
    </row>
    <row r="14" spans="2:19" ht="34.5" customHeight="1">
      <c r="B14" s="413" t="s">
        <v>144</v>
      </c>
      <c r="C14" s="414" t="s">
        <v>47</v>
      </c>
      <c r="D14" s="415">
        <v>1</v>
      </c>
      <c r="E14" s="416">
        <v>0.5</v>
      </c>
      <c r="F14" s="417">
        <v>5.5</v>
      </c>
      <c r="G14" s="418">
        <v>6923214</v>
      </c>
      <c r="H14" s="409">
        <f t="shared" si="1"/>
        <v>6923214</v>
      </c>
      <c r="I14" s="419">
        <f>D14*F14*H14</f>
        <v>38077677</v>
      </c>
      <c r="K14" s="414" t="s">
        <v>47</v>
      </c>
      <c r="L14" s="411">
        <f>G14*(1+5.2%)</f>
        <v>7283221.1280000005</v>
      </c>
      <c r="M14" s="420">
        <f>L14*D14*E14*F14</f>
        <v>20028858.102000002</v>
      </c>
      <c r="N14" s="420">
        <f>M14/5.5/D14</f>
        <v>3641610.5640000002</v>
      </c>
      <c r="O14" s="420">
        <f>N14*5.17</f>
        <v>18827126.615880001</v>
      </c>
      <c r="Q14" s="476">
        <f t="shared" si="5"/>
        <v>-0.47399999999999998</v>
      </c>
    </row>
    <row r="15" spans="2:19" ht="34.5" customHeight="1">
      <c r="B15" s="413" t="s">
        <v>145</v>
      </c>
      <c r="C15" s="414" t="s">
        <v>107</v>
      </c>
      <c r="D15" s="415">
        <v>13</v>
      </c>
      <c r="E15" s="416">
        <v>1</v>
      </c>
      <c r="F15" s="417">
        <v>5.5</v>
      </c>
      <c r="G15" s="418">
        <v>4078568</v>
      </c>
      <c r="H15" s="409">
        <f t="shared" si="1"/>
        <v>4078568</v>
      </c>
      <c r="I15" s="419">
        <f t="shared" si="6"/>
        <v>291617612</v>
      </c>
      <c r="K15" s="414" t="s">
        <v>107</v>
      </c>
      <c r="L15" s="411">
        <f t="shared" si="0"/>
        <v>4290653.5360000003</v>
      </c>
      <c r="M15" s="411">
        <f t="shared" si="2"/>
        <v>306781727.824</v>
      </c>
      <c r="N15" s="411">
        <f t="shared" si="3"/>
        <v>4290653.5360000003</v>
      </c>
      <c r="O15" s="411">
        <f t="shared" si="4"/>
        <v>22182678.781120002</v>
      </c>
      <c r="Q15" s="475">
        <f t="shared" si="5"/>
        <v>5.2000000000000074E-2</v>
      </c>
    </row>
    <row r="16" spans="2:19" ht="34.5" customHeight="1">
      <c r="B16" s="413" t="s">
        <v>146</v>
      </c>
      <c r="C16" s="415" t="s">
        <v>147</v>
      </c>
      <c r="D16" s="415">
        <v>11</v>
      </c>
      <c r="E16" s="416">
        <v>1</v>
      </c>
      <c r="F16" s="417">
        <v>5.5</v>
      </c>
      <c r="G16" s="418">
        <v>4145139</v>
      </c>
      <c r="H16" s="409">
        <f t="shared" si="1"/>
        <v>4145139</v>
      </c>
      <c r="I16" s="419">
        <f t="shared" si="6"/>
        <v>250780909.5</v>
      </c>
      <c r="K16" s="415" t="s">
        <v>147</v>
      </c>
      <c r="L16" s="411">
        <f t="shared" si="0"/>
        <v>4360686.2280000001</v>
      </c>
      <c r="M16" s="420">
        <f t="shared" si="2"/>
        <v>263821516.794</v>
      </c>
      <c r="N16" s="411">
        <f t="shared" si="3"/>
        <v>4360686.2280000001</v>
      </c>
      <c r="O16" s="411">
        <f t="shared" si="4"/>
        <v>22544747.798760001</v>
      </c>
      <c r="Q16" s="475">
        <f t="shared" si="5"/>
        <v>5.2000000000000025E-2</v>
      </c>
    </row>
    <row r="17" spans="2:17" ht="34.5" customHeight="1" thickBot="1">
      <c r="B17" s="421" t="s">
        <v>148</v>
      </c>
      <c r="C17" s="422" t="s">
        <v>53</v>
      </c>
      <c r="D17" s="423">
        <v>1</v>
      </c>
      <c r="E17" s="424">
        <v>0.5</v>
      </c>
      <c r="F17" s="425">
        <v>5.5</v>
      </c>
      <c r="G17" s="426">
        <v>3508067</v>
      </c>
      <c r="H17" s="409">
        <f t="shared" si="1"/>
        <v>3508067</v>
      </c>
      <c r="I17" s="427">
        <f>D17*F17*H17</f>
        <v>19294368.5</v>
      </c>
      <c r="K17" s="422" t="s">
        <v>53</v>
      </c>
      <c r="L17" s="411">
        <f t="shared" si="0"/>
        <v>3690486.4840000002</v>
      </c>
      <c r="M17" s="420">
        <f t="shared" si="2"/>
        <v>10148837.831</v>
      </c>
      <c r="N17" s="420">
        <f t="shared" si="3"/>
        <v>1845243.2420000001</v>
      </c>
      <c r="O17" s="411">
        <f t="shared" si="4"/>
        <v>9539907.5611400008</v>
      </c>
      <c r="Q17" s="476">
        <f t="shared" si="5"/>
        <v>-0.47399999999999998</v>
      </c>
    </row>
    <row r="18" spans="2:17" ht="16.5" thickBot="1">
      <c r="B18" s="428"/>
      <c r="C18" s="429"/>
      <c r="D18" s="429"/>
      <c r="E18" s="430"/>
      <c r="F18" s="430"/>
      <c r="G18" s="431"/>
      <c r="H18" s="432"/>
      <c r="I18" s="433"/>
      <c r="L18" s="433"/>
    </row>
    <row r="19" spans="2:17" ht="87" customHeight="1" thickBot="1">
      <c r="B19" s="434" t="s">
        <v>149</v>
      </c>
      <c r="C19" s="435" t="s">
        <v>150</v>
      </c>
      <c r="D19" s="435" t="s">
        <v>151</v>
      </c>
      <c r="E19" s="435" t="s">
        <v>152</v>
      </c>
      <c r="F19" s="436" t="s">
        <v>153</v>
      </c>
      <c r="H19" s="437" t="s">
        <v>154</v>
      </c>
      <c r="I19" s="438">
        <f>SUM(I9:I17)</f>
        <v>888332582.5</v>
      </c>
      <c r="J19" s="439"/>
      <c r="L19" s="440" t="s">
        <v>154</v>
      </c>
      <c r="M19" s="441">
        <f>SUM(M9:M17)</f>
        <v>904348180.85700011</v>
      </c>
      <c r="N19" s="411">
        <f>M19/5.5</f>
        <v>164426941.97400001</v>
      </c>
      <c r="O19" s="441">
        <f>SUM(O9:O17)</f>
        <v>358447666.64454001</v>
      </c>
      <c r="Q19" s="479">
        <f>(M19-I19)/I19</f>
        <v>1.8028831399978636E-2</v>
      </c>
    </row>
    <row r="20" spans="2:17" ht="126">
      <c r="B20" s="442" t="s">
        <v>155</v>
      </c>
      <c r="C20" s="443" t="s">
        <v>156</v>
      </c>
      <c r="D20" s="812" t="s">
        <v>157</v>
      </c>
      <c r="E20" s="444">
        <v>108372917</v>
      </c>
      <c r="F20" s="445">
        <f>E20</f>
        <v>108372917</v>
      </c>
      <c r="H20" s="446" t="s">
        <v>158</v>
      </c>
      <c r="I20" s="447">
        <f>SUM(F20:F22)</f>
        <v>247763439</v>
      </c>
      <c r="J20" s="439"/>
      <c r="L20" s="448" t="s">
        <v>156</v>
      </c>
      <c r="M20" s="449">
        <f>F20*(1+5.2%)</f>
        <v>114008308.684</v>
      </c>
      <c r="N20" s="411">
        <f t="shared" ref="N20:N25" si="7">M20/5.5</f>
        <v>20728783.397090908</v>
      </c>
      <c r="O20" s="478">
        <f t="shared" ref="O20:O22" si="8">N20*5.17</f>
        <v>107167810.16295999</v>
      </c>
      <c r="Q20" s="480">
        <f>(M20-F20)/F20</f>
        <v>5.2000000000000005E-2</v>
      </c>
    </row>
    <row r="21" spans="2:17" ht="45.95" customHeight="1">
      <c r="B21" s="450" t="s">
        <v>159</v>
      </c>
      <c r="C21" s="451" t="s">
        <v>160</v>
      </c>
      <c r="D21" s="813"/>
      <c r="E21" s="452">
        <v>36109065</v>
      </c>
      <c r="F21" s="445">
        <f t="shared" ref="F21:F22" si="9">E21</f>
        <v>36109065</v>
      </c>
      <c r="H21" s="453" t="s">
        <v>68</v>
      </c>
      <c r="I21" s="454" cm="1">
        <f t="array" ref="I21">SUM(I19:I20*19%)</f>
        <v>215858244.08500001</v>
      </c>
      <c r="J21" s="439"/>
      <c r="L21" s="455" t="s">
        <v>160</v>
      </c>
      <c r="M21" s="449">
        <f>F21*(1+5.2%)</f>
        <v>37986736.380000003</v>
      </c>
      <c r="N21" s="411">
        <f t="shared" si="7"/>
        <v>6906679.3418181827</v>
      </c>
      <c r="O21" s="478">
        <f t="shared" si="8"/>
        <v>35707532.197200008</v>
      </c>
      <c r="Q21" s="480">
        <f t="shared" ref="Q21:Q22" si="10">(M21-F21)/F21</f>
        <v>5.2000000000000074E-2</v>
      </c>
    </row>
    <row r="22" spans="2:17" ht="48.95" customHeight="1" thickBot="1">
      <c r="B22" s="456" t="s">
        <v>161</v>
      </c>
      <c r="C22" s="457" t="s">
        <v>162</v>
      </c>
      <c r="D22" s="814"/>
      <c r="E22" s="458">
        <v>103281457</v>
      </c>
      <c r="F22" s="445">
        <f t="shared" si="9"/>
        <v>103281457</v>
      </c>
      <c r="L22" s="459" t="s">
        <v>162</v>
      </c>
      <c r="M22" s="449">
        <f>F22*(1+5.2%)</f>
        <v>108652092.764</v>
      </c>
      <c r="N22" s="411">
        <f t="shared" si="7"/>
        <v>19754925.957090911</v>
      </c>
      <c r="O22" s="478">
        <f t="shared" si="8"/>
        <v>102132967.19816001</v>
      </c>
      <c r="Q22" s="480">
        <f t="shared" si="10"/>
        <v>5.1999999999999984E-2</v>
      </c>
    </row>
    <row r="23" spans="2:17" ht="32.25" thickBot="1">
      <c r="H23" s="460" t="s">
        <v>163</v>
      </c>
      <c r="I23" s="461">
        <f>SUM(I19+I20+I21)</f>
        <v>1351954265.585</v>
      </c>
      <c r="J23" s="462"/>
      <c r="L23" s="463" t="s">
        <v>158</v>
      </c>
      <c r="M23" s="464">
        <f>SUM(M20:M22)</f>
        <v>260647137.82800001</v>
      </c>
      <c r="N23" s="411">
        <f t="shared" si="7"/>
        <v>47390388.696000002</v>
      </c>
      <c r="O23" s="441">
        <f>SUM(O20:O22)</f>
        <v>245008309.55831999</v>
      </c>
      <c r="Q23" s="480"/>
    </row>
    <row r="24" spans="2:17" ht="49.5" customHeight="1" thickBot="1">
      <c r="D24" s="397"/>
      <c r="E24" s="397"/>
      <c r="I24" s="465">
        <f>I23/5.5</f>
        <v>245809866.47</v>
      </c>
      <c r="J24" s="465"/>
      <c r="L24" s="466" t="s">
        <v>68</v>
      </c>
      <c r="M24" s="467">
        <f>(M19+M23)*19%</f>
        <v>221349110.55015004</v>
      </c>
      <c r="N24" s="411">
        <f t="shared" si="7"/>
        <v>40245292.827300005</v>
      </c>
      <c r="O24" s="477">
        <f>(O19+O23)*19%</f>
        <v>114656635.4785434</v>
      </c>
      <c r="Q24" s="480">
        <f>(M24-I21)/I21</f>
        <v>2.5437372051390596E-2</v>
      </c>
    </row>
    <row r="25" spans="2:17" ht="32.25" thickBot="1">
      <c r="I25" s="397"/>
      <c r="J25" s="397"/>
      <c r="L25" s="468" t="s">
        <v>163</v>
      </c>
      <c r="M25" s="469">
        <f>M19+M24+M23</f>
        <v>1386344429.2351503</v>
      </c>
      <c r="N25" s="411">
        <f t="shared" si="7"/>
        <v>252062623.49730006</v>
      </c>
      <c r="O25" s="449">
        <f>O19+O24+O23</f>
        <v>718112611.6814034</v>
      </c>
      <c r="Q25" s="480">
        <f>(M25-I23)/I23</f>
        <v>2.5437372051390683E-2</v>
      </c>
    </row>
    <row r="26" spans="2:17">
      <c r="C26" s="470"/>
      <c r="D26" s="470"/>
      <c r="E26" s="470"/>
      <c r="F26" s="470"/>
      <c r="H26" s="804" t="s">
        <v>164</v>
      </c>
      <c r="I26" s="804"/>
      <c r="J26" s="471"/>
      <c r="L26" s="471"/>
    </row>
    <row r="27" spans="2:17">
      <c r="B27" s="472"/>
      <c r="C27" s="472"/>
      <c r="D27" s="472"/>
      <c r="E27" s="472"/>
      <c r="F27" s="472"/>
      <c r="M27" s="473">
        <f>M25/5.5</f>
        <v>252062623.49730006</v>
      </c>
    </row>
    <row r="28" spans="2:17" ht="45" customHeight="1">
      <c r="B28" s="805" t="s">
        <v>165</v>
      </c>
      <c r="C28" s="806"/>
      <c r="D28" s="806"/>
      <c r="E28" s="806"/>
      <c r="F28" s="807"/>
      <c r="M28" s="473"/>
    </row>
    <row r="30" spans="2:17" ht="67.5" customHeight="1">
      <c r="B30" s="805" t="s">
        <v>166</v>
      </c>
      <c r="C30" s="806"/>
      <c r="D30" s="806"/>
      <c r="E30" s="806"/>
      <c r="F30" s="807"/>
    </row>
    <row r="32" spans="2:17" ht="98.25" customHeight="1">
      <c r="B32" s="808" t="s">
        <v>167</v>
      </c>
      <c r="C32" s="809"/>
      <c r="D32" s="809"/>
      <c r="E32" s="809"/>
      <c r="F32" s="810"/>
    </row>
  </sheetData>
  <sheetProtection deleteColumns="0" deleteRows="0"/>
  <protectedRanges>
    <protectedRange algorithmName="SHA-512" hashValue="fhAVjixdJyFoaNsgBFzxGpdWxZQhxw4U0N2MuXp+diaj7b3rIogkp/yUuMlgBoUG1vzu0fMtkFpmt8DeIzjVzg==" saltValue="E6FEgHeh132x85ahoV0WEA==" spinCount="100000" sqref="D24" name="Rango5"/>
    <protectedRange algorithmName="SHA-512" hashValue="tiyeulN4D2eMnBvwHD+PFBjlGwIelkoywUo2QfS4D3U5tT4rsDsMMaXPYkmhjOS7UE/VT1GvOqWPYVPWRbGtYg==" saltValue="oH2Byphf2uXUJRCm6kJ8kg==" spinCount="100000" sqref="H19:J21 L19 H23:J23 L23:L25" name="Rango4_1"/>
    <protectedRange algorithmName="SHA-512" hashValue="s6oeuG/1LPe+23GFRtC8oGnFVZlThznMqfaVuXICc2QJ5GvhoZiGeRSws3LNOXvdA3cQHFWBO52dN/no1FU9fg==" saltValue="eSKyD43vwL7yinkbZagu7w==" spinCount="100000" sqref="C20:F22 L20:L22" name="Rango3"/>
    <protectedRange algorithmName="SHA-512" hashValue="11uMgOOrZIxerj/E3ot0CMyQuXMZRt+YPfwkgK7ZqCYbjZ9A48R0gCRgcQv84CKeCPfZblWx8dri7nuxbQm7Gw==" saltValue="J8njnyZK7B5j9S30EjdMPQ==" spinCount="100000" sqref="I9:I17" name="Rango2"/>
    <protectedRange algorithmName="SHA-512" hashValue="5be52rzEF1IYVPdU3A2rFvU0dvMagDS+C1ge50pRl1UbxS70k4cp+3tbp4o3KbAf9w0w/Cz84FDnM1PoMMyGkA==" saltValue="ebR2jTMBZFT62fwC/9QMgg==" spinCount="100000" sqref="C9:H17 K9:K17" name="Rango1"/>
  </protectedRanges>
  <mergeCells count="10">
    <mergeCell ref="H26:I26"/>
    <mergeCell ref="B28:F28"/>
    <mergeCell ref="B30:F30"/>
    <mergeCell ref="B32:F32"/>
    <mergeCell ref="B2:M2"/>
    <mergeCell ref="B3:M3"/>
    <mergeCell ref="B4:M4"/>
    <mergeCell ref="B5:M5"/>
    <mergeCell ref="B6:M6"/>
    <mergeCell ref="D20:D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CF2E0-51B7-4001-83F3-AC49F19B1957}">
  <sheetPr>
    <tabColor rgb="FF0070C0"/>
  </sheetPr>
  <dimension ref="B1:AB47"/>
  <sheetViews>
    <sheetView topLeftCell="I7" zoomScale="70" zoomScaleNormal="70" workbookViewId="0">
      <selection activeCell="G9" sqref="G9"/>
    </sheetView>
  </sheetViews>
  <sheetFormatPr defaultColWidth="9.85546875" defaultRowHeight="15" customHeight="1"/>
  <cols>
    <col min="1" max="1" width="4.85546875" style="523" customWidth="1"/>
    <col min="2" max="2" width="17.85546875" style="523" customWidth="1"/>
    <col min="3" max="3" width="49.5703125" style="523" customWidth="1"/>
    <col min="4" max="4" width="39.5703125" style="523" customWidth="1"/>
    <col min="5" max="5" width="29.85546875" style="523" customWidth="1"/>
    <col min="6" max="6" width="19" style="523" customWidth="1"/>
    <col min="7" max="7" width="19.140625" style="523" customWidth="1"/>
    <col min="8" max="8" width="7.140625" style="523" customWidth="1"/>
    <col min="9" max="10" width="7.42578125" style="523" customWidth="1"/>
    <col min="11" max="11" width="17.28515625" style="523" bestFit="1" customWidth="1"/>
    <col min="12" max="12" width="17" style="523" bestFit="1" customWidth="1"/>
    <col min="13" max="13" width="14.42578125" style="523" customWidth="1"/>
    <col min="14" max="14" width="10.7109375" style="523" customWidth="1"/>
    <col min="15" max="15" width="8.140625" style="523" customWidth="1"/>
    <col min="16" max="16" width="13.140625" style="523" bestFit="1" customWidth="1"/>
    <col min="17" max="17" width="9.5703125" style="523" bestFit="1" customWidth="1"/>
    <col min="18" max="18" width="13.5703125" style="523" customWidth="1"/>
    <col min="19" max="19" width="11.140625" style="523" bestFit="1" customWidth="1"/>
    <col min="20" max="20" width="12.140625" style="523" bestFit="1" customWidth="1"/>
    <col min="21" max="21" width="12.140625" style="524" customWidth="1"/>
    <col min="22" max="22" width="12.28515625" style="523" customWidth="1"/>
    <col min="23" max="23" width="9.85546875" style="523" customWidth="1"/>
    <col min="24" max="24" width="13.28515625" style="523" customWidth="1"/>
    <col min="25" max="25" width="19.5703125" style="523" bestFit="1" customWidth="1"/>
    <col min="26" max="26" width="17.140625" style="523" customWidth="1"/>
    <col min="27" max="27" width="17.28515625" style="523" customWidth="1"/>
    <col min="28" max="28" width="19.85546875" style="523" customWidth="1"/>
    <col min="29" max="29" width="32.140625" style="523" customWidth="1"/>
    <col min="30" max="31" width="11.140625" style="523" bestFit="1" customWidth="1"/>
    <col min="32" max="32" width="9.85546875" style="523" customWidth="1"/>
    <col min="33" max="16384" width="9.85546875" style="523"/>
  </cols>
  <sheetData>
    <row r="1" spans="2:28" ht="7.5" customHeight="1"/>
    <row r="2" spans="2:28" ht="15" customHeight="1">
      <c r="B2" s="525"/>
      <c r="C2" s="818" t="s">
        <v>168</v>
      </c>
      <c r="D2" s="819"/>
      <c r="E2" s="819"/>
      <c r="F2" s="819"/>
      <c r="G2" s="819"/>
      <c r="H2" s="819"/>
      <c r="I2" s="819"/>
      <c r="J2" s="819"/>
      <c r="K2" s="819"/>
      <c r="L2" s="819"/>
      <c r="M2" s="819"/>
      <c r="N2" s="819"/>
      <c r="O2" s="819"/>
      <c r="P2" s="819"/>
      <c r="Q2" s="819"/>
      <c r="R2" s="819"/>
      <c r="S2" s="819"/>
      <c r="T2" s="819"/>
      <c r="U2" s="819"/>
      <c r="V2" s="819"/>
      <c r="W2" s="819"/>
      <c r="X2" s="819"/>
      <c r="Y2" s="819"/>
      <c r="Z2" s="819"/>
      <c r="AA2" s="819"/>
      <c r="AB2" s="820"/>
    </row>
    <row r="3" spans="2:28" s="529" customFormat="1" ht="15" customHeight="1">
      <c r="B3" s="526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  <c r="R3" s="527"/>
      <c r="S3" s="527"/>
      <c r="T3" s="527"/>
      <c r="U3" s="528"/>
      <c r="V3" s="527"/>
      <c r="W3" s="527"/>
      <c r="X3" s="527"/>
      <c r="Y3" s="527"/>
      <c r="Z3" s="527"/>
      <c r="AA3" s="527"/>
      <c r="AB3" s="527"/>
    </row>
    <row r="4" spans="2:28" ht="42" customHeight="1">
      <c r="B4" s="525"/>
      <c r="C4" s="821" t="s">
        <v>169</v>
      </c>
      <c r="D4" s="530"/>
      <c r="E4" s="531"/>
      <c r="F4" s="822" t="s">
        <v>170</v>
      </c>
      <c r="G4" s="821" t="s">
        <v>171</v>
      </c>
      <c r="H4" s="824" t="s">
        <v>172</v>
      </c>
      <c r="I4" s="824" t="s">
        <v>91</v>
      </c>
      <c r="J4" s="824" t="s">
        <v>173</v>
      </c>
      <c r="K4" s="817" t="s">
        <v>174</v>
      </c>
      <c r="L4" s="817" t="s">
        <v>175</v>
      </c>
      <c r="M4" s="532" t="s">
        <v>176</v>
      </c>
      <c r="N4" s="532" t="s">
        <v>177</v>
      </c>
      <c r="O4" s="532" t="s">
        <v>178</v>
      </c>
      <c r="P4" s="532" t="s">
        <v>179</v>
      </c>
      <c r="Q4" s="532" t="s">
        <v>180</v>
      </c>
      <c r="R4" s="532" t="s">
        <v>181</v>
      </c>
      <c r="S4" s="532" t="s">
        <v>182</v>
      </c>
      <c r="T4" s="532" t="s">
        <v>183</v>
      </c>
      <c r="U4" s="533" t="s">
        <v>184</v>
      </c>
      <c r="V4" s="817" t="s">
        <v>185</v>
      </c>
      <c r="W4" s="816" t="s">
        <v>186</v>
      </c>
      <c r="X4" s="816" t="s">
        <v>187</v>
      </c>
      <c r="Y4" s="817" t="s">
        <v>188</v>
      </c>
      <c r="Z4" s="816" t="s">
        <v>189</v>
      </c>
      <c r="AA4" s="816" t="s">
        <v>190</v>
      </c>
      <c r="AB4" s="816" t="s">
        <v>190</v>
      </c>
    </row>
    <row r="5" spans="2:28" ht="31.5" customHeight="1">
      <c r="B5" s="525"/>
      <c r="C5" s="821"/>
      <c r="D5" s="535" t="s">
        <v>191</v>
      </c>
      <c r="E5" s="536" t="s">
        <v>192</v>
      </c>
      <c r="F5" s="823"/>
      <c r="G5" s="821"/>
      <c r="H5" s="824"/>
      <c r="I5" s="824"/>
      <c r="J5" s="824"/>
      <c r="K5" s="817"/>
      <c r="L5" s="817"/>
      <c r="M5" s="534">
        <v>8.5000000000000006E-2</v>
      </c>
      <c r="N5" s="534">
        <v>0.12</v>
      </c>
      <c r="O5" s="534">
        <v>5.1999999999999998E-3</v>
      </c>
      <c r="P5" s="534">
        <v>8.3299999999999999E-2</v>
      </c>
      <c r="Q5" s="537">
        <v>0.01</v>
      </c>
      <c r="R5" s="534">
        <v>4.1666666666666699E-2</v>
      </c>
      <c r="S5" s="534">
        <v>8.3299999999999999E-2</v>
      </c>
      <c r="T5" s="534">
        <v>0.09</v>
      </c>
      <c r="U5" s="538">
        <v>0.19</v>
      </c>
      <c r="V5" s="817"/>
      <c r="W5" s="816"/>
      <c r="X5" s="816"/>
      <c r="Y5" s="817"/>
      <c r="Z5" s="816"/>
      <c r="AA5" s="816"/>
      <c r="AB5" s="816"/>
    </row>
    <row r="6" spans="2:28" s="555" customFormat="1" ht="30.75" customHeight="1">
      <c r="B6" s="525"/>
      <c r="C6" s="539" t="s">
        <v>101</v>
      </c>
      <c r="D6" s="540" t="s">
        <v>193</v>
      </c>
      <c r="E6" s="540" t="s">
        <v>194</v>
      </c>
      <c r="F6" s="541" t="s">
        <v>195</v>
      </c>
      <c r="G6" s="542">
        <f>VLOOKUP(F6,$C$27:$G$47,5,0)</f>
        <v>9238000</v>
      </c>
      <c r="H6" s="543">
        <v>1</v>
      </c>
      <c r="I6" s="544">
        <v>1</v>
      </c>
      <c r="J6" s="545">
        <v>29</v>
      </c>
      <c r="K6" s="546">
        <f>+F35</f>
        <v>8632000</v>
      </c>
      <c r="L6" s="547">
        <f t="shared" ref="L6:L14" si="0">(IF(K6&gt;0,IF(K6&lt;=($D$18*2),$D$19,0),0))</f>
        <v>0</v>
      </c>
      <c r="M6" s="547">
        <f t="shared" ref="M6:M14" si="1">IF(K6&gt;$D$18*10,($K6*0%),($K6*M$5))</f>
        <v>733720</v>
      </c>
      <c r="N6" s="547">
        <f t="shared" ref="N6:O14" si="2">($K6*N$5)</f>
        <v>1035840</v>
      </c>
      <c r="O6" s="547">
        <f t="shared" si="2"/>
        <v>44886.400000000001</v>
      </c>
      <c r="P6" s="548">
        <f>(($K6+$L6)*P$5)</f>
        <v>719045.6</v>
      </c>
      <c r="Q6" s="547">
        <f>(($L6+$K6)*Q$5)</f>
        <v>86320</v>
      </c>
      <c r="R6" s="547">
        <f>($K6*R$5)</f>
        <v>359666.66666666692</v>
      </c>
      <c r="S6" s="547">
        <f>(($K6+$L6)*S$5)</f>
        <v>719045.6</v>
      </c>
      <c r="T6" s="547">
        <f t="shared" ref="T6:T14" si="3">IF(K6&gt;($D$18*10),($K6*4%),($K6*T$5))</f>
        <v>776880</v>
      </c>
      <c r="U6" s="549">
        <f t="shared" ref="U6:U14" si="4">IF(L6&gt;($D$18*10),($K6*4%),($K6*U$5))</f>
        <v>1640080</v>
      </c>
      <c r="V6" s="547">
        <f>SUM(K6:U6)</f>
        <v>14747484.266666666</v>
      </c>
      <c r="W6" s="550">
        <f>IFERROR(V6/K6,0)</f>
        <v>1.7084666666666666</v>
      </c>
      <c r="X6" s="551">
        <f t="shared" ref="X6:X14" si="5">IF(K6&gt;0,IF(K6&lt;=($D$18*2),$D$20,0),0)</f>
        <v>0</v>
      </c>
      <c r="Y6" s="552">
        <f>ROUNDUP((V6+X6),0)</f>
        <v>14747485</v>
      </c>
      <c r="Z6" s="553">
        <f>IFERROR(Y6/K6,0)</f>
        <v>1.7084667516218721</v>
      </c>
      <c r="AA6" s="554">
        <f>ROUND(I6*J6*Y6,0)</f>
        <v>427677065</v>
      </c>
      <c r="AB6" s="554">
        <f>ROUND(AA6*H6,0)</f>
        <v>427677065</v>
      </c>
    </row>
    <row r="7" spans="2:28" s="555" customFormat="1" ht="30.75" customHeight="1">
      <c r="B7" s="525"/>
      <c r="C7" s="556" t="s">
        <v>102</v>
      </c>
      <c r="D7" s="540" t="s">
        <v>193</v>
      </c>
      <c r="E7" s="583" t="s">
        <v>196</v>
      </c>
      <c r="F7" s="541" t="s">
        <v>197</v>
      </c>
      <c r="G7" s="542">
        <f>VLOOKUP(F7,$C$27:$G$47,5,0)</f>
        <v>8631000</v>
      </c>
      <c r="H7" s="543">
        <v>1</v>
      </c>
      <c r="I7" s="544">
        <v>1</v>
      </c>
      <c r="J7" s="545">
        <v>29</v>
      </c>
      <c r="K7" s="546">
        <f>+F36</f>
        <v>7269000</v>
      </c>
      <c r="L7" s="547">
        <f t="shared" si="0"/>
        <v>0</v>
      </c>
      <c r="M7" s="547">
        <f t="shared" si="1"/>
        <v>617865</v>
      </c>
      <c r="N7" s="547">
        <f t="shared" si="2"/>
        <v>872280</v>
      </c>
      <c r="O7" s="547">
        <f t="shared" si="2"/>
        <v>37798.799999999996</v>
      </c>
      <c r="P7" s="548">
        <f t="shared" ref="P7:P14" si="6">(($K7+$L7)*P$5)</f>
        <v>605507.69999999995</v>
      </c>
      <c r="Q7" s="547">
        <f t="shared" ref="Q7:Q14" si="7">(($L7+$K7)*Q$5)</f>
        <v>72690</v>
      </c>
      <c r="R7" s="547">
        <f t="shared" ref="R7:R14" si="8">($K7*R$5)</f>
        <v>302875.00000000023</v>
      </c>
      <c r="S7" s="547">
        <f t="shared" ref="S7:S14" si="9">(($K7+$L7)*S$5)</f>
        <v>605507.69999999995</v>
      </c>
      <c r="T7" s="547">
        <f t="shared" si="3"/>
        <v>654210</v>
      </c>
      <c r="U7" s="549">
        <f t="shared" si="4"/>
        <v>1381110</v>
      </c>
      <c r="V7" s="547">
        <f t="shared" ref="V7:V13" si="10">SUM(K7:U7)</f>
        <v>12418844.199999999</v>
      </c>
      <c r="W7" s="550">
        <f t="shared" ref="W7:W13" si="11">IFERROR(V7/K7,0)</f>
        <v>1.7084666666666666</v>
      </c>
      <c r="X7" s="551">
        <f t="shared" si="5"/>
        <v>0</v>
      </c>
      <c r="Y7" s="552">
        <f t="shared" ref="Y7:Y13" si="12">ROUNDUP((V7+X7),0)</f>
        <v>12418845</v>
      </c>
      <c r="Z7" s="553">
        <f t="shared" ref="Z7:Z13" si="13">IFERROR(Y7/K7,0)</f>
        <v>1.7084667767230706</v>
      </c>
      <c r="AA7" s="554">
        <f t="shared" ref="AA7:AA13" si="14">ROUND(I7*J7*Y7,0)</f>
        <v>360146505</v>
      </c>
      <c r="AB7" s="554">
        <f t="shared" ref="AB7:AB13" si="15">ROUND(AA7*H7,0)</f>
        <v>360146505</v>
      </c>
    </row>
    <row r="8" spans="2:28" s="555" customFormat="1" ht="30.75" customHeight="1">
      <c r="B8" s="525"/>
      <c r="C8" s="556" t="s">
        <v>103</v>
      </c>
      <c r="D8" s="540" t="s">
        <v>193</v>
      </c>
      <c r="E8" s="540" t="s">
        <v>198</v>
      </c>
      <c r="F8" s="541" t="s">
        <v>197</v>
      </c>
      <c r="G8" s="542">
        <f>VLOOKUP(F8,$C$27:$G$47,5,0)</f>
        <v>8631000</v>
      </c>
      <c r="H8" s="543">
        <v>1</v>
      </c>
      <c r="I8" s="544">
        <v>1</v>
      </c>
      <c r="J8" s="545">
        <v>29</v>
      </c>
      <c r="K8" s="546">
        <f>+F37</f>
        <v>6663000</v>
      </c>
      <c r="L8" s="547">
        <f t="shared" si="0"/>
        <v>0</v>
      </c>
      <c r="M8" s="547">
        <f t="shared" si="1"/>
        <v>566355</v>
      </c>
      <c r="N8" s="547">
        <f t="shared" si="2"/>
        <v>799560</v>
      </c>
      <c r="O8" s="547">
        <f t="shared" si="2"/>
        <v>34647.599999999999</v>
      </c>
      <c r="P8" s="548">
        <f t="shared" si="6"/>
        <v>555027.9</v>
      </c>
      <c r="Q8" s="547">
        <f t="shared" si="7"/>
        <v>66630</v>
      </c>
      <c r="R8" s="547">
        <f t="shared" si="8"/>
        <v>277625.00000000023</v>
      </c>
      <c r="S8" s="547">
        <f t="shared" si="9"/>
        <v>555027.9</v>
      </c>
      <c r="T8" s="547">
        <f t="shared" si="3"/>
        <v>599670</v>
      </c>
      <c r="U8" s="549">
        <f t="shared" si="4"/>
        <v>1265970</v>
      </c>
      <c r="V8" s="547">
        <f t="shared" si="10"/>
        <v>11383513.4</v>
      </c>
      <c r="W8" s="550">
        <f t="shared" si="11"/>
        <v>1.7084666666666668</v>
      </c>
      <c r="X8" s="551">
        <f t="shared" si="5"/>
        <v>0</v>
      </c>
      <c r="Y8" s="552">
        <f t="shared" si="12"/>
        <v>11383514</v>
      </c>
      <c r="Z8" s="553">
        <f t="shared" si="13"/>
        <v>1.708466756716194</v>
      </c>
      <c r="AA8" s="554">
        <f t="shared" si="14"/>
        <v>330121906</v>
      </c>
      <c r="AB8" s="554">
        <f t="shared" si="15"/>
        <v>330121906</v>
      </c>
    </row>
    <row r="9" spans="2:28" s="555" customFormat="1" ht="30.75" customHeight="1">
      <c r="B9" s="525"/>
      <c r="C9" s="556" t="s">
        <v>104</v>
      </c>
      <c r="D9" s="540" t="s">
        <v>199</v>
      </c>
      <c r="E9" s="540" t="s">
        <v>196</v>
      </c>
      <c r="F9" s="541" t="s">
        <v>200</v>
      </c>
      <c r="G9" s="584">
        <f t="shared" ref="G9:G14" si="16">VLOOKUP(F9,$C$27:$G$47,5,0)</f>
        <v>7268000</v>
      </c>
      <c r="H9" s="543">
        <v>1</v>
      </c>
      <c r="I9" s="544">
        <v>1</v>
      </c>
      <c r="J9" s="545">
        <v>29</v>
      </c>
      <c r="K9" s="546">
        <f>+F38</f>
        <v>5149000</v>
      </c>
      <c r="L9" s="547">
        <f t="shared" si="0"/>
        <v>0</v>
      </c>
      <c r="M9" s="547">
        <f t="shared" si="1"/>
        <v>437665.00000000006</v>
      </c>
      <c r="N9" s="547">
        <f t="shared" si="2"/>
        <v>617880</v>
      </c>
      <c r="O9" s="547">
        <f t="shared" si="2"/>
        <v>26774.799999999999</v>
      </c>
      <c r="P9" s="548">
        <f t="shared" si="6"/>
        <v>428911.7</v>
      </c>
      <c r="Q9" s="547">
        <f t="shared" si="7"/>
        <v>51490</v>
      </c>
      <c r="R9" s="547">
        <f t="shared" si="8"/>
        <v>214541.66666666683</v>
      </c>
      <c r="S9" s="547">
        <f t="shared" si="9"/>
        <v>428911.7</v>
      </c>
      <c r="T9" s="547">
        <f t="shared" si="3"/>
        <v>463410</v>
      </c>
      <c r="U9" s="549">
        <f t="shared" si="4"/>
        <v>978310</v>
      </c>
      <c r="V9" s="547">
        <f t="shared" si="10"/>
        <v>8796894.8666666672</v>
      </c>
      <c r="W9" s="550">
        <f t="shared" si="11"/>
        <v>1.7084666666666668</v>
      </c>
      <c r="X9" s="551">
        <f t="shared" si="5"/>
        <v>0</v>
      </c>
      <c r="Y9" s="552">
        <f t="shared" si="12"/>
        <v>8796895</v>
      </c>
      <c r="Z9" s="553">
        <f t="shared" si="13"/>
        <v>1.7084666925616625</v>
      </c>
      <c r="AA9" s="554">
        <f t="shared" si="14"/>
        <v>255109955</v>
      </c>
      <c r="AB9" s="554">
        <f t="shared" si="15"/>
        <v>255109955</v>
      </c>
    </row>
    <row r="10" spans="2:28" s="555" customFormat="1" ht="30.75" customHeight="1">
      <c r="B10" s="525"/>
      <c r="C10" s="556" t="s">
        <v>105</v>
      </c>
      <c r="D10" s="540" t="s">
        <v>193</v>
      </c>
      <c r="E10" s="540" t="s">
        <v>198</v>
      </c>
      <c r="F10" s="541" t="s">
        <v>197</v>
      </c>
      <c r="G10" s="542">
        <f t="shared" si="16"/>
        <v>8631000</v>
      </c>
      <c r="H10" s="543">
        <v>1</v>
      </c>
      <c r="I10" s="544">
        <v>1</v>
      </c>
      <c r="J10" s="545">
        <v>29</v>
      </c>
      <c r="K10" s="546">
        <f>+F35</f>
        <v>8632000</v>
      </c>
      <c r="L10" s="547">
        <f t="shared" si="0"/>
        <v>0</v>
      </c>
      <c r="M10" s="547">
        <f t="shared" si="1"/>
        <v>733720</v>
      </c>
      <c r="N10" s="547">
        <f t="shared" si="2"/>
        <v>1035840</v>
      </c>
      <c r="O10" s="547">
        <f t="shared" si="2"/>
        <v>44886.400000000001</v>
      </c>
      <c r="P10" s="548">
        <f t="shared" si="6"/>
        <v>719045.6</v>
      </c>
      <c r="Q10" s="547">
        <f t="shared" si="7"/>
        <v>86320</v>
      </c>
      <c r="R10" s="547">
        <f t="shared" si="8"/>
        <v>359666.66666666692</v>
      </c>
      <c r="S10" s="547">
        <f t="shared" si="9"/>
        <v>719045.6</v>
      </c>
      <c r="T10" s="547">
        <f t="shared" si="3"/>
        <v>776880</v>
      </c>
      <c r="U10" s="549">
        <f t="shared" si="4"/>
        <v>1640080</v>
      </c>
      <c r="V10" s="547">
        <f t="shared" si="10"/>
        <v>14747484.266666666</v>
      </c>
      <c r="W10" s="550">
        <f t="shared" si="11"/>
        <v>1.7084666666666666</v>
      </c>
      <c r="X10" s="551">
        <f t="shared" si="5"/>
        <v>0</v>
      </c>
      <c r="Y10" s="552">
        <f t="shared" si="12"/>
        <v>14747485</v>
      </c>
      <c r="Z10" s="553">
        <f t="shared" si="13"/>
        <v>1.7084667516218721</v>
      </c>
      <c r="AA10" s="554">
        <f t="shared" si="14"/>
        <v>427677065</v>
      </c>
      <c r="AB10" s="554">
        <f t="shared" si="15"/>
        <v>427677065</v>
      </c>
    </row>
    <row r="11" spans="2:28" s="555" customFormat="1" ht="30.75" customHeight="1">
      <c r="B11" s="525"/>
      <c r="C11" s="556" t="s">
        <v>106</v>
      </c>
      <c r="D11" s="540" t="s">
        <v>193</v>
      </c>
      <c r="E11" s="579" t="s">
        <v>196</v>
      </c>
      <c r="F11" s="541" t="s">
        <v>197</v>
      </c>
      <c r="G11" s="542">
        <f t="shared" si="16"/>
        <v>8631000</v>
      </c>
      <c r="H11" s="543">
        <v>1</v>
      </c>
      <c r="I11" s="544">
        <v>1</v>
      </c>
      <c r="J11" s="545">
        <v>29</v>
      </c>
      <c r="K11" s="546">
        <f>+F36</f>
        <v>7269000</v>
      </c>
      <c r="L11" s="547">
        <f t="shared" si="0"/>
        <v>0</v>
      </c>
      <c r="M11" s="547">
        <f t="shared" si="1"/>
        <v>617865</v>
      </c>
      <c r="N11" s="547">
        <f t="shared" si="2"/>
        <v>872280</v>
      </c>
      <c r="O11" s="547">
        <f t="shared" si="2"/>
        <v>37798.799999999996</v>
      </c>
      <c r="P11" s="548">
        <f t="shared" si="6"/>
        <v>605507.69999999995</v>
      </c>
      <c r="Q11" s="547">
        <f t="shared" si="7"/>
        <v>72690</v>
      </c>
      <c r="R11" s="547">
        <f t="shared" si="8"/>
        <v>302875.00000000023</v>
      </c>
      <c r="S11" s="547">
        <f t="shared" si="9"/>
        <v>605507.69999999995</v>
      </c>
      <c r="T11" s="547">
        <f t="shared" si="3"/>
        <v>654210</v>
      </c>
      <c r="U11" s="549">
        <f t="shared" si="4"/>
        <v>1381110</v>
      </c>
      <c r="V11" s="547">
        <f t="shared" si="10"/>
        <v>12418844.199999999</v>
      </c>
      <c r="W11" s="550">
        <f t="shared" si="11"/>
        <v>1.7084666666666666</v>
      </c>
      <c r="X11" s="551">
        <f t="shared" si="5"/>
        <v>0</v>
      </c>
      <c r="Y11" s="552">
        <f t="shared" si="12"/>
        <v>12418845</v>
      </c>
      <c r="Z11" s="553">
        <f t="shared" si="13"/>
        <v>1.7084667767230706</v>
      </c>
      <c r="AA11" s="554">
        <f t="shared" si="14"/>
        <v>360146505</v>
      </c>
      <c r="AB11" s="554">
        <f t="shared" si="15"/>
        <v>360146505</v>
      </c>
    </row>
    <row r="12" spans="2:28" s="555" customFormat="1" ht="30.75" customHeight="1">
      <c r="B12" s="525"/>
      <c r="C12" s="556" t="s">
        <v>108</v>
      </c>
      <c r="D12" s="557" t="s">
        <v>201</v>
      </c>
      <c r="E12" s="540" t="s">
        <v>196</v>
      </c>
      <c r="F12" s="558" t="s">
        <v>202</v>
      </c>
      <c r="G12" s="542">
        <f t="shared" si="16"/>
        <v>4441000</v>
      </c>
      <c r="H12" s="543">
        <v>28</v>
      </c>
      <c r="I12" s="544">
        <v>1</v>
      </c>
      <c r="J12" s="545">
        <v>29</v>
      </c>
      <c r="K12" s="546">
        <v>4232000</v>
      </c>
      <c r="L12" s="547">
        <f t="shared" si="0"/>
        <v>0</v>
      </c>
      <c r="M12" s="547">
        <f t="shared" si="1"/>
        <v>359720</v>
      </c>
      <c r="N12" s="547">
        <f t="shared" si="2"/>
        <v>507840</v>
      </c>
      <c r="O12" s="547">
        <f t="shared" si="2"/>
        <v>22006.399999999998</v>
      </c>
      <c r="P12" s="548">
        <f t="shared" si="6"/>
        <v>352525.6</v>
      </c>
      <c r="Q12" s="547">
        <f t="shared" si="7"/>
        <v>42320</v>
      </c>
      <c r="R12" s="547">
        <f t="shared" si="8"/>
        <v>176333.33333333346</v>
      </c>
      <c r="S12" s="547">
        <f t="shared" si="9"/>
        <v>352525.6</v>
      </c>
      <c r="T12" s="547">
        <f t="shared" si="3"/>
        <v>380880</v>
      </c>
      <c r="U12" s="549">
        <f t="shared" si="4"/>
        <v>804080</v>
      </c>
      <c r="V12" s="547">
        <f t="shared" si="10"/>
        <v>7230230.9333333327</v>
      </c>
      <c r="W12" s="550">
        <f t="shared" si="11"/>
        <v>1.7084666666666666</v>
      </c>
      <c r="X12" s="551">
        <f t="shared" si="5"/>
        <v>0</v>
      </c>
      <c r="Y12" s="552">
        <f t="shared" si="12"/>
        <v>7230231</v>
      </c>
      <c r="Z12" s="553">
        <f t="shared" si="13"/>
        <v>1.7084666824196597</v>
      </c>
      <c r="AA12" s="554">
        <f t="shared" si="14"/>
        <v>209676699</v>
      </c>
      <c r="AB12" s="554">
        <f t="shared" si="15"/>
        <v>5870947572</v>
      </c>
    </row>
    <row r="13" spans="2:28" s="555" customFormat="1" ht="30.75" customHeight="1">
      <c r="B13" s="525"/>
      <c r="C13" s="556" t="s">
        <v>203</v>
      </c>
      <c r="D13" s="557" t="s">
        <v>201</v>
      </c>
      <c r="E13" s="540" t="s">
        <v>204</v>
      </c>
      <c r="F13" s="558" t="s">
        <v>205</v>
      </c>
      <c r="G13" s="542">
        <f t="shared" si="16"/>
        <v>4231000</v>
      </c>
      <c r="H13" s="543">
        <v>28</v>
      </c>
      <c r="I13" s="544">
        <v>1</v>
      </c>
      <c r="J13" s="545">
        <v>29</v>
      </c>
      <c r="K13" s="546">
        <v>4232000</v>
      </c>
      <c r="L13" s="547">
        <f t="shared" si="0"/>
        <v>0</v>
      </c>
      <c r="M13" s="547">
        <f t="shared" si="1"/>
        <v>359720</v>
      </c>
      <c r="N13" s="547">
        <f t="shared" si="2"/>
        <v>507840</v>
      </c>
      <c r="O13" s="547">
        <f t="shared" si="2"/>
        <v>22006.399999999998</v>
      </c>
      <c r="P13" s="548">
        <f t="shared" si="6"/>
        <v>352525.6</v>
      </c>
      <c r="Q13" s="547">
        <f t="shared" si="7"/>
        <v>42320</v>
      </c>
      <c r="R13" s="547">
        <f t="shared" si="8"/>
        <v>176333.33333333346</v>
      </c>
      <c r="S13" s="547">
        <f t="shared" si="9"/>
        <v>352525.6</v>
      </c>
      <c r="T13" s="547">
        <f t="shared" si="3"/>
        <v>380880</v>
      </c>
      <c r="U13" s="549">
        <f t="shared" si="4"/>
        <v>804080</v>
      </c>
      <c r="V13" s="547">
        <f t="shared" si="10"/>
        <v>7230230.9333333327</v>
      </c>
      <c r="W13" s="550">
        <f t="shared" si="11"/>
        <v>1.7084666666666666</v>
      </c>
      <c r="X13" s="551">
        <f t="shared" si="5"/>
        <v>0</v>
      </c>
      <c r="Y13" s="552">
        <f t="shared" si="12"/>
        <v>7230231</v>
      </c>
      <c r="Z13" s="553">
        <f t="shared" si="13"/>
        <v>1.7084666824196597</v>
      </c>
      <c r="AA13" s="554">
        <f t="shared" si="14"/>
        <v>209676699</v>
      </c>
      <c r="AB13" s="554">
        <f t="shared" si="15"/>
        <v>5870947572</v>
      </c>
    </row>
    <row r="14" spans="2:28" s="555" customFormat="1" ht="30.75" customHeight="1">
      <c r="B14" s="525"/>
      <c r="C14" s="556" t="s">
        <v>110</v>
      </c>
      <c r="D14" s="557" t="s">
        <v>201</v>
      </c>
      <c r="E14" s="540" t="s">
        <v>206</v>
      </c>
      <c r="F14" s="558" t="s">
        <v>207</v>
      </c>
      <c r="G14" s="542">
        <f t="shared" si="16"/>
        <v>3989000</v>
      </c>
      <c r="H14" s="543">
        <v>28</v>
      </c>
      <c r="I14" s="544">
        <v>1</v>
      </c>
      <c r="J14" s="545">
        <v>29</v>
      </c>
      <c r="K14" s="546">
        <v>4232000</v>
      </c>
      <c r="L14" s="547">
        <f t="shared" si="0"/>
        <v>0</v>
      </c>
      <c r="M14" s="547">
        <f t="shared" si="1"/>
        <v>359720</v>
      </c>
      <c r="N14" s="547">
        <f t="shared" si="2"/>
        <v>507840</v>
      </c>
      <c r="O14" s="547">
        <f t="shared" si="2"/>
        <v>22006.399999999998</v>
      </c>
      <c r="P14" s="548">
        <f t="shared" si="6"/>
        <v>352525.6</v>
      </c>
      <c r="Q14" s="547">
        <f t="shared" si="7"/>
        <v>42320</v>
      </c>
      <c r="R14" s="547">
        <f t="shared" si="8"/>
        <v>176333.33333333346</v>
      </c>
      <c r="S14" s="547">
        <f t="shared" si="9"/>
        <v>352525.6</v>
      </c>
      <c r="T14" s="547">
        <f t="shared" si="3"/>
        <v>380880</v>
      </c>
      <c r="U14" s="549">
        <f t="shared" si="4"/>
        <v>804080</v>
      </c>
      <c r="V14" s="547">
        <f t="shared" ref="V14" si="17">SUM(K14:U14)</f>
        <v>7230230.9333333327</v>
      </c>
      <c r="W14" s="550">
        <f t="shared" ref="W14" si="18">IFERROR(V14/K14,0)</f>
        <v>1.7084666666666666</v>
      </c>
      <c r="X14" s="551">
        <f t="shared" si="5"/>
        <v>0</v>
      </c>
      <c r="Y14" s="552">
        <f t="shared" ref="Y14" si="19">ROUNDUP((V14+X14),0)</f>
        <v>7230231</v>
      </c>
      <c r="Z14" s="553">
        <f t="shared" ref="Z14" si="20">IFERROR(Y14/K14,0)</f>
        <v>1.7084666824196597</v>
      </c>
      <c r="AA14" s="554">
        <f t="shared" ref="AA14" si="21">ROUND(I14*J14*Y14,0)</f>
        <v>209676699</v>
      </c>
      <c r="AB14" s="554">
        <f t="shared" ref="AB14" si="22">ROUND(AA14*H14,0)</f>
        <v>5870947572</v>
      </c>
    </row>
    <row r="15" spans="2:28" ht="15" customHeight="1">
      <c r="J15" s="559"/>
      <c r="K15" s="559"/>
      <c r="L15" s="559"/>
    </row>
    <row r="16" spans="2:28" ht="15" customHeight="1">
      <c r="E16" s="559"/>
      <c r="F16" s="559"/>
      <c r="G16" s="559"/>
      <c r="H16" s="559"/>
      <c r="I16" s="559"/>
      <c r="J16" s="559"/>
    </row>
    <row r="17" spans="2:26" ht="15" customHeight="1">
      <c r="C17" s="560" t="s">
        <v>208</v>
      </c>
      <c r="D17" s="561"/>
      <c r="E17" s="559"/>
      <c r="F17" s="559"/>
      <c r="G17" s="559"/>
      <c r="H17" s="559"/>
      <c r="I17" s="559"/>
      <c r="J17" s="559"/>
      <c r="Y17" s="562"/>
      <c r="Z17" s="563"/>
    </row>
    <row r="18" spans="2:26" ht="15" customHeight="1">
      <c r="C18" s="564" t="s">
        <v>209</v>
      </c>
      <c r="D18" s="565">
        <v>1423500</v>
      </c>
      <c r="E18" s="559"/>
      <c r="F18" s="559"/>
      <c r="G18" s="559"/>
      <c r="H18" s="559"/>
      <c r="I18" s="559"/>
      <c r="J18" s="559"/>
      <c r="Y18" s="562"/>
      <c r="Z18" s="563"/>
    </row>
    <row r="19" spans="2:26" ht="15" customHeight="1">
      <c r="C19" s="564" t="s">
        <v>210</v>
      </c>
      <c r="D19" s="565">
        <v>200000</v>
      </c>
      <c r="E19" s="559"/>
      <c r="F19" s="559"/>
      <c r="G19" s="559"/>
      <c r="H19" s="559"/>
      <c r="I19" s="559"/>
      <c r="J19" s="559"/>
      <c r="Y19" s="562"/>
      <c r="Z19" s="563"/>
    </row>
    <row r="20" spans="2:26" ht="15" customHeight="1">
      <c r="C20" s="566"/>
      <c r="D20" s="567"/>
      <c r="E20" s="559"/>
      <c r="F20" s="559"/>
      <c r="G20" s="559"/>
      <c r="H20" s="559"/>
      <c r="I20" s="559"/>
      <c r="J20" s="559"/>
      <c r="Y20" s="562"/>
      <c r="Z20" s="563"/>
    </row>
    <row r="21" spans="2:26" ht="15" customHeight="1">
      <c r="C21" s="568" t="s">
        <v>211</v>
      </c>
      <c r="D21" s="569">
        <f>D18*2</f>
        <v>2847000</v>
      </c>
      <c r="E21" s="559"/>
      <c r="F21" s="559"/>
      <c r="G21" s="559"/>
      <c r="H21" s="559"/>
      <c r="I21" s="559"/>
      <c r="J21" s="559"/>
      <c r="Y21" s="562"/>
      <c r="Z21" s="563"/>
    </row>
    <row r="22" spans="2:26" ht="15" customHeight="1">
      <c r="E22" s="559"/>
      <c r="F22" s="559"/>
      <c r="G22" s="559"/>
      <c r="H22" s="559"/>
      <c r="I22" s="559"/>
      <c r="J22" s="559"/>
    </row>
    <row r="23" spans="2:26" ht="15" customHeight="1">
      <c r="E23" s="559"/>
      <c r="F23" s="559"/>
      <c r="G23" s="559"/>
      <c r="H23" s="559"/>
      <c r="I23" s="559"/>
      <c r="J23" s="559"/>
    </row>
    <row r="24" spans="2:26" ht="15" customHeight="1">
      <c r="E24" s="559"/>
      <c r="F24" s="559"/>
      <c r="G24" s="559"/>
      <c r="H24" s="559"/>
      <c r="I24" s="559"/>
      <c r="J24" s="559"/>
    </row>
    <row r="25" spans="2:26" ht="30" customHeight="1">
      <c r="H25" s="559"/>
      <c r="I25" s="559"/>
      <c r="J25" s="559"/>
    </row>
    <row r="26" spans="2:26" ht="30" customHeight="1">
      <c r="C26" s="570" t="s">
        <v>212</v>
      </c>
      <c r="D26" s="570" t="s">
        <v>213</v>
      </c>
      <c r="E26" s="571" t="s">
        <v>214</v>
      </c>
      <c r="F26" s="571" t="s">
        <v>215</v>
      </c>
      <c r="G26" s="571" t="s">
        <v>216</v>
      </c>
      <c r="H26" s="559"/>
      <c r="I26" s="559"/>
      <c r="J26" s="559"/>
    </row>
    <row r="27" spans="2:26" s="555" customFormat="1" ht="40.5" customHeight="1">
      <c r="B27" s="815" t="s">
        <v>217</v>
      </c>
      <c r="C27" s="572" t="s">
        <v>218</v>
      </c>
      <c r="D27" s="572" t="s">
        <v>219</v>
      </c>
      <c r="E27" s="573" t="s">
        <v>220</v>
      </c>
      <c r="F27" s="574">
        <v>25501000</v>
      </c>
      <c r="G27" s="574">
        <v>28500000</v>
      </c>
      <c r="H27" s="559"/>
      <c r="I27" s="559"/>
      <c r="J27" s="559"/>
      <c r="U27" s="575"/>
    </row>
    <row r="28" spans="2:26" s="555" customFormat="1" ht="15" customHeight="1">
      <c r="B28" s="815"/>
      <c r="C28" s="572" t="s">
        <v>221</v>
      </c>
      <c r="D28" s="572" t="s">
        <v>219</v>
      </c>
      <c r="E28" s="572" t="s">
        <v>222</v>
      </c>
      <c r="F28" s="576">
        <v>22531000</v>
      </c>
      <c r="G28" s="576">
        <v>25500000</v>
      </c>
      <c r="U28" s="575"/>
    </row>
    <row r="29" spans="2:26" s="555" customFormat="1" ht="15" customHeight="1">
      <c r="B29" s="815"/>
      <c r="C29" s="572" t="s">
        <v>223</v>
      </c>
      <c r="D29" s="572" t="s">
        <v>224</v>
      </c>
      <c r="E29" s="572" t="s">
        <v>225</v>
      </c>
      <c r="F29" s="576">
        <v>19530000</v>
      </c>
      <c r="G29" s="576">
        <v>22530000</v>
      </c>
      <c r="U29" s="575"/>
    </row>
    <row r="30" spans="2:26" s="555" customFormat="1" ht="15" customHeight="1">
      <c r="B30" s="815"/>
      <c r="C30" s="572" t="s">
        <v>226</v>
      </c>
      <c r="D30" s="572" t="s">
        <v>224</v>
      </c>
      <c r="E30" s="572" t="s">
        <v>227</v>
      </c>
      <c r="F30" s="576">
        <v>17415000</v>
      </c>
      <c r="G30" s="576">
        <v>19529000</v>
      </c>
      <c r="U30" s="575"/>
    </row>
    <row r="31" spans="2:26" s="555" customFormat="1" ht="15" customHeight="1">
      <c r="B31" s="815"/>
      <c r="C31" s="572" t="s">
        <v>228</v>
      </c>
      <c r="D31" s="572" t="s">
        <v>224</v>
      </c>
      <c r="E31" s="572" t="s">
        <v>229</v>
      </c>
      <c r="F31" s="576">
        <v>14235000</v>
      </c>
      <c r="G31" s="576">
        <v>17414000</v>
      </c>
      <c r="U31" s="575"/>
    </row>
    <row r="32" spans="2:26" s="555" customFormat="1" ht="15" customHeight="1">
      <c r="B32" s="815"/>
      <c r="C32" s="572" t="s">
        <v>230</v>
      </c>
      <c r="D32" s="572" t="s">
        <v>224</v>
      </c>
      <c r="E32" s="572" t="s">
        <v>231</v>
      </c>
      <c r="F32" s="576">
        <v>12184000</v>
      </c>
      <c r="G32" s="576">
        <v>14234000</v>
      </c>
      <c r="U32" s="575"/>
    </row>
    <row r="33" spans="2:21" s="555" customFormat="1" ht="15" customHeight="1">
      <c r="B33" s="815"/>
      <c r="C33" s="572" t="s">
        <v>232</v>
      </c>
      <c r="D33" s="572" t="s">
        <v>233</v>
      </c>
      <c r="E33" s="572" t="s">
        <v>231</v>
      </c>
      <c r="F33" s="576">
        <v>10600000</v>
      </c>
      <c r="G33" s="576">
        <v>12183000</v>
      </c>
      <c r="U33" s="575"/>
    </row>
    <row r="34" spans="2:21" s="555" customFormat="1" ht="15" customHeight="1">
      <c r="B34" s="815"/>
      <c r="C34" s="572" t="s">
        <v>234</v>
      </c>
      <c r="D34" s="572" t="s">
        <v>233</v>
      </c>
      <c r="E34" s="572" t="s">
        <v>235</v>
      </c>
      <c r="F34" s="576">
        <v>9239000</v>
      </c>
      <c r="G34" s="576">
        <v>10599000</v>
      </c>
      <c r="U34" s="575"/>
    </row>
    <row r="35" spans="2:21" s="555" customFormat="1" ht="15" customHeight="1">
      <c r="B35" s="815"/>
      <c r="C35" s="572" t="s">
        <v>195</v>
      </c>
      <c r="D35" s="572" t="s">
        <v>233</v>
      </c>
      <c r="E35" s="572" t="s">
        <v>236</v>
      </c>
      <c r="F35" s="577">
        <v>8632000</v>
      </c>
      <c r="G35" s="577">
        <v>9238000</v>
      </c>
      <c r="U35" s="575"/>
    </row>
    <row r="36" spans="2:21" s="555" customFormat="1" ht="15" customHeight="1">
      <c r="B36" s="815"/>
      <c r="C36" s="572" t="s">
        <v>197</v>
      </c>
      <c r="D36" s="572" t="s">
        <v>233</v>
      </c>
      <c r="E36" s="578" t="s">
        <v>237</v>
      </c>
      <c r="F36" s="577">
        <v>7269000</v>
      </c>
      <c r="G36" s="577">
        <v>8631000</v>
      </c>
      <c r="U36" s="575"/>
    </row>
    <row r="37" spans="2:21" s="555" customFormat="1" ht="15" customHeight="1">
      <c r="B37" s="815"/>
      <c r="C37" s="572" t="s">
        <v>200</v>
      </c>
      <c r="D37" s="572" t="s">
        <v>238</v>
      </c>
      <c r="E37" s="572" t="s">
        <v>239</v>
      </c>
      <c r="F37" s="577">
        <v>6663000</v>
      </c>
      <c r="G37" s="577">
        <v>7268000</v>
      </c>
      <c r="U37" s="575"/>
    </row>
    <row r="38" spans="2:21" s="555" customFormat="1" ht="15" customHeight="1">
      <c r="B38" s="815"/>
      <c r="C38" s="572" t="s">
        <v>240</v>
      </c>
      <c r="D38" s="572" t="s">
        <v>238</v>
      </c>
      <c r="E38" s="572" t="s">
        <v>241</v>
      </c>
      <c r="F38" s="576">
        <v>5149000</v>
      </c>
      <c r="G38" s="576">
        <v>6662000</v>
      </c>
      <c r="U38" s="575"/>
    </row>
    <row r="39" spans="2:21" s="555" customFormat="1" ht="15" customHeight="1">
      <c r="B39" s="815"/>
      <c r="C39" s="572" t="s">
        <v>242</v>
      </c>
      <c r="D39" s="572" t="s">
        <v>238</v>
      </c>
      <c r="E39" s="572" t="s">
        <v>243</v>
      </c>
      <c r="F39" s="576">
        <v>4635000</v>
      </c>
      <c r="G39" s="576">
        <v>5148000</v>
      </c>
      <c r="U39" s="575"/>
    </row>
    <row r="40" spans="2:21" s="555" customFormat="1" ht="15" customHeight="1">
      <c r="B40" s="815"/>
      <c r="C40" s="572" t="s">
        <v>244</v>
      </c>
      <c r="D40" s="572" t="s">
        <v>238</v>
      </c>
      <c r="E40" s="572" t="s">
        <v>245</v>
      </c>
      <c r="F40" s="576">
        <v>4116000</v>
      </c>
      <c r="G40" s="576">
        <v>4634000</v>
      </c>
      <c r="U40" s="575"/>
    </row>
    <row r="41" spans="2:21" s="555" customFormat="1" ht="15" customHeight="1">
      <c r="B41" s="815" t="s">
        <v>246</v>
      </c>
      <c r="C41" s="572" t="s">
        <v>202</v>
      </c>
      <c r="D41" s="572" t="s">
        <v>247</v>
      </c>
      <c r="E41" s="578" t="s">
        <v>248</v>
      </c>
      <c r="F41" s="577">
        <v>4232000</v>
      </c>
      <c r="G41" s="577">
        <v>4441000</v>
      </c>
      <c r="U41" s="575"/>
    </row>
    <row r="42" spans="2:21" s="555" customFormat="1" ht="15" customHeight="1">
      <c r="B42" s="815"/>
      <c r="C42" s="572" t="s">
        <v>205</v>
      </c>
      <c r="D42" s="572" t="s">
        <v>247</v>
      </c>
      <c r="E42" s="572" t="s">
        <v>249</v>
      </c>
      <c r="F42" s="576">
        <v>3990000</v>
      </c>
      <c r="G42" s="576">
        <v>4231000</v>
      </c>
      <c r="U42" s="575"/>
    </row>
    <row r="43" spans="2:21" s="555" customFormat="1" ht="15" customHeight="1">
      <c r="B43" s="815"/>
      <c r="C43" s="572" t="s">
        <v>207</v>
      </c>
      <c r="D43" s="572" t="s">
        <v>247</v>
      </c>
      <c r="E43" s="572" t="s">
        <v>250</v>
      </c>
      <c r="F43" s="576">
        <v>3637000</v>
      </c>
      <c r="G43" s="576">
        <v>3989000</v>
      </c>
      <c r="U43" s="575"/>
    </row>
    <row r="44" spans="2:21" s="555" customFormat="1" ht="15" customHeight="1">
      <c r="B44" s="815"/>
      <c r="C44" s="572" t="s">
        <v>251</v>
      </c>
      <c r="D44" s="572" t="s">
        <v>247</v>
      </c>
      <c r="E44" s="572" t="s">
        <v>245</v>
      </c>
      <c r="F44" s="576">
        <v>3022000</v>
      </c>
      <c r="G44" s="576">
        <v>3636000</v>
      </c>
      <c r="U44" s="575"/>
    </row>
    <row r="45" spans="2:21" s="555" customFormat="1" ht="15" customHeight="1">
      <c r="B45" s="815"/>
      <c r="C45" s="572" t="s">
        <v>252</v>
      </c>
      <c r="D45" s="572" t="s">
        <v>253</v>
      </c>
      <c r="E45" s="572" t="s">
        <v>254</v>
      </c>
      <c r="F45" s="576">
        <v>3023000</v>
      </c>
      <c r="G45" s="576">
        <v>3636000</v>
      </c>
      <c r="U45" s="575"/>
    </row>
    <row r="46" spans="2:21" s="555" customFormat="1" ht="15" customHeight="1">
      <c r="B46" s="815"/>
      <c r="C46" s="572" t="s">
        <v>255</v>
      </c>
      <c r="D46" s="572" t="s">
        <v>253</v>
      </c>
      <c r="E46" s="572" t="s">
        <v>256</v>
      </c>
      <c r="F46" s="576">
        <v>2272000</v>
      </c>
      <c r="G46" s="576">
        <v>3022000</v>
      </c>
      <c r="U46" s="575"/>
    </row>
    <row r="47" spans="2:21" s="555" customFormat="1" ht="15" customHeight="1">
      <c r="B47" s="815"/>
      <c r="C47" s="572" t="s">
        <v>257</v>
      </c>
      <c r="D47" s="572" t="s">
        <v>253</v>
      </c>
      <c r="E47" s="572" t="s">
        <v>258</v>
      </c>
      <c r="F47" s="576">
        <v>1817000</v>
      </c>
      <c r="G47" s="576">
        <v>2271000</v>
      </c>
      <c r="U47" s="575"/>
    </row>
  </sheetData>
  <mergeCells count="18">
    <mergeCell ref="Z4:Z5"/>
    <mergeCell ref="AA4:AA5"/>
    <mergeCell ref="AB4:AB5"/>
    <mergeCell ref="C2:AB2"/>
    <mergeCell ref="C4:C5"/>
    <mergeCell ref="F4:F5"/>
    <mergeCell ref="G4:G5"/>
    <mergeCell ref="H4:H5"/>
    <mergeCell ref="I4:I5"/>
    <mergeCell ref="J4:J5"/>
    <mergeCell ref="K4:K5"/>
    <mergeCell ref="L4:L5"/>
    <mergeCell ref="V4:V5"/>
    <mergeCell ref="B27:B40"/>
    <mergeCell ref="B41:B47"/>
    <mergeCell ref="W4:W5"/>
    <mergeCell ref="X4:X5"/>
    <mergeCell ref="Y4:Y5"/>
  </mergeCells>
  <dataValidations count="1">
    <dataValidation type="list" allowBlank="1" showInputMessage="1" showErrorMessage="1" sqref="F6:F14" xr:uid="{7EA69517-BEE4-4DAA-B21A-3B49ED0694C1}">
      <formula1>$C$27:$C$47</formula1>
    </dataValidation>
  </dataValidations>
  <pageMargins left="0.7" right="0.7" top="0.75" bottom="0.75" header="0.3" footer="0.3"/>
  <pageSetup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E1B75-564B-47C5-BA82-C99B5D9D28F9}">
  <dimension ref="A1:GO47"/>
  <sheetViews>
    <sheetView topLeftCell="A25" workbookViewId="0">
      <selection activeCell="T42" sqref="T42"/>
    </sheetView>
  </sheetViews>
  <sheetFormatPr defaultColWidth="0" defaultRowHeight="12"/>
  <cols>
    <col min="1" max="1" width="3.85546875" style="303" bestFit="1" customWidth="1"/>
    <col min="2" max="2" width="41.42578125" style="32" bestFit="1" customWidth="1"/>
    <col min="3" max="3" width="9.28515625" style="32" bestFit="1" customWidth="1"/>
    <col min="4" max="4" width="9.85546875" style="32" bestFit="1" customWidth="1"/>
    <col min="5" max="5" width="10.42578125" style="32" bestFit="1" customWidth="1"/>
    <col min="6" max="6" width="12.7109375" style="32" hidden="1" customWidth="1"/>
    <col min="7" max="7" width="15.28515625" style="32" hidden="1" customWidth="1"/>
    <col min="8" max="8" width="12.7109375" style="32" hidden="1" customWidth="1"/>
    <col min="9" max="9" width="2.28515625" style="32" hidden="1" customWidth="1"/>
    <col min="10" max="10" width="3.85546875" style="32" hidden="1" customWidth="1"/>
    <col min="11" max="11" width="15.28515625" style="32" hidden="1" customWidth="1"/>
    <col min="12" max="12" width="18" style="32" bestFit="1" customWidth="1"/>
    <col min="13" max="13" width="7" style="32" hidden="1" customWidth="1"/>
    <col min="14" max="14" width="13.140625" style="32" hidden="1" customWidth="1"/>
    <col min="15" max="15" width="15.28515625" style="32" hidden="1" customWidth="1"/>
    <col min="16" max="16" width="22.140625" style="32" bestFit="1" customWidth="1"/>
    <col min="17" max="17" width="3.42578125" style="32" hidden="1" customWidth="1"/>
    <col min="18" max="18" width="10.85546875" style="32" hidden="1" customWidth="1"/>
    <col min="19" max="19" width="13.28515625" style="32" hidden="1" customWidth="1"/>
    <col min="20" max="20" width="22.140625" style="32" customWidth="1"/>
    <col min="21" max="21" width="14.28515625" style="32" hidden="1" customWidth="1"/>
    <col min="22" max="22" width="28.42578125" style="32" customWidth="1"/>
    <col min="23" max="23" width="12.140625" style="32" bestFit="1" customWidth="1"/>
    <col min="24" max="24" width="19" style="32" bestFit="1" customWidth="1"/>
    <col min="25" max="25" width="22.7109375" style="32" bestFit="1" customWidth="1"/>
    <col min="26" max="26" width="11.42578125" style="32" customWidth="1"/>
    <col min="27" max="31" width="11.42578125" style="32" hidden="1"/>
    <col min="32" max="32" width="4.42578125" style="32" bestFit="1" customWidth="1"/>
    <col min="33" max="197" width="11.42578125" style="32" hidden="1" customWidth="1"/>
    <col min="198" max="16384" width="7.28515625" style="32" hidden="1"/>
  </cols>
  <sheetData>
    <row r="1" spans="1:32" s="4" customFormat="1" ht="12.75" thickBot="1">
      <c r="A1" s="1"/>
      <c r="B1" s="1"/>
      <c r="C1" s="2"/>
      <c r="D1" s="2"/>
      <c r="E1" s="2"/>
      <c r="Q1" s="32"/>
    </row>
    <row r="2" spans="1:32" s="4" customFormat="1">
      <c r="A2" s="1"/>
      <c r="B2" s="1"/>
      <c r="C2" s="2"/>
      <c r="D2" s="2"/>
      <c r="E2" s="2"/>
      <c r="J2" s="705" t="s">
        <v>0</v>
      </c>
      <c r="K2" s="706"/>
      <c r="L2" s="707"/>
      <c r="Q2" s="32"/>
      <c r="U2" s="162"/>
    </row>
    <row r="3" spans="1:32" s="5" customFormat="1" ht="12.75" thickBot="1">
      <c r="I3" s="6"/>
      <c r="J3" s="708"/>
      <c r="K3" s="709"/>
      <c r="L3" s="710"/>
      <c r="M3" s="40"/>
      <c r="Q3" s="6"/>
      <c r="U3" s="162"/>
    </row>
    <row r="4" spans="1:32" s="6" customFormat="1" ht="12.75" thickBot="1">
      <c r="A4" s="742" t="s">
        <v>3</v>
      </c>
      <c r="B4" s="743"/>
      <c r="C4" s="743"/>
      <c r="D4" s="33"/>
      <c r="E4" s="641"/>
      <c r="F4" s="751" t="s">
        <v>89</v>
      </c>
      <c r="G4" s="752"/>
      <c r="H4" s="752"/>
      <c r="I4" s="33"/>
      <c r="M4" s="40"/>
      <c r="N4" s="643">
        <v>5.166666666666667</v>
      </c>
      <c r="U4" s="162"/>
    </row>
    <row r="5" spans="1:32" s="8" customFormat="1" ht="24.75" customHeight="1" thickBot="1">
      <c r="A5" s="744" t="s">
        <v>6</v>
      </c>
      <c r="B5" s="745"/>
      <c r="C5" s="745"/>
      <c r="D5" s="745"/>
      <c r="E5" s="746"/>
      <c r="F5" s="336" t="s">
        <v>14</v>
      </c>
      <c r="G5" s="336" t="s">
        <v>15</v>
      </c>
      <c r="H5" s="336" t="s">
        <v>16</v>
      </c>
      <c r="I5" s="33"/>
      <c r="J5" s="6"/>
      <c r="K5" s="700" t="s">
        <v>17</v>
      </c>
      <c r="L5" s="701"/>
      <c r="M5" s="40"/>
      <c r="O5" s="729" t="s">
        <v>19</v>
      </c>
      <c r="P5" s="731"/>
      <c r="Q5" s="347"/>
      <c r="S5" s="825" t="s">
        <v>20</v>
      </c>
      <c r="T5" s="826"/>
      <c r="U5" s="162"/>
      <c r="V5" s="6"/>
      <c r="W5" s="6"/>
      <c r="X5" s="6"/>
      <c r="Y5" s="6"/>
      <c r="Z5" s="58"/>
      <c r="AA5" s="58"/>
      <c r="AB5" s="58"/>
      <c r="AC5" s="58"/>
      <c r="AD5" s="58"/>
      <c r="AE5" s="6"/>
    </row>
    <row r="6" spans="1:32" s="8" customFormat="1" ht="36.75" thickTop="1">
      <c r="A6" s="313" t="s">
        <v>21</v>
      </c>
      <c r="B6" s="314" t="s">
        <v>22</v>
      </c>
      <c r="C6" s="315" t="s">
        <v>23</v>
      </c>
      <c r="D6" s="315" t="s">
        <v>91</v>
      </c>
      <c r="E6" s="315" t="s">
        <v>92</v>
      </c>
      <c r="F6" s="350" t="s">
        <v>94</v>
      </c>
      <c r="G6" s="350" t="s">
        <v>94</v>
      </c>
      <c r="H6" s="350" t="s">
        <v>94</v>
      </c>
      <c r="I6" s="33"/>
      <c r="J6" s="6"/>
      <c r="K6" s="283" t="s">
        <v>95</v>
      </c>
      <c r="L6" s="286" t="s">
        <v>87</v>
      </c>
      <c r="M6" s="40"/>
      <c r="N6" s="284" t="s">
        <v>88</v>
      </c>
      <c r="O6" s="283" t="s">
        <v>96</v>
      </c>
      <c r="P6" s="286" t="s">
        <v>87</v>
      </c>
      <c r="Q6" s="40"/>
      <c r="R6" s="655" t="s">
        <v>31</v>
      </c>
      <c r="S6" s="656" t="s">
        <v>97</v>
      </c>
      <c r="T6" s="657" t="s">
        <v>87</v>
      </c>
      <c r="U6" s="162"/>
      <c r="V6" s="759" t="s">
        <v>98</v>
      </c>
      <c r="W6" s="759"/>
      <c r="X6" s="585" t="s">
        <v>99</v>
      </c>
      <c r="Y6" s="585" t="s">
        <v>100</v>
      </c>
      <c r="Z6" s="58"/>
      <c r="AA6" s="58"/>
      <c r="AB6" s="58"/>
      <c r="AC6" s="58"/>
      <c r="AD6" s="58"/>
      <c r="AF6" s="586">
        <v>0.16666666666666666</v>
      </c>
    </row>
    <row r="7" spans="1:32" s="8" customFormat="1">
      <c r="A7" s="718" t="s">
        <v>35</v>
      </c>
      <c r="B7" s="719"/>
      <c r="C7" s="719"/>
      <c r="D7" s="386"/>
      <c r="E7" s="386"/>
      <c r="F7" s="617"/>
      <c r="G7" s="617"/>
      <c r="H7" s="617"/>
      <c r="I7" s="33"/>
      <c r="J7" s="6"/>
      <c r="K7" s="138"/>
      <c r="L7" s="103"/>
      <c r="M7" s="40"/>
      <c r="N7" s="102"/>
      <c r="O7" s="100"/>
      <c r="P7" s="103"/>
      <c r="Q7" s="10"/>
      <c r="R7" s="102"/>
      <c r="S7" s="100"/>
      <c r="T7" s="156"/>
      <c r="U7" s="162"/>
      <c r="Z7" s="58"/>
      <c r="AA7" s="58"/>
      <c r="AB7" s="58"/>
      <c r="AC7" s="58"/>
      <c r="AD7" s="58"/>
    </row>
    <row r="8" spans="1:32" s="58" customFormat="1" ht="12.75">
      <c r="A8" s="492" t="s">
        <v>36</v>
      </c>
      <c r="B8" s="278" t="s">
        <v>37</v>
      </c>
      <c r="C8" s="19">
        <v>1</v>
      </c>
      <c r="D8" s="388">
        <v>1</v>
      </c>
      <c r="E8" s="493">
        <v>5.166666666666667</v>
      </c>
      <c r="F8" s="602">
        <v>13916739</v>
      </c>
      <c r="G8" s="602">
        <v>14450994</v>
      </c>
      <c r="H8" s="602">
        <v>14352958</v>
      </c>
      <c r="I8" s="33"/>
      <c r="J8" s="6"/>
      <c r="K8" s="623">
        <v>14110834</v>
      </c>
      <c r="L8" s="594">
        <v>72905976</v>
      </c>
      <c r="M8" s="604"/>
      <c r="N8" s="596">
        <v>455780</v>
      </c>
      <c r="O8" s="622">
        <v>14566614</v>
      </c>
      <c r="P8" s="594">
        <v>174799368</v>
      </c>
      <c r="Q8" s="601"/>
      <c r="R8" s="590">
        <v>436998</v>
      </c>
      <c r="S8" s="624">
        <v>15003612</v>
      </c>
      <c r="T8" s="594">
        <v>180043344</v>
      </c>
      <c r="U8" s="162"/>
      <c r="V8" s="539" t="s">
        <v>101</v>
      </c>
      <c r="W8" s="498">
        <v>14747485</v>
      </c>
      <c r="X8" s="498">
        <v>14110834</v>
      </c>
      <c r="Y8" s="581">
        <v>-4.3170140535826955E-2</v>
      </c>
      <c r="Z8" s="6"/>
    </row>
    <row r="9" spans="1:32" s="58" customFormat="1" ht="25.5">
      <c r="A9" s="492" t="s">
        <v>38</v>
      </c>
      <c r="B9" s="278" t="s">
        <v>39</v>
      </c>
      <c r="C9" s="19">
        <v>1</v>
      </c>
      <c r="D9" s="388">
        <v>1</v>
      </c>
      <c r="E9" s="493">
        <v>5.166666666666667</v>
      </c>
      <c r="F9" s="602">
        <v>10110908</v>
      </c>
      <c r="G9" s="602">
        <v>9975045</v>
      </c>
      <c r="H9" s="602">
        <v>9911163</v>
      </c>
      <c r="I9" s="33"/>
      <c r="J9" s="6"/>
      <c r="K9" s="623">
        <v>9963888</v>
      </c>
      <c r="L9" s="594">
        <v>51480088</v>
      </c>
      <c r="M9" s="604"/>
      <c r="N9" s="596">
        <v>321834</v>
      </c>
      <c r="O9" s="622">
        <v>10285722</v>
      </c>
      <c r="P9" s="594">
        <v>123428664</v>
      </c>
      <c r="Q9" s="601"/>
      <c r="R9" s="590">
        <v>308572</v>
      </c>
      <c r="S9" s="624">
        <v>10594294</v>
      </c>
      <c r="T9" s="594">
        <v>127131528</v>
      </c>
      <c r="U9" s="162"/>
      <c r="V9" s="556" t="s">
        <v>102</v>
      </c>
      <c r="W9" s="498">
        <v>12418845</v>
      </c>
      <c r="X9" s="498">
        <v>9963888</v>
      </c>
      <c r="Y9" s="581">
        <v>-0.19767997748582899</v>
      </c>
      <c r="Z9" s="6"/>
    </row>
    <row r="10" spans="1:32" s="58" customFormat="1" ht="12.75">
      <c r="A10" s="492" t="s">
        <v>40</v>
      </c>
      <c r="B10" s="278" t="s">
        <v>41</v>
      </c>
      <c r="C10" s="19">
        <v>1</v>
      </c>
      <c r="D10" s="388">
        <v>1</v>
      </c>
      <c r="E10" s="493">
        <v>5.166666666666667</v>
      </c>
      <c r="F10" s="602">
        <v>10344047</v>
      </c>
      <c r="G10" s="602">
        <v>10250560</v>
      </c>
      <c r="H10" s="602">
        <v>10229709</v>
      </c>
      <c r="I10" s="33"/>
      <c r="J10" s="6"/>
      <c r="K10" s="623">
        <v>10256747</v>
      </c>
      <c r="L10" s="594">
        <v>52993193</v>
      </c>
      <c r="M10" s="604"/>
      <c r="N10" s="596">
        <v>331293</v>
      </c>
      <c r="O10" s="622">
        <v>10588040</v>
      </c>
      <c r="P10" s="594">
        <v>127056480</v>
      </c>
      <c r="Q10" s="601"/>
      <c r="R10" s="590">
        <v>317641</v>
      </c>
      <c r="S10" s="624">
        <v>10905681</v>
      </c>
      <c r="T10" s="594">
        <v>130868172</v>
      </c>
      <c r="U10" s="162"/>
      <c r="V10" s="556" t="s">
        <v>103</v>
      </c>
      <c r="W10" s="498">
        <v>11383514</v>
      </c>
      <c r="X10" s="498">
        <v>10256747</v>
      </c>
      <c r="Y10" s="581">
        <v>-9.8982352900870499E-2</v>
      </c>
    </row>
    <row r="11" spans="1:32" s="58" customFormat="1" ht="12.75">
      <c r="A11" s="492" t="s">
        <v>42</v>
      </c>
      <c r="B11" s="278" t="s">
        <v>43</v>
      </c>
      <c r="C11" s="19">
        <v>1</v>
      </c>
      <c r="D11" s="388">
        <v>1</v>
      </c>
      <c r="E11" s="493">
        <v>5.166666666666667</v>
      </c>
      <c r="F11" s="602">
        <v>9747047</v>
      </c>
      <c r="G11" s="602">
        <v>9327890</v>
      </c>
      <c r="H11" s="602">
        <v>9202410</v>
      </c>
      <c r="I11" s="33"/>
      <c r="J11" s="6"/>
      <c r="K11" s="623">
        <v>9336433</v>
      </c>
      <c r="L11" s="594">
        <v>48238237</v>
      </c>
      <c r="M11" s="604"/>
      <c r="N11" s="596">
        <v>301567</v>
      </c>
      <c r="O11" s="622">
        <v>9638000</v>
      </c>
      <c r="P11" s="594">
        <v>115656000</v>
      </c>
      <c r="Q11" s="601"/>
      <c r="R11" s="590">
        <v>289140</v>
      </c>
      <c r="S11" s="624">
        <v>9927140</v>
      </c>
      <c r="T11" s="594">
        <v>119125680</v>
      </c>
      <c r="U11" s="162"/>
      <c r="V11" s="556" t="s">
        <v>104</v>
      </c>
      <c r="W11" s="498">
        <v>8796895</v>
      </c>
      <c r="X11" s="498">
        <v>9336433</v>
      </c>
      <c r="Y11" s="582">
        <v>6.1332777076457089E-2</v>
      </c>
    </row>
    <row r="12" spans="1:32" s="58" customFormat="1" ht="12.75">
      <c r="A12" s="492" t="s">
        <v>44</v>
      </c>
      <c r="B12" s="278" t="s">
        <v>45</v>
      </c>
      <c r="C12" s="19">
        <v>1</v>
      </c>
      <c r="D12" s="388">
        <v>1</v>
      </c>
      <c r="E12" s="493">
        <v>5.166666666666667</v>
      </c>
      <c r="F12" s="602">
        <v>8177500</v>
      </c>
      <c r="G12" s="602">
        <v>7850272</v>
      </c>
      <c r="H12" s="602">
        <v>7798406</v>
      </c>
      <c r="I12" s="33"/>
      <c r="J12" s="6"/>
      <c r="K12" s="623">
        <v>7884598</v>
      </c>
      <c r="L12" s="594">
        <v>40737090</v>
      </c>
      <c r="M12" s="604"/>
      <c r="N12" s="596">
        <v>254673</v>
      </c>
      <c r="O12" s="622">
        <v>8139271</v>
      </c>
      <c r="P12" s="594">
        <v>97671252</v>
      </c>
      <c r="Q12" s="601"/>
      <c r="R12" s="590">
        <v>244178</v>
      </c>
      <c r="S12" s="624">
        <v>8383449</v>
      </c>
      <c r="T12" s="594">
        <v>100601388</v>
      </c>
      <c r="U12" s="162"/>
      <c r="V12" s="556" t="s">
        <v>105</v>
      </c>
      <c r="W12" s="498">
        <v>14747485</v>
      </c>
      <c r="X12" s="498">
        <v>7884598</v>
      </c>
      <c r="Y12" s="581">
        <v>-0.46535982236971252</v>
      </c>
    </row>
    <row r="13" spans="1:32" s="58" customFormat="1" ht="12.75">
      <c r="A13" s="492" t="s">
        <v>46</v>
      </c>
      <c r="B13" s="278" t="s">
        <v>47</v>
      </c>
      <c r="C13" s="589">
        <v>1</v>
      </c>
      <c r="D13" s="388">
        <v>0.5</v>
      </c>
      <c r="E13" s="493">
        <v>5.166666666666667</v>
      </c>
      <c r="F13" s="602">
        <v>7644076</v>
      </c>
      <c r="G13" s="602">
        <v>6949893</v>
      </c>
      <c r="H13" s="602">
        <v>6740599</v>
      </c>
      <c r="I13" s="33"/>
      <c r="J13" s="6"/>
      <c r="K13" s="623">
        <v>6963153</v>
      </c>
      <c r="L13" s="594">
        <v>17988145</v>
      </c>
      <c r="M13" s="604"/>
      <c r="N13" s="596">
        <v>224910</v>
      </c>
      <c r="O13" s="622">
        <v>7188063</v>
      </c>
      <c r="P13" s="597">
        <v>43128378</v>
      </c>
      <c r="Q13" s="601"/>
      <c r="R13" s="590">
        <v>215642</v>
      </c>
      <c r="S13" s="624">
        <v>7403705</v>
      </c>
      <c r="T13" s="597">
        <v>44422230</v>
      </c>
      <c r="U13" s="162"/>
      <c r="V13" s="556" t="s">
        <v>106</v>
      </c>
      <c r="W13" s="498">
        <v>12418845</v>
      </c>
      <c r="X13" s="498">
        <v>6963153</v>
      </c>
      <c r="Y13" s="581">
        <v>-0.43930752014378149</v>
      </c>
    </row>
    <row r="14" spans="1:32" s="58" customFormat="1" ht="12.75">
      <c r="A14" s="492" t="s">
        <v>48</v>
      </c>
      <c r="B14" s="278" t="s">
        <v>107</v>
      </c>
      <c r="C14" s="19">
        <v>13</v>
      </c>
      <c r="D14" s="388">
        <v>1</v>
      </c>
      <c r="E14" s="493">
        <v>5.166666666666667</v>
      </c>
      <c r="F14" s="602">
        <v>4345327</v>
      </c>
      <c r="G14" s="602">
        <v>4363363</v>
      </c>
      <c r="H14" s="602">
        <v>4341904</v>
      </c>
      <c r="I14" s="33"/>
      <c r="J14" s="6"/>
      <c r="K14" s="623">
        <v>4346880</v>
      </c>
      <c r="L14" s="594">
        <v>291965440</v>
      </c>
      <c r="M14" s="604"/>
      <c r="N14" s="596">
        <v>140404</v>
      </c>
      <c r="O14" s="622">
        <v>4487284</v>
      </c>
      <c r="P14" s="594">
        <v>700016304</v>
      </c>
      <c r="Q14" s="601"/>
      <c r="R14" s="590">
        <v>134619</v>
      </c>
      <c r="S14" s="624">
        <v>4621903</v>
      </c>
      <c r="T14" s="594">
        <v>721016868</v>
      </c>
      <c r="U14" s="162"/>
      <c r="V14" s="556" t="s">
        <v>108</v>
      </c>
      <c r="W14" s="498">
        <v>7230231</v>
      </c>
      <c r="X14" s="498">
        <v>4346880</v>
      </c>
      <c r="Y14" s="581">
        <v>-0.39879099298487142</v>
      </c>
    </row>
    <row r="15" spans="1:32" s="58" customFormat="1" ht="12.75">
      <c r="A15" s="492" t="s">
        <v>50</v>
      </c>
      <c r="B15" s="278" t="s">
        <v>109</v>
      </c>
      <c r="C15" s="19">
        <v>13</v>
      </c>
      <c r="D15" s="388">
        <v>1</v>
      </c>
      <c r="E15" s="493">
        <v>5.166666666666667</v>
      </c>
      <c r="F15" s="602">
        <v>4280343</v>
      </c>
      <c r="G15" s="602">
        <v>4376002</v>
      </c>
      <c r="H15" s="602">
        <v>4356543</v>
      </c>
      <c r="I15" s="33"/>
      <c r="J15" s="6"/>
      <c r="K15" s="623">
        <v>4314715</v>
      </c>
      <c r="L15" s="594">
        <v>289805024</v>
      </c>
      <c r="M15" s="604"/>
      <c r="N15" s="596">
        <v>139365</v>
      </c>
      <c r="O15" s="622">
        <v>4454080</v>
      </c>
      <c r="P15" s="594">
        <v>694836480</v>
      </c>
      <c r="Q15" s="601"/>
      <c r="R15" s="590">
        <v>133622</v>
      </c>
      <c r="S15" s="624">
        <v>4587702</v>
      </c>
      <c r="T15" s="594">
        <v>715681512</v>
      </c>
      <c r="U15" s="162"/>
      <c r="V15" s="556" t="s">
        <v>108</v>
      </c>
      <c r="W15" s="498">
        <v>7230231</v>
      </c>
      <c r="X15" s="498">
        <v>4314715</v>
      </c>
      <c r="Y15" s="581">
        <v>-0.40323967519156717</v>
      </c>
    </row>
    <row r="16" spans="1:32" s="485" customFormat="1" ht="12.75">
      <c r="A16" s="502" t="s">
        <v>52</v>
      </c>
      <c r="B16" s="278" t="s">
        <v>53</v>
      </c>
      <c r="C16" s="19">
        <v>1</v>
      </c>
      <c r="D16" s="388">
        <v>1</v>
      </c>
      <c r="E16" s="493">
        <v>5.166666666666667</v>
      </c>
      <c r="F16" s="602">
        <v>4664250</v>
      </c>
      <c r="G16" s="602">
        <v>5311660</v>
      </c>
      <c r="H16" s="602">
        <v>4939833</v>
      </c>
      <c r="I16" s="33"/>
      <c r="J16" s="6"/>
      <c r="K16" s="623">
        <v>4848849</v>
      </c>
      <c r="L16" s="594">
        <v>25052387</v>
      </c>
      <c r="M16" s="611"/>
      <c r="N16" s="596">
        <v>156618</v>
      </c>
      <c r="O16" s="622">
        <v>5005467</v>
      </c>
      <c r="P16" s="594">
        <v>60065604</v>
      </c>
      <c r="Q16" s="610"/>
      <c r="R16" s="590">
        <v>150164</v>
      </c>
      <c r="S16" s="625">
        <v>5155631</v>
      </c>
      <c r="T16" s="594">
        <v>61867572</v>
      </c>
      <c r="U16" s="162"/>
      <c r="V16" s="556" t="s">
        <v>110</v>
      </c>
      <c r="W16" s="498">
        <v>7230231</v>
      </c>
      <c r="X16" s="498">
        <v>4848849</v>
      </c>
      <c r="Y16" s="581">
        <v>-0.32936458046776101</v>
      </c>
      <c r="AA16" s="58"/>
    </row>
    <row r="17" spans="1:29" s="61" customFormat="1">
      <c r="A17" s="718" t="s">
        <v>54</v>
      </c>
      <c r="B17" s="719"/>
      <c r="C17" s="719"/>
      <c r="D17" s="386"/>
      <c r="E17" s="386"/>
      <c r="F17" s="833"/>
      <c r="G17" s="834"/>
      <c r="H17" s="834"/>
      <c r="I17" s="834"/>
      <c r="J17" s="834"/>
      <c r="K17" s="834"/>
      <c r="L17" s="835"/>
      <c r="M17" s="604"/>
      <c r="N17" s="765"/>
      <c r="O17" s="766"/>
      <c r="P17" s="767"/>
      <c r="Q17" s="601"/>
      <c r="R17" s="765"/>
      <c r="S17" s="766"/>
      <c r="T17" s="767"/>
      <c r="U17" s="162"/>
    </row>
    <row r="18" spans="1:29" s="58" customFormat="1" ht="60">
      <c r="A18" s="671" t="s">
        <v>55</v>
      </c>
      <c r="B18" s="672" t="s">
        <v>56</v>
      </c>
      <c r="C18" s="16">
        <v>1</v>
      </c>
      <c r="D18" s="827" t="s">
        <v>111</v>
      </c>
      <c r="E18" s="828"/>
      <c r="F18" s="828"/>
      <c r="G18" s="828"/>
      <c r="H18" s="828"/>
      <c r="I18" s="33"/>
      <c r="J18" s="6"/>
      <c r="K18" s="673">
        <v>14333185</v>
      </c>
      <c r="L18" s="674">
        <v>74054791</v>
      </c>
      <c r="M18" s="604"/>
      <c r="N18" s="596">
        <v>462962</v>
      </c>
      <c r="O18" s="622">
        <v>14796147</v>
      </c>
      <c r="P18" s="594">
        <v>177553764</v>
      </c>
      <c r="Q18" s="601"/>
      <c r="R18" s="592">
        <v>443884</v>
      </c>
      <c r="S18" s="622">
        <v>15240031</v>
      </c>
      <c r="T18" s="594">
        <v>182880372</v>
      </c>
      <c r="U18" s="162"/>
    </row>
    <row r="19" spans="1:29" s="58" customFormat="1" ht="48">
      <c r="A19" s="492" t="s">
        <v>57</v>
      </c>
      <c r="B19" s="278" t="s">
        <v>58</v>
      </c>
      <c r="C19" s="19">
        <v>1</v>
      </c>
      <c r="D19" s="827" t="s">
        <v>111</v>
      </c>
      <c r="E19" s="828"/>
      <c r="F19" s="828"/>
      <c r="G19" s="828"/>
      <c r="H19" s="828"/>
      <c r="I19" s="33"/>
      <c r="J19" s="6"/>
      <c r="K19" s="623">
        <v>13623106</v>
      </c>
      <c r="L19" s="594">
        <v>70386047</v>
      </c>
      <c r="M19" s="621"/>
      <c r="N19" s="596">
        <v>440026</v>
      </c>
      <c r="O19" s="622">
        <v>14063132</v>
      </c>
      <c r="P19" s="594">
        <v>168757584</v>
      </c>
      <c r="Q19" s="601"/>
      <c r="R19" s="592">
        <v>421894</v>
      </c>
      <c r="S19" s="622">
        <v>14485026</v>
      </c>
      <c r="T19" s="594">
        <v>173820312</v>
      </c>
      <c r="U19" s="162"/>
    </row>
    <row r="20" spans="1:29" s="128" customFormat="1" ht="13.5" customHeight="1" thickBot="1">
      <c r="A20" s="753" t="s">
        <v>59</v>
      </c>
      <c r="B20" s="754"/>
      <c r="C20" s="755"/>
      <c r="D20" s="829" t="s">
        <v>111</v>
      </c>
      <c r="E20" s="830"/>
      <c r="F20" s="830"/>
      <c r="G20" s="830"/>
      <c r="H20" s="830"/>
      <c r="I20" s="33"/>
      <c r="J20" s="6"/>
      <c r="K20" s="662"/>
      <c r="L20" s="663"/>
      <c r="M20" s="604"/>
      <c r="N20" s="660"/>
      <c r="O20" s="595"/>
      <c r="P20" s="661"/>
      <c r="Q20" s="601"/>
      <c r="R20" s="658"/>
      <c r="S20" s="32"/>
      <c r="T20" s="659"/>
      <c r="U20" s="162"/>
      <c r="W20" s="58"/>
      <c r="X20" s="58"/>
      <c r="Y20" s="58"/>
      <c r="Z20" s="58"/>
      <c r="AA20" s="58"/>
      <c r="AB20" s="58"/>
      <c r="AC20" s="58"/>
    </row>
    <row r="21" spans="1:29" s="58" customFormat="1" ht="13.5" customHeight="1" thickBot="1">
      <c r="A21" s="516">
        <v>3</v>
      </c>
      <c r="B21" s="517" t="s">
        <v>60</v>
      </c>
      <c r="C21" s="518">
        <v>1</v>
      </c>
      <c r="D21" s="831"/>
      <c r="E21" s="832"/>
      <c r="F21" s="832"/>
      <c r="G21" s="832"/>
      <c r="H21" s="832"/>
      <c r="I21" s="33"/>
      <c r="J21" s="6"/>
      <c r="K21" s="634">
        <v>20545571</v>
      </c>
      <c r="L21" s="631">
        <v>106152115</v>
      </c>
      <c r="M21" s="604"/>
      <c r="N21" s="629">
        <v>663622</v>
      </c>
      <c r="O21" s="630">
        <v>21209193</v>
      </c>
      <c r="P21" s="631">
        <v>254510316</v>
      </c>
      <c r="Q21" s="601"/>
      <c r="R21" s="632">
        <v>636276</v>
      </c>
      <c r="S21" s="630">
        <v>21845469</v>
      </c>
      <c r="T21" s="631">
        <v>262145628</v>
      </c>
      <c r="U21" s="162"/>
    </row>
    <row r="22" spans="1:29" s="128" customFormat="1" ht="12.75" thickBot="1">
      <c r="A22" s="293"/>
      <c r="B22" s="294"/>
      <c r="C22" s="295"/>
      <c r="D22" s="295"/>
      <c r="E22" s="295"/>
      <c r="F22" s="615"/>
      <c r="G22" s="615"/>
      <c r="H22" s="615"/>
      <c r="I22" s="601"/>
      <c r="J22" s="6"/>
      <c r="K22" s="598"/>
      <c r="L22" s="633">
        <v>1141758533</v>
      </c>
      <c r="M22" s="32"/>
      <c r="N22" s="595"/>
      <c r="O22" s="595"/>
      <c r="P22" s="627">
        <v>2737480194</v>
      </c>
      <c r="Q22" s="601"/>
      <c r="R22" s="626"/>
      <c r="S22" s="626"/>
      <c r="T22" s="628">
        <v>2819604606</v>
      </c>
      <c r="U22" s="162"/>
      <c r="W22" s="58"/>
      <c r="X22" s="58"/>
      <c r="Y22" s="58"/>
      <c r="Z22" s="58"/>
      <c r="AA22" s="58"/>
      <c r="AB22" s="58"/>
      <c r="AC22" s="58"/>
    </row>
    <row r="23" spans="1:29" s="4" customFormat="1" ht="12.75" thickBot="1">
      <c r="A23" s="303"/>
      <c r="B23" s="32"/>
      <c r="C23" s="32"/>
      <c r="D23" s="32"/>
      <c r="E23" s="32"/>
      <c r="F23" s="32"/>
      <c r="G23" s="32"/>
      <c r="H23" s="32"/>
      <c r="I23" s="32"/>
      <c r="J23" s="6"/>
      <c r="K23" s="595"/>
      <c r="L23" s="595"/>
      <c r="M23" s="32"/>
      <c r="N23" s="595"/>
      <c r="O23" s="595"/>
      <c r="P23" s="595"/>
      <c r="Q23" s="601"/>
      <c r="R23" s="302"/>
      <c r="S23" s="302"/>
      <c r="T23" s="302"/>
      <c r="U23" s="162"/>
      <c r="V23" s="32"/>
      <c r="W23" s="32"/>
      <c r="X23" s="32"/>
      <c r="Y23" s="32"/>
      <c r="Z23" s="32"/>
      <c r="AA23" s="32"/>
      <c r="AB23" s="32"/>
      <c r="AC23" s="32"/>
    </row>
    <row r="24" spans="1:29" s="4" customFormat="1" ht="60.75" thickBot="1">
      <c r="A24" s="744" t="s">
        <v>61</v>
      </c>
      <c r="B24" s="745"/>
      <c r="C24" s="745"/>
      <c r="D24" s="745"/>
      <c r="E24" s="746"/>
      <c r="F24" s="32"/>
      <c r="G24" s="32"/>
      <c r="H24" s="32"/>
      <c r="I24" s="32"/>
      <c r="J24" s="6"/>
      <c r="K24" s="595"/>
      <c r="L24" s="651" t="s">
        <v>62</v>
      </c>
      <c r="M24" s="162"/>
      <c r="N24" s="593"/>
      <c r="O24" s="593"/>
      <c r="P24" s="651" t="s">
        <v>63</v>
      </c>
      <c r="Q24" s="162"/>
      <c r="R24" s="302"/>
      <c r="S24" s="40"/>
      <c r="T24" s="268" t="s">
        <v>64</v>
      </c>
      <c r="U24" s="162"/>
      <c r="V24" s="268" t="s">
        <v>64</v>
      </c>
      <c r="W24" s="32"/>
      <c r="X24" s="32"/>
      <c r="Y24" s="32"/>
      <c r="Z24" s="32"/>
      <c r="AA24" s="32"/>
      <c r="AB24" s="32"/>
      <c r="AC24" s="32"/>
    </row>
    <row r="25" spans="1:29" s="3" customFormat="1" ht="12.75" thickTop="1">
      <c r="A25" s="774" t="s">
        <v>65</v>
      </c>
      <c r="B25" s="775"/>
      <c r="C25" s="775"/>
      <c r="D25" s="775"/>
      <c r="E25" s="776"/>
      <c r="F25" s="32"/>
      <c r="G25" s="32"/>
      <c r="H25" s="32"/>
      <c r="I25" s="162"/>
      <c r="J25" s="6"/>
      <c r="K25" s="595"/>
      <c r="L25" s="638">
        <v>1035606418</v>
      </c>
      <c r="M25" s="162"/>
      <c r="N25" s="593"/>
      <c r="O25" s="593"/>
      <c r="P25" s="635">
        <v>2482969878</v>
      </c>
      <c r="Q25" s="162"/>
      <c r="R25" s="162"/>
      <c r="S25" s="162"/>
      <c r="T25" s="638">
        <v>2557458978</v>
      </c>
      <c r="U25" s="649"/>
      <c r="V25" s="638">
        <v>6076035274</v>
      </c>
      <c r="W25" s="162"/>
      <c r="X25" s="162"/>
      <c r="Y25" s="162"/>
      <c r="Z25" s="162"/>
      <c r="AA25" s="162"/>
      <c r="AB25" s="162"/>
      <c r="AC25" s="162"/>
    </row>
    <row r="26" spans="1:29" s="3" customFormat="1">
      <c r="A26" s="769" t="s">
        <v>66</v>
      </c>
      <c r="B26" s="770"/>
      <c r="C26" s="770"/>
      <c r="D26" s="770"/>
      <c r="E26" s="771"/>
      <c r="F26" s="32"/>
      <c r="G26" s="32"/>
      <c r="H26" s="32"/>
      <c r="I26" s="162"/>
      <c r="J26" s="6"/>
      <c r="K26" s="595"/>
      <c r="L26" s="638">
        <v>106152115</v>
      </c>
      <c r="M26" s="162"/>
      <c r="N26" s="593"/>
      <c r="O26" s="593"/>
      <c r="P26" s="635">
        <v>254510316</v>
      </c>
      <c r="Q26" s="162"/>
      <c r="R26" s="162"/>
      <c r="S26" s="162"/>
      <c r="T26" s="638">
        <v>262145628</v>
      </c>
      <c r="U26" s="649"/>
      <c r="V26" s="638">
        <v>622808059</v>
      </c>
      <c r="W26" s="162"/>
      <c r="X26" s="162"/>
      <c r="Y26" s="162"/>
      <c r="Z26" s="162"/>
      <c r="AA26" s="162"/>
      <c r="AB26" s="162"/>
      <c r="AC26" s="162"/>
    </row>
    <row r="27" spans="1:29" s="3" customFormat="1">
      <c r="A27" s="769" t="s">
        <v>67</v>
      </c>
      <c r="B27" s="770"/>
      <c r="C27" s="770"/>
      <c r="D27" s="770"/>
      <c r="E27" s="771"/>
      <c r="F27" s="32"/>
      <c r="G27" s="32"/>
      <c r="H27" s="32"/>
      <c r="I27" s="162"/>
      <c r="J27" s="6"/>
      <c r="K27" s="595"/>
      <c r="L27" s="676">
        <v>1141758533</v>
      </c>
      <c r="M27" s="162"/>
      <c r="N27" s="679"/>
      <c r="O27" s="679"/>
      <c r="P27" s="675">
        <v>2737480194</v>
      </c>
      <c r="Q27" s="162"/>
      <c r="R27" s="588"/>
      <c r="S27" s="162"/>
      <c r="T27" s="676">
        <v>2819604606</v>
      </c>
      <c r="U27" s="649"/>
      <c r="V27" s="638">
        <v>6698843333</v>
      </c>
      <c r="W27" s="162"/>
      <c r="X27" s="162"/>
      <c r="Y27" s="162"/>
      <c r="Z27" s="162"/>
      <c r="AA27" s="162"/>
      <c r="AB27" s="162"/>
      <c r="AC27" s="162"/>
    </row>
    <row r="28" spans="1:29" s="3" customFormat="1" ht="12.75" thickBot="1">
      <c r="A28" s="769" t="s">
        <v>68</v>
      </c>
      <c r="B28" s="770"/>
      <c r="C28" s="770"/>
      <c r="D28" s="770"/>
      <c r="E28" s="771"/>
      <c r="F28" s="32"/>
      <c r="G28" s="32"/>
      <c r="H28" s="32"/>
      <c r="I28" s="162"/>
      <c r="J28" s="6"/>
      <c r="K28" s="595"/>
      <c r="L28" s="677">
        <v>216934121</v>
      </c>
      <c r="M28" s="162"/>
      <c r="N28" s="679"/>
      <c r="O28" s="679"/>
      <c r="P28" s="678">
        <v>520121237</v>
      </c>
      <c r="Q28" s="162"/>
      <c r="R28" s="365"/>
      <c r="S28" s="162"/>
      <c r="T28" s="677">
        <v>535724875</v>
      </c>
      <c r="U28" s="649"/>
      <c r="V28" s="638">
        <v>1272780233</v>
      </c>
      <c r="W28" s="162"/>
      <c r="X28" s="365"/>
      <c r="Y28" s="162"/>
      <c r="Z28" s="162"/>
      <c r="AA28" s="162"/>
      <c r="AB28" s="162"/>
      <c r="AC28" s="162"/>
    </row>
    <row r="29" spans="1:29" s="3" customFormat="1" ht="13.5" thickTop="1" thickBot="1">
      <c r="A29" s="778" t="s">
        <v>69</v>
      </c>
      <c r="B29" s="779"/>
      <c r="C29" s="779"/>
      <c r="D29" s="779"/>
      <c r="E29" s="780"/>
      <c r="F29" s="162"/>
      <c r="G29" s="271"/>
      <c r="H29" s="162"/>
      <c r="I29" s="162"/>
      <c r="J29" s="6"/>
      <c r="K29" s="653" t="s">
        <v>26</v>
      </c>
      <c r="L29" s="639">
        <v>1358692654</v>
      </c>
      <c r="M29" s="162"/>
      <c r="N29" s="593"/>
      <c r="O29" s="593"/>
      <c r="P29" s="636">
        <v>3257601431</v>
      </c>
      <c r="Q29" s="162"/>
      <c r="R29" s="162"/>
      <c r="S29" s="162"/>
      <c r="T29" s="639">
        <v>3355329481</v>
      </c>
      <c r="U29" s="649"/>
      <c r="V29" s="639">
        <v>7971623566</v>
      </c>
      <c r="W29" s="162"/>
      <c r="X29" s="162"/>
      <c r="Y29" s="162"/>
      <c r="Z29" s="162"/>
      <c r="AA29" s="162"/>
      <c r="AB29" s="162"/>
      <c r="AC29" s="162"/>
    </row>
    <row r="30" spans="1:29" s="3" customFormat="1" ht="12.75" hidden="1" thickBot="1">
      <c r="A30" s="162"/>
      <c r="B30" s="162"/>
      <c r="C30" s="162"/>
      <c r="D30" s="162"/>
      <c r="E30" s="162"/>
      <c r="F30" s="162"/>
      <c r="G30" s="271"/>
      <c r="H30" s="162"/>
      <c r="I30" s="162"/>
      <c r="J30" s="6"/>
      <c r="K30" s="653" t="s">
        <v>113</v>
      </c>
      <c r="L30" s="640">
        <v>262972772</v>
      </c>
      <c r="M30" s="162"/>
      <c r="N30" s="647"/>
      <c r="O30" s="393">
        <v>3.2299975147236919E-2</v>
      </c>
      <c r="P30" s="637">
        <v>271466786</v>
      </c>
      <c r="Q30" s="162"/>
      <c r="R30" s="162"/>
      <c r="S30" s="393">
        <v>3.0000001547150597E-2</v>
      </c>
      <c r="T30" s="652">
        <v>279610790</v>
      </c>
      <c r="U30" s="649"/>
      <c r="V30" s="640">
        <v>664301964</v>
      </c>
      <c r="W30" s="162"/>
      <c r="X30" s="365"/>
      <c r="Y30" s="162"/>
      <c r="Z30" s="162"/>
      <c r="AA30" s="162"/>
      <c r="AB30" s="162"/>
      <c r="AC30" s="162"/>
    </row>
    <row r="31" spans="1:29" s="162" customFormat="1">
      <c r="A31" s="269"/>
      <c r="B31" s="269"/>
      <c r="C31" s="269"/>
      <c r="D31" s="269"/>
      <c r="E31" s="269"/>
      <c r="G31" s="271"/>
      <c r="J31" s="6"/>
      <c r="K31" s="591"/>
      <c r="L31" s="647"/>
      <c r="O31" s="490"/>
      <c r="P31" s="58"/>
      <c r="S31" s="490"/>
      <c r="T31" s="58"/>
      <c r="V31" s="272"/>
    </row>
    <row r="32" spans="1:29" s="162" customFormat="1">
      <c r="A32" s="269"/>
      <c r="B32" s="269"/>
      <c r="C32" s="269"/>
      <c r="D32" s="269"/>
      <c r="E32" s="269"/>
      <c r="G32" s="271"/>
      <c r="J32" s="6"/>
      <c r="K32" s="58"/>
      <c r="O32" s="490"/>
      <c r="P32" s="58"/>
      <c r="S32" s="490"/>
      <c r="T32" s="58"/>
      <c r="V32" s="272"/>
    </row>
    <row r="33" spans="1:29" s="162" customFormat="1">
      <c r="A33" s="269"/>
      <c r="B33" s="269"/>
      <c r="C33" s="269"/>
      <c r="D33" s="269"/>
      <c r="E33" s="269"/>
      <c r="G33" s="271"/>
      <c r="J33" s="6"/>
      <c r="K33" s="58"/>
      <c r="O33" s="490"/>
      <c r="P33" s="58"/>
      <c r="S33" s="490"/>
      <c r="T33" s="58"/>
      <c r="V33" s="272"/>
    </row>
    <row r="34" spans="1:29" s="162" customFormat="1">
      <c r="A34" s="269"/>
      <c r="B34" s="269"/>
      <c r="C34" s="269"/>
      <c r="D34" s="269"/>
      <c r="E34" s="269"/>
      <c r="G34" s="271"/>
      <c r="J34" s="6"/>
      <c r="K34" s="58"/>
      <c r="O34" s="490"/>
      <c r="P34" s="58"/>
      <c r="S34" s="490"/>
      <c r="T34" s="58"/>
      <c r="V34" s="272"/>
    </row>
    <row r="35" spans="1:29" s="3" customFormat="1" ht="24">
      <c r="A35" s="269"/>
      <c r="B35" s="162"/>
      <c r="C35" s="664"/>
      <c r="D35" s="664"/>
      <c r="E35" s="664"/>
      <c r="F35" s="162"/>
      <c r="G35" s="162"/>
      <c r="H35" s="162"/>
      <c r="I35" s="162"/>
      <c r="J35" s="6"/>
      <c r="K35" s="644" t="s">
        <v>70</v>
      </c>
      <c r="L35" s="131">
        <v>262972771.74193549</v>
      </c>
      <c r="N35" s="226" t="s">
        <v>71</v>
      </c>
      <c r="P35" s="232">
        <v>1358692654</v>
      </c>
      <c r="R35" s="162"/>
      <c r="S35" s="490"/>
      <c r="T35" s="287">
        <v>1386161735</v>
      </c>
      <c r="U35" s="233" t="s">
        <v>72</v>
      </c>
      <c r="V35" s="162"/>
      <c r="W35" s="162"/>
      <c r="X35" s="162"/>
      <c r="Y35" s="162"/>
      <c r="Z35" s="162"/>
      <c r="AA35" s="162"/>
      <c r="AB35" s="162"/>
      <c r="AC35" s="162"/>
    </row>
    <row r="36" spans="1:29" s="3" customFormat="1">
      <c r="A36" s="269"/>
      <c r="B36" s="162"/>
      <c r="C36" s="665"/>
      <c r="D36" s="665"/>
      <c r="E36" s="665"/>
      <c r="F36" s="162"/>
      <c r="G36" s="162"/>
      <c r="H36" s="162"/>
      <c r="I36" s="162"/>
      <c r="J36" s="6"/>
      <c r="K36" s="162"/>
      <c r="L36" s="670"/>
      <c r="M36" s="162"/>
      <c r="N36" s="667"/>
      <c r="O36" s="162"/>
      <c r="P36" s="667"/>
      <c r="Q36" s="162"/>
      <c r="R36" s="162"/>
      <c r="S36" s="490"/>
      <c r="T36" s="288">
        <v>27469081</v>
      </c>
      <c r="U36" s="3" t="s">
        <v>74</v>
      </c>
      <c r="V36" s="162"/>
      <c r="W36" s="162"/>
      <c r="X36" s="162"/>
      <c r="Y36" s="162"/>
      <c r="Z36" s="162"/>
      <c r="AA36" s="162"/>
      <c r="AB36" s="162"/>
      <c r="AC36" s="162"/>
    </row>
    <row r="37" spans="1:29" s="3" customFormat="1" ht="24">
      <c r="A37" s="269"/>
      <c r="B37" s="162"/>
      <c r="C37" s="162"/>
      <c r="D37" s="162"/>
      <c r="E37" s="162"/>
      <c r="F37" s="162"/>
      <c r="G37" s="162"/>
      <c r="H37" s="162"/>
      <c r="I37" s="162"/>
      <c r="J37" s="6"/>
      <c r="K37" s="644" t="s">
        <v>75</v>
      </c>
      <c r="L37" s="227">
        <v>271466785.91666669</v>
      </c>
      <c r="M37" s="162"/>
      <c r="N37" s="226" t="s">
        <v>116</v>
      </c>
      <c r="O37" s="162"/>
      <c r="P37" s="227">
        <v>3257601431</v>
      </c>
      <c r="Q37" s="162"/>
      <c r="R37" s="162"/>
      <c r="S37" s="490"/>
      <c r="T37" s="287">
        <v>3316056552</v>
      </c>
      <c r="U37" s="131" t="s">
        <v>72</v>
      </c>
      <c r="V37" s="162"/>
      <c r="W37" s="162"/>
      <c r="X37" s="162"/>
      <c r="Y37" s="162"/>
      <c r="Z37" s="162"/>
      <c r="AA37" s="162"/>
      <c r="AB37" s="162"/>
      <c r="AC37" s="162"/>
    </row>
    <row r="38" spans="1:29" s="3" customFormat="1">
      <c r="A38" s="269"/>
      <c r="B38" s="162"/>
      <c r="C38" s="162"/>
      <c r="D38" s="162"/>
      <c r="E38" s="162"/>
      <c r="F38" s="666"/>
      <c r="G38" s="666"/>
      <c r="H38" s="666"/>
      <c r="I38" s="666"/>
      <c r="J38" s="6"/>
      <c r="K38" s="162"/>
      <c r="L38" s="667"/>
      <c r="M38" s="162"/>
      <c r="N38" s="667"/>
      <c r="O38" s="162"/>
      <c r="P38" s="669"/>
      <c r="Q38" s="162"/>
      <c r="R38" s="162"/>
      <c r="S38" s="162"/>
      <c r="T38" s="288">
        <v>58455121</v>
      </c>
      <c r="U38" s="3" t="s">
        <v>74</v>
      </c>
      <c r="V38" s="162"/>
      <c r="W38" s="162"/>
      <c r="X38" s="162"/>
      <c r="Y38" s="162"/>
      <c r="Z38" s="162"/>
      <c r="AA38" s="162"/>
      <c r="AB38" s="162"/>
      <c r="AC38" s="162"/>
    </row>
    <row r="39" spans="1:29" s="3" customFormat="1" ht="24">
      <c r="A39" s="269"/>
      <c r="B39" s="162"/>
      <c r="C39" s="162"/>
      <c r="D39" s="162"/>
      <c r="E39" s="162"/>
      <c r="F39" s="162"/>
      <c r="G39" s="162"/>
      <c r="H39" s="162"/>
      <c r="I39" s="162"/>
      <c r="J39" s="6"/>
      <c r="K39" s="644" t="s">
        <v>77</v>
      </c>
      <c r="L39" s="227">
        <v>279610790.08333331</v>
      </c>
      <c r="M39" s="162"/>
      <c r="N39" s="226" t="s">
        <v>117</v>
      </c>
      <c r="O39" s="162"/>
      <c r="P39" s="227">
        <v>3355329481</v>
      </c>
      <c r="Q39" s="162"/>
      <c r="R39" s="162"/>
      <c r="S39" s="162"/>
      <c r="T39" s="287">
        <v>3415538196</v>
      </c>
      <c r="U39" s="131" t="s">
        <v>72</v>
      </c>
      <c r="V39" s="162"/>
      <c r="W39" s="162"/>
      <c r="X39" s="162"/>
      <c r="Y39" s="162"/>
      <c r="Z39" s="162"/>
      <c r="AA39" s="162"/>
      <c r="AB39" s="162"/>
      <c r="AC39" s="162"/>
    </row>
    <row r="40" spans="1:29" s="3" customFormat="1">
      <c r="A40" s="269"/>
      <c r="B40" s="162"/>
      <c r="C40" s="162"/>
      <c r="D40" s="162"/>
      <c r="E40" s="162"/>
      <c r="F40" s="162"/>
      <c r="G40" s="162"/>
      <c r="H40" s="162"/>
      <c r="I40" s="162"/>
      <c r="J40" s="6"/>
      <c r="K40" s="162"/>
      <c r="L40" s="668"/>
      <c r="M40" s="162"/>
      <c r="N40" s="667"/>
      <c r="O40" s="162"/>
      <c r="P40" s="667"/>
      <c r="Q40" s="162"/>
      <c r="R40" s="162"/>
      <c r="S40" s="162"/>
      <c r="T40" s="288">
        <v>60208715</v>
      </c>
      <c r="U40" s="3" t="s">
        <v>74</v>
      </c>
      <c r="V40" s="162"/>
      <c r="W40" s="162"/>
      <c r="X40" s="162"/>
      <c r="Y40" s="162"/>
      <c r="Z40" s="162"/>
      <c r="AA40" s="162"/>
      <c r="AB40" s="162"/>
      <c r="AC40" s="162"/>
    </row>
    <row r="41" spans="1:29" s="3" customFormat="1">
      <c r="A41" s="269"/>
      <c r="B41" s="162"/>
      <c r="C41" s="162"/>
      <c r="D41" s="162"/>
      <c r="E41" s="162"/>
      <c r="F41" s="162"/>
      <c r="G41" s="162"/>
      <c r="H41" s="162"/>
      <c r="I41" s="162"/>
      <c r="J41" s="6"/>
      <c r="K41" s="695" t="s">
        <v>78</v>
      </c>
      <c r="L41" s="696"/>
      <c r="M41" s="162"/>
      <c r="N41" s="667"/>
      <c r="O41" s="162"/>
      <c r="P41" s="227">
        <v>7971623566</v>
      </c>
      <c r="Q41" s="162"/>
      <c r="R41" s="162"/>
      <c r="S41" s="162"/>
      <c r="T41" s="287">
        <v>8117756483</v>
      </c>
      <c r="U41" s="131" t="s">
        <v>72</v>
      </c>
      <c r="V41" s="162"/>
      <c r="W41" s="162"/>
      <c r="X41" s="162"/>
      <c r="Y41" s="162"/>
      <c r="Z41" s="162"/>
      <c r="AA41" s="162"/>
      <c r="AB41" s="162"/>
      <c r="AC41" s="162"/>
    </row>
    <row r="42" spans="1:29" s="162" customFormat="1">
      <c r="A42" s="269"/>
      <c r="J42" s="6"/>
      <c r="N42" s="667"/>
      <c r="T42" s="365">
        <v>146132917</v>
      </c>
      <c r="U42" s="162" t="s">
        <v>74</v>
      </c>
    </row>
    <row r="43" spans="1:29" s="162" customFormat="1">
      <c r="A43" s="269"/>
      <c r="J43" s="6"/>
      <c r="N43" s="667"/>
    </row>
    <row r="44" spans="1:29">
      <c r="A44" s="269"/>
      <c r="J44" s="6"/>
      <c r="N44" s="777">
        <v>2024</v>
      </c>
      <c r="O44" s="777"/>
      <c r="P44" s="777"/>
    </row>
    <row r="45" spans="1:29">
      <c r="A45" s="269"/>
      <c r="J45" s="6"/>
      <c r="K45" s="784" t="s">
        <v>79</v>
      </c>
      <c r="L45" s="784"/>
      <c r="N45" s="645" t="s">
        <v>80</v>
      </c>
      <c r="O45" s="645" t="s">
        <v>81</v>
      </c>
      <c r="P45" s="645" t="s">
        <v>82</v>
      </c>
    </row>
    <row r="46" spans="1:29">
      <c r="A46" s="269"/>
      <c r="J46" s="6"/>
      <c r="K46" s="784" t="s">
        <v>119</v>
      </c>
      <c r="L46" s="784"/>
      <c r="N46" s="646">
        <v>115410729.98896343</v>
      </c>
      <c r="O46" s="646">
        <v>247308707.11920732</v>
      </c>
      <c r="P46" s="646">
        <v>1351954265.585</v>
      </c>
    </row>
    <row r="47" spans="1:29">
      <c r="J47" s="6"/>
    </row>
  </sheetData>
  <mergeCells count="27">
    <mergeCell ref="A25:E25"/>
    <mergeCell ref="A26:E26"/>
    <mergeCell ref="A4:C4"/>
    <mergeCell ref="A5:E5"/>
    <mergeCell ref="A24:E24"/>
    <mergeCell ref="A20:C20"/>
    <mergeCell ref="A17:C17"/>
    <mergeCell ref="D18:H18"/>
    <mergeCell ref="A7:C7"/>
    <mergeCell ref="K45:L45"/>
    <mergeCell ref="K46:L46"/>
    <mergeCell ref="K41:L41"/>
    <mergeCell ref="A29:E29"/>
    <mergeCell ref="A27:E27"/>
    <mergeCell ref="A28:E28"/>
    <mergeCell ref="D19:H19"/>
    <mergeCell ref="D20:H21"/>
    <mergeCell ref="F17:L17"/>
    <mergeCell ref="J2:L3"/>
    <mergeCell ref="F4:H4"/>
    <mergeCell ref="K5:L5"/>
    <mergeCell ref="O5:P5"/>
    <mergeCell ref="S5:T5"/>
    <mergeCell ref="N44:P44"/>
    <mergeCell ref="V6:W6"/>
    <mergeCell ref="N17:P17"/>
    <mergeCell ref="R17:T1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E26BC-6946-489D-BE81-8EFCD88819D9}">
  <dimension ref="A1:I20"/>
  <sheetViews>
    <sheetView topLeftCell="A2" workbookViewId="0">
      <selection activeCell="G16" sqref="G16"/>
    </sheetView>
  </sheetViews>
  <sheetFormatPr defaultColWidth="11.42578125" defaultRowHeight="12.75"/>
  <cols>
    <col min="1" max="1" width="28.42578125" customWidth="1"/>
    <col min="2" max="2" width="18" bestFit="1" customWidth="1"/>
    <col min="3" max="4" width="16.85546875" bestFit="1" customWidth="1"/>
    <col min="5" max="5" width="20.5703125" customWidth="1"/>
    <col min="7" max="7" width="16.5703125" bestFit="1" customWidth="1"/>
  </cols>
  <sheetData>
    <row r="1" spans="1:9" s="369" customFormat="1" ht="89.25">
      <c r="A1" s="372" t="s">
        <v>61</v>
      </c>
      <c r="B1" s="372" t="s">
        <v>62</v>
      </c>
      <c r="C1" s="372" t="s">
        <v>63</v>
      </c>
      <c r="D1" s="372" t="s">
        <v>64</v>
      </c>
      <c r="E1" s="372" t="s">
        <v>259</v>
      </c>
    </row>
    <row r="2" spans="1:9" s="375" customFormat="1" ht="25.5">
      <c r="A2" s="377" t="s">
        <v>65</v>
      </c>
      <c r="B2" s="373">
        <v>1048883976.1810253</v>
      </c>
      <c r="C2" s="373">
        <f>+'02. ANÁLISIS FINAL (2)'!U25</f>
        <v>2514804228</v>
      </c>
      <c r="D2" s="373">
        <v>2584477188</v>
      </c>
      <c r="E2" s="836">
        <f>+B6+C6+D6</f>
        <v>8070222855</v>
      </c>
      <c r="F2" s="374"/>
      <c r="G2" s="374"/>
      <c r="H2" s="374"/>
      <c r="I2" s="374"/>
    </row>
    <row r="3" spans="1:9" s="375" customFormat="1" ht="25.5">
      <c r="A3" s="377" t="s">
        <v>66</v>
      </c>
      <c r="B3" s="373">
        <v>108081701.72114639</v>
      </c>
      <c r="C3" s="373">
        <f>+'02. ANÁLISIS FINAL (2)'!U26</f>
        <v>259136688</v>
      </c>
      <c r="D3" s="373">
        <v>266316096</v>
      </c>
      <c r="E3" s="836"/>
      <c r="F3" s="374"/>
      <c r="G3" s="374"/>
      <c r="H3" s="374"/>
      <c r="I3" s="374"/>
    </row>
    <row r="4" spans="1:9" s="375" customFormat="1">
      <c r="A4" s="377" t="s">
        <v>67</v>
      </c>
      <c r="B4" s="373">
        <v>1156965677.9021716</v>
      </c>
      <c r="C4" s="373">
        <f>+'02. ANÁLISIS FINAL (2)'!U27</f>
        <v>2773940916</v>
      </c>
      <c r="D4" s="373">
        <v>2850793284</v>
      </c>
      <c r="E4" s="836"/>
      <c r="F4" s="374"/>
      <c r="G4" s="374"/>
      <c r="H4" s="374"/>
      <c r="I4" s="374"/>
    </row>
    <row r="5" spans="1:9" s="375" customFormat="1">
      <c r="A5" s="377" t="s">
        <v>68</v>
      </c>
      <c r="B5" s="373">
        <v>219823479</v>
      </c>
      <c r="C5" s="373">
        <f>+'02. ANÁLISIS FINAL (2)'!U28</f>
        <v>527048774</v>
      </c>
      <c r="D5" s="373">
        <v>541650724</v>
      </c>
      <c r="E5" s="836"/>
      <c r="F5" s="374"/>
      <c r="G5" s="374"/>
      <c r="H5" s="374"/>
      <c r="I5" s="374"/>
    </row>
    <row r="6" spans="1:9" s="375" customFormat="1">
      <c r="A6" s="378" t="s">
        <v>69</v>
      </c>
      <c r="B6" s="376">
        <v>1376789157</v>
      </c>
      <c r="C6" s="376">
        <f>+'02. ANÁLISIS FINAL (2)'!U29</f>
        <v>3300989690</v>
      </c>
      <c r="D6" s="376">
        <v>3392444008</v>
      </c>
      <c r="E6" s="836"/>
      <c r="F6" s="374"/>
      <c r="G6" s="374"/>
      <c r="H6" s="374"/>
      <c r="I6" s="374"/>
    </row>
    <row r="8" spans="1:9">
      <c r="B8" s="370">
        <v>1386161735</v>
      </c>
      <c r="C8" s="370">
        <v>3316056552</v>
      </c>
      <c r="D8" s="370">
        <v>3415538196</v>
      </c>
      <c r="E8" s="370">
        <v>1423500</v>
      </c>
    </row>
    <row r="9" spans="1:9">
      <c r="E9" s="371">
        <f>+E2/E8</f>
        <v>5669.2819494204423</v>
      </c>
    </row>
    <row r="10" spans="1:9">
      <c r="B10" s="371">
        <f>+B8-B6</f>
        <v>9372578</v>
      </c>
      <c r="C10" s="371">
        <f t="shared" ref="C10:D10" si="0">+C8-C6</f>
        <v>15066862</v>
      </c>
      <c r="D10" s="371">
        <f t="shared" si="0"/>
        <v>23094188</v>
      </c>
    </row>
    <row r="14" spans="1:9" ht="13.5" thickBot="1"/>
    <row r="15" spans="1:9" ht="13.5" thickBot="1">
      <c r="A15" s="379" t="s">
        <v>260</v>
      </c>
      <c r="B15" s="380" t="s">
        <v>261</v>
      </c>
      <c r="C15" s="380" t="s">
        <v>262</v>
      </c>
      <c r="D15" s="380" t="s">
        <v>263</v>
      </c>
      <c r="E15" s="380" t="s">
        <v>264</v>
      </c>
    </row>
    <row r="16" spans="1:9" ht="24.75" thickBot="1">
      <c r="A16" s="381" t="s">
        <v>265</v>
      </c>
      <c r="B16" s="382">
        <v>0.5</v>
      </c>
      <c r="C16" s="382">
        <v>0.3</v>
      </c>
      <c r="D16" s="382">
        <v>0.2</v>
      </c>
      <c r="E16" s="382">
        <v>1</v>
      </c>
    </row>
    <row r="17" spans="1:9" ht="24.75" thickBot="1">
      <c r="A17" s="381" t="s">
        <v>266</v>
      </c>
      <c r="B17" s="383">
        <f>ROUND((+E2*50%),0)</f>
        <v>4035111428</v>
      </c>
      <c r="C17" s="383">
        <f>ROUND((+E2*C16),0)</f>
        <v>2421066857</v>
      </c>
      <c r="D17" s="383">
        <f>+E2*D16</f>
        <v>1614044571</v>
      </c>
      <c r="E17" s="383">
        <f>+E2*E16</f>
        <v>8070222855</v>
      </c>
      <c r="G17" s="368">
        <f>+E2*60%</f>
        <v>4842133713</v>
      </c>
    </row>
    <row r="18" spans="1:9" ht="24.75" thickBot="1">
      <c r="A18" s="381" t="s">
        <v>267</v>
      </c>
      <c r="B18" s="384">
        <f>+B17/E8</f>
        <v>2834.640975061468</v>
      </c>
      <c r="C18" s="384">
        <f>+C17/E8</f>
        <v>1700.7845851773798</v>
      </c>
      <c r="D18" s="384">
        <f>+D17/E8</f>
        <v>1133.8563898840885</v>
      </c>
      <c r="E18" s="384">
        <f>+E17/E8</f>
        <v>5669.2819494204423</v>
      </c>
    </row>
    <row r="19" spans="1:9">
      <c r="G19">
        <v>243</v>
      </c>
      <c r="H19">
        <v>142</v>
      </c>
      <c r="I19" s="385">
        <f>+H19/G19</f>
        <v>0.58436213991769548</v>
      </c>
    </row>
    <row r="20" spans="1:9">
      <c r="H20">
        <v>47</v>
      </c>
      <c r="I20" s="385">
        <f>+H20/G19</f>
        <v>0.19341563786008231</v>
      </c>
    </row>
  </sheetData>
  <mergeCells count="1">
    <mergeCell ref="E2:E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4A85-E0AD-4ADA-BDB5-F9D2B35390C1}">
  <dimension ref="A2:AW36"/>
  <sheetViews>
    <sheetView zoomScale="90" zoomScaleNormal="90" workbookViewId="0">
      <pane xSplit="3" topLeftCell="H1" activePane="topRight" state="frozen"/>
      <selection pane="topRight" activeCell="H29" sqref="H29:I29"/>
      <selection activeCell="A19" sqref="A19"/>
    </sheetView>
  </sheetViews>
  <sheetFormatPr defaultColWidth="7.28515625" defaultRowHeight="12"/>
  <cols>
    <col min="1" max="1" width="4" style="27" bestFit="1" customWidth="1"/>
    <col min="2" max="2" width="61.85546875" style="32" bestFit="1" customWidth="1"/>
    <col min="3" max="3" width="10.140625" style="32" bestFit="1" customWidth="1"/>
    <col min="4" max="4" width="14.140625" style="71" bestFit="1" customWidth="1"/>
    <col min="5" max="9" width="12.28515625" style="71" bestFit="1" customWidth="1"/>
    <col min="10" max="13" width="13.7109375" style="71" bestFit="1" customWidth="1"/>
    <col min="14" max="14" width="12.28515625" style="71" bestFit="1" customWidth="1"/>
    <col min="15" max="15" width="12.5703125" style="71" bestFit="1" customWidth="1"/>
    <col min="16" max="16" width="12.28515625" style="71" bestFit="1" customWidth="1"/>
    <col min="17" max="17" width="12.5703125" style="71" bestFit="1" customWidth="1"/>
    <col min="18" max="18" width="13.42578125" style="71" customWidth="1"/>
    <col min="19" max="19" width="12.5703125" style="71" bestFit="1" customWidth="1"/>
    <col min="20" max="20" width="1.42578125" style="3" customWidth="1"/>
    <col min="21" max="21" width="16.28515625" style="3" bestFit="1" customWidth="1"/>
    <col min="22" max="23" width="16.28515625" style="4" bestFit="1" customWidth="1"/>
    <col min="24" max="24" width="16.85546875" style="4" bestFit="1" customWidth="1"/>
    <col min="25" max="28" width="16.28515625" style="4" bestFit="1" customWidth="1"/>
    <col min="29" max="29" width="2.28515625" style="4" customWidth="1"/>
    <col min="30" max="31" width="11.42578125" style="4" hidden="1" customWidth="1"/>
    <col min="32" max="32" width="15.5703125" style="4" bestFit="1" customWidth="1"/>
    <col min="33" max="33" width="1" style="4" hidden="1" customWidth="1"/>
    <col min="34" max="34" width="17.140625" style="4" bestFit="1" customWidth="1"/>
    <col min="35" max="35" width="20.28515625" style="4" bestFit="1" customWidth="1"/>
    <col min="36" max="36" width="2" style="4" customWidth="1"/>
    <col min="37" max="37" width="17.28515625" style="4" customWidth="1"/>
    <col min="38" max="38" width="1.140625" style="4" hidden="1" customWidth="1"/>
    <col min="39" max="39" width="17.140625" style="4" bestFit="1" customWidth="1"/>
    <col min="40" max="40" width="20.28515625" style="4" bestFit="1" customWidth="1"/>
    <col min="41" max="41" width="1.7109375" style="4" customWidth="1"/>
    <col min="42" max="42" width="14.28515625" style="4" bestFit="1" customWidth="1"/>
    <col min="43" max="43" width="17.140625" style="4" bestFit="1" customWidth="1"/>
    <col min="44" max="44" width="13.140625" style="4" bestFit="1" customWidth="1"/>
    <col min="45" max="45" width="17.140625" style="4" bestFit="1" customWidth="1"/>
    <col min="46" max="46" width="13.140625" style="4" bestFit="1" customWidth="1"/>
    <col min="47" max="47" width="17.140625" style="4" bestFit="1" customWidth="1"/>
    <col min="48" max="48" width="13.140625" style="4" bestFit="1" customWidth="1"/>
    <col min="49" max="49" width="17.140625" style="4" bestFit="1" customWidth="1"/>
    <col min="50" max="215" width="11.42578125" style="4" customWidth="1"/>
    <col min="216" max="16384" width="7.28515625" style="4"/>
  </cols>
  <sheetData>
    <row r="2" spans="1:49" ht="12.75" thickBot="1">
      <c r="A2" s="1"/>
      <c r="B2" s="1"/>
      <c r="C2" s="2"/>
      <c r="D2" s="2"/>
      <c r="E2" s="6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U2" s="4"/>
      <c r="AG2" s="705" t="s">
        <v>0</v>
      </c>
      <c r="AH2" s="706"/>
      <c r="AI2" s="707"/>
      <c r="AM2" s="705" t="s">
        <v>1</v>
      </c>
      <c r="AN2" s="707"/>
    </row>
    <row r="3" spans="1:49" s="5" customFormat="1" ht="12.75" thickBot="1">
      <c r="A3" s="864" t="s">
        <v>3</v>
      </c>
      <c r="B3" s="865"/>
      <c r="C3" s="865"/>
      <c r="AC3" s="6"/>
      <c r="AF3" s="7"/>
      <c r="AG3" s="708"/>
      <c r="AH3" s="709"/>
      <c r="AI3" s="710"/>
      <c r="AJ3" s="6"/>
      <c r="AM3" s="708"/>
      <c r="AN3" s="710"/>
    </row>
    <row r="4" spans="1:49" s="5" customFormat="1" ht="12.75" thickBot="1">
      <c r="A4" s="868"/>
      <c r="B4" s="868"/>
      <c r="C4" s="868"/>
      <c r="D4" s="65"/>
      <c r="V4" s="859" t="s">
        <v>4</v>
      </c>
      <c r="W4" s="860"/>
      <c r="X4" s="861"/>
      <c r="Z4" s="862" t="s">
        <v>5</v>
      </c>
      <c r="AA4" s="860"/>
      <c r="AB4" s="863"/>
      <c r="AC4" s="33"/>
      <c r="AJ4" s="33"/>
      <c r="AL4" s="8"/>
    </row>
    <row r="5" spans="1:49" s="8" customFormat="1" ht="64.5" customHeight="1" thickBot="1">
      <c r="A5" s="866" t="s">
        <v>6</v>
      </c>
      <c r="B5" s="867"/>
      <c r="C5" s="867"/>
      <c r="D5" s="844" t="s">
        <v>7</v>
      </c>
      <c r="E5" s="844"/>
      <c r="F5" s="844" t="s">
        <v>8</v>
      </c>
      <c r="G5" s="844"/>
      <c r="H5" s="844" t="s">
        <v>9</v>
      </c>
      <c r="I5" s="844"/>
      <c r="J5" s="844" t="s">
        <v>268</v>
      </c>
      <c r="K5" s="844"/>
      <c r="L5" s="844" t="s">
        <v>269</v>
      </c>
      <c r="M5" s="844"/>
      <c r="N5" s="844" t="s">
        <v>270</v>
      </c>
      <c r="O5" s="844"/>
      <c r="P5" s="844" t="s">
        <v>271</v>
      </c>
      <c r="Q5" s="844"/>
      <c r="R5" s="844" t="s">
        <v>272</v>
      </c>
      <c r="S5" s="844"/>
      <c r="T5" s="34"/>
      <c r="U5" s="35" t="s">
        <v>13</v>
      </c>
      <c r="V5" s="36" t="s">
        <v>14</v>
      </c>
      <c r="W5" s="36" t="s">
        <v>15</v>
      </c>
      <c r="X5" s="37" t="s">
        <v>16</v>
      </c>
      <c r="Y5" s="38" t="s">
        <v>13</v>
      </c>
      <c r="Z5" s="36" t="s">
        <v>14</v>
      </c>
      <c r="AA5" s="36" t="s">
        <v>15</v>
      </c>
      <c r="AB5" s="39" t="s">
        <v>16</v>
      </c>
      <c r="AC5" s="40"/>
      <c r="AE5" s="9"/>
      <c r="AF5" s="10"/>
      <c r="AG5" s="9"/>
      <c r="AH5" s="858" t="s">
        <v>17</v>
      </c>
      <c r="AI5" s="858"/>
      <c r="AJ5" s="40"/>
      <c r="AK5" s="10"/>
      <c r="AL5" s="9"/>
      <c r="AM5" s="858" t="s">
        <v>18</v>
      </c>
      <c r="AN5" s="858"/>
      <c r="AP5" s="111"/>
      <c r="AQ5" s="837" t="s">
        <v>273</v>
      </c>
      <c r="AR5" s="837"/>
      <c r="AS5" s="838"/>
      <c r="AT5" s="106"/>
      <c r="AU5" s="839" t="s">
        <v>274</v>
      </c>
      <c r="AV5" s="839"/>
      <c r="AW5" s="840"/>
    </row>
    <row r="6" spans="1:49" s="8" customFormat="1" ht="48.75" customHeight="1" thickBot="1">
      <c r="A6" s="11" t="s">
        <v>21</v>
      </c>
      <c r="B6" s="12" t="s">
        <v>22</v>
      </c>
      <c r="C6" s="41" t="s">
        <v>23</v>
      </c>
      <c r="D6" s="66" t="s">
        <v>275</v>
      </c>
      <c r="E6" s="66" t="s">
        <v>276</v>
      </c>
      <c r="F6" s="67" t="s">
        <v>275</v>
      </c>
      <c r="G6" s="67" t="s">
        <v>276</v>
      </c>
      <c r="H6" s="67" t="s">
        <v>275</v>
      </c>
      <c r="I6" s="67" t="s">
        <v>276</v>
      </c>
      <c r="J6" s="67" t="s">
        <v>275</v>
      </c>
      <c r="K6" s="67" t="s">
        <v>276</v>
      </c>
      <c r="L6" s="67" t="s">
        <v>275</v>
      </c>
      <c r="M6" s="67" t="s">
        <v>276</v>
      </c>
      <c r="N6" s="67" t="s">
        <v>275</v>
      </c>
      <c r="O6" s="67" t="s">
        <v>276</v>
      </c>
      <c r="P6" s="67" t="s">
        <v>275</v>
      </c>
      <c r="Q6" s="67" t="s">
        <v>276</v>
      </c>
      <c r="R6" s="67" t="s">
        <v>275</v>
      </c>
      <c r="S6" s="67" t="s">
        <v>276</v>
      </c>
      <c r="T6" s="42"/>
      <c r="U6" s="43" t="s">
        <v>25</v>
      </c>
      <c r="V6" s="44" t="s">
        <v>25</v>
      </c>
      <c r="W6" s="44" t="s">
        <v>25</v>
      </c>
      <c r="X6" s="45" t="s">
        <v>25</v>
      </c>
      <c r="Y6" s="46" t="s">
        <v>29</v>
      </c>
      <c r="Z6" s="47" t="s">
        <v>29</v>
      </c>
      <c r="AA6" s="47" t="s">
        <v>29</v>
      </c>
      <c r="AB6" s="48" t="s">
        <v>29</v>
      </c>
      <c r="AC6" s="40"/>
      <c r="AE6" s="13"/>
      <c r="AF6" s="82" t="s">
        <v>27</v>
      </c>
      <c r="AH6" s="44" t="s">
        <v>28</v>
      </c>
      <c r="AI6" s="44" t="s">
        <v>29</v>
      </c>
      <c r="AJ6" s="40"/>
      <c r="AK6" s="82" t="s">
        <v>27</v>
      </c>
      <c r="AM6" s="44" t="s">
        <v>28</v>
      </c>
      <c r="AN6" s="44" t="s">
        <v>29</v>
      </c>
      <c r="AP6" s="112" t="s">
        <v>30</v>
      </c>
      <c r="AQ6" s="95" t="s">
        <v>31</v>
      </c>
      <c r="AR6" s="95" t="s">
        <v>32</v>
      </c>
      <c r="AS6" s="113" t="s">
        <v>277</v>
      </c>
      <c r="AT6" s="107" t="s">
        <v>30</v>
      </c>
      <c r="AU6" s="94" t="s">
        <v>31</v>
      </c>
      <c r="AV6" s="94" t="s">
        <v>32</v>
      </c>
      <c r="AW6" s="97" t="s">
        <v>277</v>
      </c>
    </row>
    <row r="7" spans="1:49" s="8" customFormat="1">
      <c r="A7" s="855" t="s">
        <v>35</v>
      </c>
      <c r="B7" s="856"/>
      <c r="C7" s="857"/>
      <c r="D7" s="66"/>
      <c r="E7" s="66"/>
      <c r="F7" s="67"/>
      <c r="G7" s="67"/>
      <c r="H7" s="67"/>
      <c r="I7" s="67"/>
      <c r="J7" s="68"/>
      <c r="K7" s="67"/>
      <c r="L7" s="67"/>
      <c r="M7" s="67"/>
      <c r="N7" s="67"/>
      <c r="O7" s="67"/>
      <c r="P7" s="67"/>
      <c r="Q7" s="67"/>
      <c r="R7" s="67"/>
      <c r="S7" s="67"/>
      <c r="T7" s="42"/>
      <c r="U7" s="43"/>
      <c r="V7" s="44"/>
      <c r="W7" s="44"/>
      <c r="X7" s="45"/>
      <c r="Y7" s="46"/>
      <c r="Z7" s="47"/>
      <c r="AA7" s="47"/>
      <c r="AB7" s="48"/>
      <c r="AC7" s="40"/>
      <c r="AE7" s="13"/>
      <c r="AF7" s="49"/>
      <c r="AH7" s="44"/>
      <c r="AI7" s="44"/>
      <c r="AJ7" s="40"/>
      <c r="AK7" s="49"/>
      <c r="AM7" s="44"/>
      <c r="AN7" s="44"/>
      <c r="AP7" s="102"/>
      <c r="AQ7" s="100"/>
      <c r="AR7" s="100"/>
      <c r="AS7" s="103"/>
      <c r="AT7" s="108"/>
      <c r="AU7" s="100"/>
      <c r="AV7" s="100"/>
      <c r="AW7" s="103"/>
    </row>
    <row r="8" spans="1:49" s="61" customFormat="1">
      <c r="A8" s="14" t="s">
        <v>36</v>
      </c>
      <c r="B8" s="15" t="s">
        <v>37</v>
      </c>
      <c r="C8" s="16">
        <v>1</v>
      </c>
      <c r="D8" s="70">
        <f>+E8/1.19</f>
        <v>75594957.983193278</v>
      </c>
      <c r="E8" s="69">
        <v>89958000</v>
      </c>
      <c r="F8" s="70">
        <f>+G8/1.19</f>
        <v>81208852.941176474</v>
      </c>
      <c r="G8" s="70">
        <v>96638535</v>
      </c>
      <c r="H8" s="70">
        <f>+I8/1.19</f>
        <v>56909005.042016812</v>
      </c>
      <c r="I8" s="70">
        <v>67721716</v>
      </c>
      <c r="J8" s="70">
        <f t="shared" ref="J8" si="0">+K8/1.19</f>
        <v>47789915.966386557</v>
      </c>
      <c r="K8" s="70">
        <v>56870000</v>
      </c>
      <c r="L8" s="70">
        <f>+M8/1.19</f>
        <v>52134453.781512611</v>
      </c>
      <c r="M8" s="70">
        <v>62040000</v>
      </c>
      <c r="N8" s="70">
        <f>+O8/1.19</f>
        <v>72988235.294117644</v>
      </c>
      <c r="O8" s="70">
        <v>86856000</v>
      </c>
      <c r="P8" s="70">
        <f>+Q8/1.19</f>
        <v>64014592.436974794</v>
      </c>
      <c r="Q8" s="70">
        <v>76177365</v>
      </c>
      <c r="R8" s="70">
        <f>+S8/1.19</f>
        <v>60018416.247058831</v>
      </c>
      <c r="S8" s="70">
        <f>67891554.5*5.2%+67891554.5</f>
        <v>71421915.334000006</v>
      </c>
      <c r="T8" s="50"/>
      <c r="U8" s="51">
        <f>AVERAGE(D8,F8,H8,J8,L8,N8,P8,R8)</f>
        <v>63832303.711554624</v>
      </c>
      <c r="V8" s="52">
        <f>+MEDIAN(D8,F8,H8,J8,L8,N8,P8,R8)</f>
        <v>62016504.342016816</v>
      </c>
      <c r="W8" s="52">
        <f>GEOMEAN(D8,F8,H8,J8,L8,N8,P8,R8)</f>
        <v>62870126.490380272</v>
      </c>
      <c r="X8" s="53">
        <f>HARMEAN(D8,F8,H8,J8,L8,N8,P8,R8)</f>
        <v>61917513.764404714</v>
      </c>
      <c r="Y8" s="54">
        <f>AVERAGE(E8,G8,I8,K8,M8,O8,Q8,S8)</f>
        <v>75960441.416749999</v>
      </c>
      <c r="Z8" s="52">
        <f>MEDIAN(E8,G8,I8,K8,M8,O8,Q8,S8)</f>
        <v>73799640.166999996</v>
      </c>
      <c r="AA8" s="52">
        <f>GEOMEAN(E8,G8,I8,K8,M8,O8,Q8,S8)</f>
        <v>74815450.523552522</v>
      </c>
      <c r="AB8" s="55">
        <f>HARMEAN(E8,G8,I8,K8,M8,O8,Q8,S8)</f>
        <v>73681841.379641607</v>
      </c>
      <c r="AC8" s="56"/>
      <c r="AD8" s="8"/>
      <c r="AE8" s="57"/>
      <c r="AF8" s="57">
        <f>MIN(Z8:AB8)</f>
        <v>73681841.379641607</v>
      </c>
      <c r="AG8" s="58"/>
      <c r="AH8" s="81">
        <f>+((MIN(Z8:AB8)*3)+SMALL(Z8:AB8,2)+SMALL(Z8:AB8,3))/5</f>
        <v>73932122.965895474</v>
      </c>
      <c r="AI8" s="59">
        <f>ROUND((AH8*C8),0)</f>
        <v>73932123</v>
      </c>
      <c r="AJ8" s="56"/>
      <c r="AK8" s="57">
        <f>MIN(Y8:AA8)</f>
        <v>73799640.166999996</v>
      </c>
      <c r="AL8" s="58"/>
      <c r="AM8" s="81">
        <f>+((MIN(Y8:AA8)*3)+SMALL(Y8:AA8,2)+SMALL(Y8:AA8,3))/5</f>
        <v>74434962.488260508</v>
      </c>
      <c r="AN8" s="60">
        <f>ROUND((AM8*C8),0)</f>
        <v>74434962</v>
      </c>
      <c r="AP8" s="104">
        <f>ROUND((+AI8/155)*30,0)</f>
        <v>14309443</v>
      </c>
      <c r="AQ8" s="96">
        <f>ROUND((+AP8*3%),0)</f>
        <v>429283</v>
      </c>
      <c r="AR8" s="91">
        <f>ROUND((+AP8+AQ8),)</f>
        <v>14738726</v>
      </c>
      <c r="AS8" s="98">
        <f>ROUND((+AR8*12),0)</f>
        <v>176864712</v>
      </c>
      <c r="AT8" s="109">
        <f>ROUND((+AS8/360)*30,0)</f>
        <v>14738726</v>
      </c>
      <c r="AU8" s="91">
        <f>+AT8*3%</f>
        <v>442161.77999999997</v>
      </c>
      <c r="AV8" s="91">
        <f>+AT8+AU8</f>
        <v>15180887.779999999</v>
      </c>
      <c r="AW8" s="98">
        <f>ROUND((+AV8*12),0)</f>
        <v>182170653</v>
      </c>
    </row>
    <row r="9" spans="1:49" s="61" customFormat="1">
      <c r="A9" s="17" t="s">
        <v>38</v>
      </c>
      <c r="B9" s="18" t="s">
        <v>39</v>
      </c>
      <c r="C9" s="19">
        <v>1</v>
      </c>
      <c r="D9" s="70">
        <f t="shared" ref="D9:H21" si="1">+E9/1.19</f>
        <v>37363025.210084036</v>
      </c>
      <c r="E9" s="69">
        <v>44462000</v>
      </c>
      <c r="F9" s="70">
        <f t="shared" si="1"/>
        <v>63613595.798319332</v>
      </c>
      <c r="G9" s="70">
        <v>75700179</v>
      </c>
      <c r="H9" s="70">
        <f t="shared" ref="H9" si="2">+I9/1.19</f>
        <v>47424171.428571433</v>
      </c>
      <c r="I9" s="70">
        <v>56434764</v>
      </c>
      <c r="J9" s="70">
        <f t="shared" ref="J9" si="3">+K9/1.19</f>
        <v>39535294.117647059</v>
      </c>
      <c r="K9" s="70">
        <v>47047000</v>
      </c>
      <c r="L9" s="70">
        <f t="shared" ref="L9:N9" si="4">+M9/1.19</f>
        <v>39100840.336134456</v>
      </c>
      <c r="M9" s="70">
        <v>46530000</v>
      </c>
      <c r="N9" s="70">
        <f t="shared" si="4"/>
        <v>59302941.176470593</v>
      </c>
      <c r="O9" s="70">
        <v>70570500</v>
      </c>
      <c r="P9" s="70">
        <f t="shared" ref="P9:P16" si="5">+Q9/1.19</f>
        <v>40430268.907563031</v>
      </c>
      <c r="Q9" s="70">
        <v>48112020</v>
      </c>
      <c r="R9" s="70">
        <f t="shared" ref="R9" si="6">+S9/1.19</f>
        <v>52379038.892436974</v>
      </c>
      <c r="S9" s="70">
        <f>59250053.5*5.2%+59250053.5</f>
        <v>62331056.281999998</v>
      </c>
      <c r="T9" s="50"/>
      <c r="U9" s="51">
        <f t="shared" ref="U9:U16" si="7">AVERAGE(D9,F9,H9,J9,L9,N9,P9,R9)</f>
        <v>47393646.983403362</v>
      </c>
      <c r="V9" s="52">
        <f t="shared" ref="V9:V16" si="8">+MEDIAN(D9,F9,H9,J9,L9,N9,P9,R9)</f>
        <v>43927220.168067232</v>
      </c>
      <c r="W9" s="52">
        <f t="shared" ref="W9:W16" si="9">GEOMEAN(D9,F9,H9,J9,L9,N9,P9,R9)</f>
        <v>46506418.767982259</v>
      </c>
      <c r="X9" s="53">
        <f t="shared" ref="X9:X16" si="10">HARMEAN(D9,F9,H9,J9,L9,N9,P9,R9)</f>
        <v>45681002.542425439</v>
      </c>
      <c r="Y9" s="54">
        <f t="shared" ref="Y9:Y19" si="11">AVERAGE(E9,G9,I9,K9,M9,O9,Q9,S9)</f>
        <v>56398439.910250001</v>
      </c>
      <c r="Z9" s="52">
        <f t="shared" ref="Z9:Z19" si="12">MEDIAN(E9,G9,I9,K9,M9,O9,Q9,S9)</f>
        <v>52273392</v>
      </c>
      <c r="AA9" s="52">
        <f t="shared" ref="AA9:AA19" si="13">GEOMEAN(E9,G9,I9,K9,M9,O9,Q9,S9)</f>
        <v>55342638.333898887</v>
      </c>
      <c r="AB9" s="55">
        <f t="shared" ref="AB9:AB19" si="14">HARMEAN(E9,G9,I9,K9,M9,O9,Q9,S9)</f>
        <v>54360393.025486261</v>
      </c>
      <c r="AC9" s="56"/>
      <c r="AD9" s="8"/>
      <c r="AE9" s="57"/>
      <c r="AF9" s="57">
        <f t="shared" ref="AF9:AF16" si="15">MIN(Z9:AB9)</f>
        <v>52273392</v>
      </c>
      <c r="AG9" s="58"/>
      <c r="AH9" s="81">
        <f t="shared" ref="AH9:AH21" si="16">+((MIN(Z9:AB9)*3)+SMALL(Z9:AB9,2)+SMALL(Z9:AB9,3))/5</f>
        <v>53304641.471877024</v>
      </c>
      <c r="AI9" s="59">
        <f t="shared" ref="AI9:AI21" si="17">ROUND((AH9*C9),0)</f>
        <v>53304641</v>
      </c>
      <c r="AJ9" s="56"/>
      <c r="AK9" s="57">
        <f t="shared" ref="AK9:AK21" si="18">MIN(Y9:AA9)</f>
        <v>52273392</v>
      </c>
      <c r="AL9" s="58"/>
      <c r="AM9" s="81">
        <f t="shared" ref="AM9:AM21" si="19">+((MIN(Y9:AA9)*3)+SMALL(Y9:AA9,2)+SMALL(Y9:AA9,3))/5</f>
        <v>53712250.848829783</v>
      </c>
      <c r="AN9" s="60">
        <f t="shared" ref="AN9:AN19" si="20">ROUND((AM9*C9),0)</f>
        <v>53712251</v>
      </c>
      <c r="AP9" s="104">
        <f t="shared" ref="AP9:AP21" si="21">ROUND((+AI9/155)*30,0)</f>
        <v>10317027</v>
      </c>
      <c r="AQ9" s="96">
        <f t="shared" ref="AQ9:AQ22" si="22">ROUND((+AP9*3%),0)</f>
        <v>309511</v>
      </c>
      <c r="AR9" s="91">
        <f t="shared" ref="AR9:AR22" si="23">ROUND((+AP9+AQ9),)</f>
        <v>10626538</v>
      </c>
      <c r="AS9" s="98">
        <f t="shared" ref="AS9:AS21" si="24">ROUND((+AR9*12),0)</f>
        <v>127518456</v>
      </c>
      <c r="AT9" s="109">
        <f t="shared" ref="AT9:AT21" si="25">ROUND((+AS9/360)*30,0)</f>
        <v>10626538</v>
      </c>
      <c r="AU9" s="91">
        <f t="shared" ref="AU9:AU21" si="26">+AT9*3%</f>
        <v>318796.14</v>
      </c>
      <c r="AV9" s="91">
        <f t="shared" ref="AV9:AV16" si="27">+AT9+AU9</f>
        <v>10945334.140000001</v>
      </c>
      <c r="AW9" s="98">
        <f t="shared" ref="AW9:AW21" si="28">ROUND((+AV9*12),0)</f>
        <v>131344010</v>
      </c>
    </row>
    <row r="10" spans="1:49" s="61" customFormat="1">
      <c r="A10" s="17" t="s">
        <v>40</v>
      </c>
      <c r="B10" s="18" t="s">
        <v>41</v>
      </c>
      <c r="C10" s="19">
        <v>1</v>
      </c>
      <c r="D10" s="70">
        <f t="shared" si="1"/>
        <v>45617647.058823533</v>
      </c>
      <c r="E10" s="69">
        <v>54285000</v>
      </c>
      <c r="F10" s="70">
        <f t="shared" si="1"/>
        <v>79175510.084033623</v>
      </c>
      <c r="G10" s="70">
        <v>94218857</v>
      </c>
      <c r="H10" s="70">
        <f t="shared" ref="H10" si="29">+I10/1.19</f>
        <v>44262559.663865551</v>
      </c>
      <c r="I10" s="70">
        <v>52672446</v>
      </c>
      <c r="J10" s="70">
        <f t="shared" ref="J10" si="30">+K10/1.19</f>
        <v>39535294.117647059</v>
      </c>
      <c r="K10" s="70">
        <v>47047000</v>
      </c>
      <c r="L10" s="70">
        <f t="shared" ref="L10:N10" si="31">+M10/1.19</f>
        <v>39100840.336134456</v>
      </c>
      <c r="M10" s="70">
        <v>46530000</v>
      </c>
      <c r="N10" s="70">
        <f t="shared" si="31"/>
        <v>59302941.176470593</v>
      </c>
      <c r="O10" s="70">
        <v>70570500</v>
      </c>
      <c r="P10" s="70">
        <f t="shared" si="5"/>
        <v>40430268.907563031</v>
      </c>
      <c r="Q10" s="70">
        <v>48112020</v>
      </c>
      <c r="R10" s="70">
        <f t="shared" ref="R10" si="32">+S10/1.19</f>
        <v>51257901.717647061</v>
      </c>
      <c r="S10" s="70">
        <f>57981847*5.2%+57981847</f>
        <v>60996903.044</v>
      </c>
      <c r="T10" s="50"/>
      <c r="U10" s="51">
        <f t="shared" si="7"/>
        <v>49835370.382773116</v>
      </c>
      <c r="V10" s="52">
        <f t="shared" si="8"/>
        <v>44940103.361344546</v>
      </c>
      <c r="W10" s="52">
        <f t="shared" si="9"/>
        <v>48451740.050262533</v>
      </c>
      <c r="X10" s="53">
        <f t="shared" si="10"/>
        <v>47304131.411348164</v>
      </c>
      <c r="Y10" s="54">
        <f t="shared" si="11"/>
        <v>59304090.755500004</v>
      </c>
      <c r="Z10" s="52">
        <f t="shared" si="12"/>
        <v>53478723</v>
      </c>
      <c r="AA10" s="52">
        <f t="shared" si="13"/>
        <v>57657570.659812406</v>
      </c>
      <c r="AB10" s="55">
        <f t="shared" si="14"/>
        <v>56291916.379504301</v>
      </c>
      <c r="AC10" s="56"/>
      <c r="AD10" s="8"/>
      <c r="AE10" s="57"/>
      <c r="AF10" s="57">
        <f t="shared" si="15"/>
        <v>53478723</v>
      </c>
      <c r="AG10" s="58"/>
      <c r="AH10" s="81">
        <f t="shared" si="16"/>
        <v>54877131.207863346</v>
      </c>
      <c r="AI10" s="59">
        <f t="shared" si="17"/>
        <v>54877131</v>
      </c>
      <c r="AJ10" s="56"/>
      <c r="AK10" s="57">
        <f t="shared" si="18"/>
        <v>53478723</v>
      </c>
      <c r="AL10" s="58"/>
      <c r="AM10" s="81">
        <f t="shared" si="19"/>
        <v>55479566.083062485</v>
      </c>
      <c r="AN10" s="60">
        <f t="shared" si="20"/>
        <v>55479566</v>
      </c>
      <c r="AP10" s="104">
        <f t="shared" si="21"/>
        <v>10621380</v>
      </c>
      <c r="AQ10" s="96">
        <f t="shared" si="22"/>
        <v>318641</v>
      </c>
      <c r="AR10" s="91">
        <f t="shared" si="23"/>
        <v>10940021</v>
      </c>
      <c r="AS10" s="98">
        <f t="shared" si="24"/>
        <v>131280252</v>
      </c>
      <c r="AT10" s="109">
        <f t="shared" si="25"/>
        <v>10940021</v>
      </c>
      <c r="AU10" s="91">
        <f t="shared" si="26"/>
        <v>328200.63</v>
      </c>
      <c r="AV10" s="91">
        <f t="shared" si="27"/>
        <v>11268221.630000001</v>
      </c>
      <c r="AW10" s="98">
        <f t="shared" si="28"/>
        <v>135218660</v>
      </c>
    </row>
    <row r="11" spans="1:49" s="61" customFormat="1">
      <c r="A11" s="17" t="s">
        <v>42</v>
      </c>
      <c r="B11" s="18" t="s">
        <v>43</v>
      </c>
      <c r="C11" s="19">
        <v>1</v>
      </c>
      <c r="D11" s="70">
        <f t="shared" si="1"/>
        <v>31280672.268907566</v>
      </c>
      <c r="E11" s="69">
        <v>37224000</v>
      </c>
      <c r="F11" s="70">
        <f t="shared" si="1"/>
        <v>67208762.184873953</v>
      </c>
      <c r="G11" s="70">
        <v>79978427</v>
      </c>
      <c r="H11" s="70">
        <f t="shared" ref="H11" si="33">+I11/1.19</f>
        <v>44262559.663865551</v>
      </c>
      <c r="I11" s="70">
        <v>52672446</v>
      </c>
      <c r="J11" s="70">
        <f t="shared" ref="J11" si="34">+K11/1.19</f>
        <v>39535294.117647059</v>
      </c>
      <c r="K11" s="70">
        <v>47047000</v>
      </c>
      <c r="L11" s="70">
        <f t="shared" ref="L11" si="35">+M11/1.19</f>
        <v>39100840.336134456</v>
      </c>
      <c r="M11" s="70">
        <v>46530000</v>
      </c>
      <c r="N11" s="70">
        <f t="shared" ref="N11:R11" si="36">+O11/1.19</f>
        <v>59302941.176470593</v>
      </c>
      <c r="O11" s="70">
        <v>70570500</v>
      </c>
      <c r="P11" s="70">
        <f t="shared" si="5"/>
        <v>40430268.907563031</v>
      </c>
      <c r="Q11" s="70">
        <v>48112020</v>
      </c>
      <c r="R11" s="70">
        <f t="shared" si="36"/>
        <v>51257901.717647061</v>
      </c>
      <c r="S11" s="70">
        <f>57981847*5.2%+57981847</f>
        <v>60996903.044</v>
      </c>
      <c r="T11" s="50"/>
      <c r="U11" s="51">
        <f t="shared" si="7"/>
        <v>46547405.04663866</v>
      </c>
      <c r="V11" s="52">
        <f t="shared" si="8"/>
        <v>42346414.285714291</v>
      </c>
      <c r="W11" s="52">
        <f t="shared" si="9"/>
        <v>45282631.454763532</v>
      </c>
      <c r="X11" s="53">
        <f t="shared" si="10"/>
        <v>44097897.120747156</v>
      </c>
      <c r="Y11" s="54">
        <f t="shared" si="11"/>
        <v>55391412.005500004</v>
      </c>
      <c r="Z11" s="52">
        <f t="shared" si="12"/>
        <v>50392233</v>
      </c>
      <c r="AA11" s="52">
        <f t="shared" si="13"/>
        <v>53886331.431168593</v>
      </c>
      <c r="AB11" s="55">
        <f t="shared" si="14"/>
        <v>52476497.573689125</v>
      </c>
      <c r="AC11" s="56"/>
      <c r="AD11" s="8"/>
      <c r="AE11" s="57"/>
      <c r="AF11" s="57">
        <f t="shared" si="15"/>
        <v>50392233</v>
      </c>
      <c r="AG11" s="58"/>
      <c r="AH11" s="81">
        <f t="shared" si="16"/>
        <v>51507905.600971542</v>
      </c>
      <c r="AI11" s="59">
        <f t="shared" si="17"/>
        <v>51507906</v>
      </c>
      <c r="AJ11" s="56"/>
      <c r="AK11" s="57">
        <f t="shared" si="18"/>
        <v>50392233</v>
      </c>
      <c r="AL11" s="58"/>
      <c r="AM11" s="81">
        <f t="shared" si="19"/>
        <v>52090888.487333715</v>
      </c>
      <c r="AN11" s="60">
        <f t="shared" si="20"/>
        <v>52090888</v>
      </c>
      <c r="AP11" s="104">
        <f t="shared" si="21"/>
        <v>9969272</v>
      </c>
      <c r="AQ11" s="96">
        <f t="shared" si="22"/>
        <v>299078</v>
      </c>
      <c r="AR11" s="91">
        <f t="shared" si="23"/>
        <v>10268350</v>
      </c>
      <c r="AS11" s="98">
        <f t="shared" si="24"/>
        <v>123220200</v>
      </c>
      <c r="AT11" s="109">
        <f t="shared" si="25"/>
        <v>10268350</v>
      </c>
      <c r="AU11" s="91">
        <f t="shared" si="26"/>
        <v>308050.5</v>
      </c>
      <c r="AV11" s="91">
        <f t="shared" si="27"/>
        <v>10576400.5</v>
      </c>
      <c r="AW11" s="98">
        <f t="shared" si="28"/>
        <v>126916806</v>
      </c>
    </row>
    <row r="12" spans="1:49" s="61" customFormat="1">
      <c r="A12" s="17" t="s">
        <v>44</v>
      </c>
      <c r="B12" s="18" t="s">
        <v>45</v>
      </c>
      <c r="C12" s="19">
        <v>1</v>
      </c>
      <c r="D12" s="70">
        <f t="shared" si="1"/>
        <v>37363025.210084036</v>
      </c>
      <c r="E12" s="69">
        <v>44462000</v>
      </c>
      <c r="F12" s="70">
        <f t="shared" si="1"/>
        <v>75050408.40336135</v>
      </c>
      <c r="G12" s="70">
        <v>89309986</v>
      </c>
      <c r="H12" s="70">
        <f t="shared" ref="H12" si="37">+I12/1.19</f>
        <v>28454502.521008406</v>
      </c>
      <c r="I12" s="70">
        <v>33860858</v>
      </c>
      <c r="J12" s="70">
        <f t="shared" ref="J12" si="38">+K12/1.19</f>
        <v>39535294.117647059</v>
      </c>
      <c r="K12" s="70">
        <v>47047000</v>
      </c>
      <c r="L12" s="70">
        <f t="shared" ref="L12" si="39">+M12/1.19</f>
        <v>34756302.521008402</v>
      </c>
      <c r="M12" s="70">
        <v>41360000</v>
      </c>
      <c r="N12" s="70">
        <f t="shared" ref="N12:R12" si="40">+O12/1.19</f>
        <v>54741176.470588237</v>
      </c>
      <c r="O12" s="70">
        <v>65142000</v>
      </c>
      <c r="P12" s="70">
        <f t="shared" si="5"/>
        <v>33691890.756302521</v>
      </c>
      <c r="Q12" s="70">
        <v>40093350</v>
      </c>
      <c r="R12" s="70">
        <f t="shared" si="40"/>
        <v>40185262.690756306</v>
      </c>
      <c r="S12" s="70">
        <f>45456713.5*5.2%+45456713.5</f>
        <v>47820462.601999998</v>
      </c>
      <c r="T12" s="50"/>
      <c r="U12" s="51">
        <f t="shared" si="7"/>
        <v>42972232.836344548</v>
      </c>
      <c r="V12" s="52">
        <f t="shared" si="8"/>
        <v>38449159.663865551</v>
      </c>
      <c r="W12" s="52">
        <f t="shared" si="9"/>
        <v>41089785.049823344</v>
      </c>
      <c r="X12" s="53">
        <f t="shared" si="10"/>
        <v>39578194.28880325</v>
      </c>
      <c r="Y12" s="54">
        <f t="shared" si="11"/>
        <v>51136957.07525</v>
      </c>
      <c r="Z12" s="52">
        <f t="shared" si="12"/>
        <v>45754500</v>
      </c>
      <c r="AA12" s="52">
        <f t="shared" si="13"/>
        <v>48896844.209289774</v>
      </c>
      <c r="AB12" s="55">
        <f t="shared" si="14"/>
        <v>47098051.203675851</v>
      </c>
      <c r="AC12" s="56"/>
      <c r="AD12" s="8"/>
      <c r="AE12" s="57"/>
      <c r="AF12" s="57">
        <f t="shared" si="15"/>
        <v>45754500</v>
      </c>
      <c r="AG12" s="58"/>
      <c r="AH12" s="81">
        <f t="shared" si="16"/>
        <v>46651679.082593128</v>
      </c>
      <c r="AI12" s="59">
        <f t="shared" si="17"/>
        <v>46651679</v>
      </c>
      <c r="AJ12" s="56"/>
      <c r="AK12" s="57">
        <f t="shared" si="18"/>
        <v>45754500</v>
      </c>
      <c r="AL12" s="58"/>
      <c r="AM12" s="81">
        <f t="shared" si="19"/>
        <v>47459460.256907955</v>
      </c>
      <c r="AN12" s="60">
        <f t="shared" si="20"/>
        <v>47459460</v>
      </c>
      <c r="AP12" s="104">
        <f t="shared" si="21"/>
        <v>9029357</v>
      </c>
      <c r="AQ12" s="96">
        <f t="shared" si="22"/>
        <v>270881</v>
      </c>
      <c r="AR12" s="91">
        <f t="shared" si="23"/>
        <v>9300238</v>
      </c>
      <c r="AS12" s="98">
        <f t="shared" si="24"/>
        <v>111602856</v>
      </c>
      <c r="AT12" s="109">
        <f t="shared" si="25"/>
        <v>9300238</v>
      </c>
      <c r="AU12" s="91">
        <f t="shared" si="26"/>
        <v>279007.14</v>
      </c>
      <c r="AV12" s="91">
        <f t="shared" si="27"/>
        <v>9579245.1400000006</v>
      </c>
      <c r="AW12" s="98">
        <f t="shared" si="28"/>
        <v>114950942</v>
      </c>
    </row>
    <row r="13" spans="1:49" s="61" customFormat="1">
      <c r="A13" s="17" t="s">
        <v>46</v>
      </c>
      <c r="B13" s="18" t="s">
        <v>47</v>
      </c>
      <c r="C13" s="19">
        <v>0.5</v>
      </c>
      <c r="D13" s="70">
        <f t="shared" si="1"/>
        <v>18681512.605042018</v>
      </c>
      <c r="E13" s="69">
        <v>22231000</v>
      </c>
      <c r="F13" s="70">
        <f t="shared" si="1"/>
        <v>32821370.588235296</v>
      </c>
      <c r="G13" s="70">
        <v>39057431</v>
      </c>
      <c r="H13" s="70">
        <f t="shared" ref="H13" si="41">+I13/1.19</f>
        <v>17388863.025210086</v>
      </c>
      <c r="I13" s="70">
        <v>20692747</v>
      </c>
      <c r="J13" s="70">
        <f t="shared" ref="J13" si="42">+K13/1.19</f>
        <v>19767647.05882353</v>
      </c>
      <c r="K13" s="70">
        <v>23523500</v>
      </c>
      <c r="L13" s="70">
        <f t="shared" ref="L13" si="43">+M13/1.19</f>
        <v>15205882.352941178</v>
      </c>
      <c r="M13" s="70">
        <v>18095000</v>
      </c>
      <c r="N13" s="70">
        <f t="shared" ref="N13:R13" si="44">+O13/1.19</f>
        <v>31932352.94117647</v>
      </c>
      <c r="O13" s="70">
        <v>37999500</v>
      </c>
      <c r="P13" s="70">
        <f t="shared" si="5"/>
        <v>10107567.226890758</v>
      </c>
      <c r="Q13" s="70">
        <v>12028005</v>
      </c>
      <c r="R13" s="70">
        <f t="shared" si="44"/>
        <v>33661946.389915973</v>
      </c>
      <c r="S13" s="70">
        <f>38077677*5.2%+38077677</f>
        <v>40057716.204000004</v>
      </c>
      <c r="T13" s="50"/>
      <c r="U13" s="51">
        <f t="shared" si="7"/>
        <v>22445892.773529414</v>
      </c>
      <c r="V13" s="52">
        <f t="shared" si="8"/>
        <v>19224579.831932776</v>
      </c>
      <c r="W13" s="52">
        <f t="shared" si="9"/>
        <v>20783941.701414824</v>
      </c>
      <c r="X13" s="53">
        <f t="shared" si="10"/>
        <v>19147196.862253617</v>
      </c>
      <c r="Y13" s="54">
        <f t="shared" si="11"/>
        <v>26710612.4005</v>
      </c>
      <c r="Z13" s="52">
        <f t="shared" si="12"/>
        <v>22877250</v>
      </c>
      <c r="AA13" s="52">
        <f t="shared" si="13"/>
        <v>24732890.624683637</v>
      </c>
      <c r="AB13" s="55">
        <f t="shared" si="14"/>
        <v>22785164.266081799</v>
      </c>
      <c r="AC13" s="56"/>
      <c r="AD13" s="8"/>
      <c r="AE13" s="57"/>
      <c r="AF13" s="57">
        <f t="shared" si="15"/>
        <v>22785164.266081799</v>
      </c>
      <c r="AG13" s="58"/>
      <c r="AH13" s="81">
        <f t="shared" si="16"/>
        <v>23193126.684585806</v>
      </c>
      <c r="AI13" s="59">
        <f t="shared" si="17"/>
        <v>11596563</v>
      </c>
      <c r="AJ13" s="56"/>
      <c r="AK13" s="57">
        <f t="shared" si="18"/>
        <v>22877250</v>
      </c>
      <c r="AL13" s="58"/>
      <c r="AM13" s="81">
        <f t="shared" si="19"/>
        <v>24015050.605036728</v>
      </c>
      <c r="AN13" s="60">
        <f t="shared" si="20"/>
        <v>12007525</v>
      </c>
      <c r="AP13" s="104">
        <f t="shared" si="21"/>
        <v>2244496</v>
      </c>
      <c r="AQ13" s="96">
        <f t="shared" si="22"/>
        <v>67335</v>
      </c>
      <c r="AR13" s="91">
        <f t="shared" si="23"/>
        <v>2311831</v>
      </c>
      <c r="AS13" s="98">
        <f t="shared" si="24"/>
        <v>27741972</v>
      </c>
      <c r="AT13" s="109">
        <f t="shared" si="25"/>
        <v>2311831</v>
      </c>
      <c r="AU13" s="91">
        <f t="shared" si="26"/>
        <v>69354.929999999993</v>
      </c>
      <c r="AV13" s="91">
        <f t="shared" si="27"/>
        <v>2381185.9300000002</v>
      </c>
      <c r="AW13" s="98">
        <f t="shared" si="28"/>
        <v>28574231</v>
      </c>
    </row>
    <row r="14" spans="1:49" s="61" customFormat="1">
      <c r="A14" s="17" t="s">
        <v>48</v>
      </c>
      <c r="B14" s="18" t="s">
        <v>49</v>
      </c>
      <c r="C14" s="19">
        <v>1</v>
      </c>
      <c r="D14" s="70">
        <f t="shared" si="1"/>
        <v>248507563.02521008</v>
      </c>
      <c r="E14" s="69">
        <v>295724000</v>
      </c>
      <c r="F14" s="70">
        <f t="shared" si="1"/>
        <v>557922028.57142854</v>
      </c>
      <c r="G14" s="70">
        <v>663927214</v>
      </c>
      <c r="H14" s="70">
        <f t="shared" ref="H14" si="45">+I14/1.19</f>
        <v>215130116.8067227</v>
      </c>
      <c r="I14" s="70">
        <v>256004839</v>
      </c>
      <c r="J14" s="70">
        <f t="shared" ref="J14" si="46">+K14/1.19</f>
        <v>395352941.17647058</v>
      </c>
      <c r="K14" s="70">
        <v>470470000</v>
      </c>
      <c r="L14" s="70">
        <f t="shared" ref="L14" si="47">+M14/1.19</f>
        <v>423592436.97478992</v>
      </c>
      <c r="M14" s="70">
        <v>504075000</v>
      </c>
      <c r="N14" s="70">
        <f t="shared" ref="N14:R14" si="48">+O14/1.19</f>
        <v>533726470.58823532</v>
      </c>
      <c r="O14" s="70">
        <v>635134500</v>
      </c>
      <c r="P14" s="70">
        <f t="shared" si="5"/>
        <v>284696477.31092441</v>
      </c>
      <c r="Q14" s="70">
        <v>338788808</v>
      </c>
      <c r="R14" s="70">
        <f t="shared" si="48"/>
        <v>257799771.28067228</v>
      </c>
      <c r="S14" s="70">
        <f>291617612*5.2%+291617612</f>
        <v>306781727.824</v>
      </c>
      <c r="T14" s="50"/>
      <c r="U14" s="51">
        <f t="shared" si="7"/>
        <v>364590975.71680671</v>
      </c>
      <c r="V14" s="52">
        <f t="shared" si="8"/>
        <v>340024709.24369752</v>
      </c>
      <c r="W14" s="52">
        <f t="shared" si="9"/>
        <v>343907271.4352634</v>
      </c>
      <c r="X14" s="53">
        <f t="shared" si="10"/>
        <v>324939159.53321779</v>
      </c>
      <c r="Y14" s="54">
        <f t="shared" si="11"/>
        <v>433863261.10299999</v>
      </c>
      <c r="Z14" s="52">
        <f t="shared" si="12"/>
        <v>404629404</v>
      </c>
      <c r="AA14" s="52">
        <f t="shared" si="13"/>
        <v>409249653.00796342</v>
      </c>
      <c r="AB14" s="55">
        <f t="shared" si="14"/>
        <v>386677599.84452915</v>
      </c>
      <c r="AC14" s="56"/>
      <c r="AD14" s="8"/>
      <c r="AE14" s="57"/>
      <c r="AF14" s="57">
        <f t="shared" si="15"/>
        <v>386677599.84452915</v>
      </c>
      <c r="AG14" s="58"/>
      <c r="AH14" s="81">
        <f t="shared" si="16"/>
        <v>394782371.30831015</v>
      </c>
      <c r="AI14" s="59">
        <f>ROUND((AH14*C14),0)</f>
        <v>394782371</v>
      </c>
      <c r="AJ14" s="56"/>
      <c r="AK14" s="57">
        <f t="shared" si="18"/>
        <v>404629404</v>
      </c>
      <c r="AL14" s="58"/>
      <c r="AM14" s="81">
        <f t="shared" si="19"/>
        <v>411400225.22219265</v>
      </c>
      <c r="AN14" s="60">
        <f t="shared" si="20"/>
        <v>411400225</v>
      </c>
      <c r="AP14" s="104">
        <f t="shared" si="21"/>
        <v>76409491</v>
      </c>
      <c r="AQ14" s="96">
        <f t="shared" si="22"/>
        <v>2292285</v>
      </c>
      <c r="AR14" s="91">
        <f t="shared" si="23"/>
        <v>78701776</v>
      </c>
      <c r="AS14" s="98">
        <f t="shared" si="24"/>
        <v>944421312</v>
      </c>
      <c r="AT14" s="109">
        <f t="shared" si="25"/>
        <v>78701776</v>
      </c>
      <c r="AU14" s="91">
        <f t="shared" si="26"/>
        <v>2361053.2799999998</v>
      </c>
      <c r="AV14" s="91">
        <f t="shared" si="27"/>
        <v>81062829.280000001</v>
      </c>
      <c r="AW14" s="98">
        <f t="shared" si="28"/>
        <v>972753951</v>
      </c>
    </row>
    <row r="15" spans="1:49" s="61" customFormat="1">
      <c r="A15" s="17" t="s">
        <v>50</v>
      </c>
      <c r="B15" s="18" t="s">
        <v>51</v>
      </c>
      <c r="C15" s="19">
        <v>1</v>
      </c>
      <c r="D15" s="70">
        <f t="shared" si="1"/>
        <v>237211764.70588237</v>
      </c>
      <c r="E15" s="69">
        <v>282282000</v>
      </c>
      <c r="F15" s="70">
        <f t="shared" si="1"/>
        <v>522021085.71428573</v>
      </c>
      <c r="G15" s="70">
        <v>621205092</v>
      </c>
      <c r="H15" s="70">
        <f t="shared" ref="H15" si="49">+I15/1.19</f>
        <v>221945120.16806725</v>
      </c>
      <c r="I15" s="70">
        <v>264114693</v>
      </c>
      <c r="J15" s="70">
        <f t="shared" ref="J15" si="50">+K15/1.19</f>
        <v>395352941.17647058</v>
      </c>
      <c r="K15" s="70">
        <v>470470000</v>
      </c>
      <c r="L15" s="70">
        <f t="shared" ref="L15" si="51">+M15/1.19</f>
        <v>423592436.97478992</v>
      </c>
      <c r="M15" s="70">
        <v>504075000</v>
      </c>
      <c r="N15" s="70">
        <f t="shared" ref="N15" si="52">+O15/1.19</f>
        <v>533726470.58823532</v>
      </c>
      <c r="O15" s="70">
        <v>635134500</v>
      </c>
      <c r="P15" s="70">
        <f t="shared" si="5"/>
        <v>287762438.65546221</v>
      </c>
      <c r="Q15" s="70">
        <v>342437302</v>
      </c>
      <c r="R15" s="70">
        <f>+S15/1.19</f>
        <v>262007617.90084034</v>
      </c>
      <c r="S15" s="70">
        <f>296377438.5*5.2%+296377438.5</f>
        <v>311789065.30199999</v>
      </c>
      <c r="T15" s="50"/>
      <c r="U15" s="51">
        <f t="shared" si="7"/>
        <v>360452484.48550421</v>
      </c>
      <c r="V15" s="52">
        <f t="shared" si="8"/>
        <v>341557689.91596639</v>
      </c>
      <c r="W15" s="52">
        <f t="shared" si="9"/>
        <v>341553489.02295119</v>
      </c>
      <c r="X15" s="53">
        <f t="shared" si="10"/>
        <v>323985959.05441821</v>
      </c>
      <c r="Y15" s="54">
        <f t="shared" si="11"/>
        <v>428938456.53775001</v>
      </c>
      <c r="Z15" s="52">
        <f t="shared" si="12"/>
        <v>406453651</v>
      </c>
      <c r="AA15" s="52">
        <f t="shared" si="13"/>
        <v>406448651.93731189</v>
      </c>
      <c r="AB15" s="55">
        <f t="shared" si="14"/>
        <v>385543291.27475774</v>
      </c>
      <c r="AC15" s="56"/>
      <c r="AD15" s="8"/>
      <c r="AE15" s="57"/>
      <c r="AF15" s="57">
        <f t="shared" si="15"/>
        <v>385543291.27475774</v>
      </c>
      <c r="AG15" s="58"/>
      <c r="AH15" s="81">
        <f t="shared" si="16"/>
        <v>393906435.35231698</v>
      </c>
      <c r="AI15" s="59">
        <f t="shared" si="17"/>
        <v>393906435</v>
      </c>
      <c r="AJ15" s="56"/>
      <c r="AK15" s="57">
        <f t="shared" si="18"/>
        <v>406448651.93731189</v>
      </c>
      <c r="AL15" s="58"/>
      <c r="AM15" s="81">
        <f t="shared" si="19"/>
        <v>410947612.66993713</v>
      </c>
      <c r="AN15" s="60">
        <f t="shared" si="20"/>
        <v>410947613</v>
      </c>
      <c r="AP15" s="104">
        <f t="shared" si="21"/>
        <v>76239955</v>
      </c>
      <c r="AQ15" s="96">
        <f t="shared" si="22"/>
        <v>2287199</v>
      </c>
      <c r="AR15" s="91">
        <f t="shared" si="23"/>
        <v>78527154</v>
      </c>
      <c r="AS15" s="98">
        <f t="shared" si="24"/>
        <v>942325848</v>
      </c>
      <c r="AT15" s="109">
        <f t="shared" si="25"/>
        <v>78527154</v>
      </c>
      <c r="AU15" s="91">
        <f t="shared" si="26"/>
        <v>2355814.62</v>
      </c>
      <c r="AV15" s="91">
        <f t="shared" si="27"/>
        <v>80882968.620000005</v>
      </c>
      <c r="AW15" s="98">
        <f t="shared" si="28"/>
        <v>970595623</v>
      </c>
    </row>
    <row r="16" spans="1:49" s="61" customFormat="1" ht="12.75" thickBot="1">
      <c r="A16" s="20" t="s">
        <v>52</v>
      </c>
      <c r="B16" s="21" t="s">
        <v>53</v>
      </c>
      <c r="C16" s="22">
        <v>1</v>
      </c>
      <c r="D16" s="70">
        <f t="shared" si="1"/>
        <v>8471848.7394957989</v>
      </c>
      <c r="E16" s="69">
        <v>10081500</v>
      </c>
      <c r="F16" s="70">
        <f t="shared" si="1"/>
        <v>17730452.100840338</v>
      </c>
      <c r="G16" s="70">
        <v>21099238</v>
      </c>
      <c r="H16" s="70">
        <f t="shared" ref="H16" si="53">+I16/1.19</f>
        <v>22131279.831932776</v>
      </c>
      <c r="I16" s="70">
        <v>26336223</v>
      </c>
      <c r="J16" s="70">
        <f t="shared" ref="J16:J21" si="54">+K16/1.19</f>
        <v>15205882.352941178</v>
      </c>
      <c r="K16" s="70">
        <v>18095000</v>
      </c>
      <c r="L16" s="70">
        <f t="shared" ref="L16:L21" si="55">+M16/1.19</f>
        <v>16292016.806722689</v>
      </c>
      <c r="M16" s="70">
        <v>19387500</v>
      </c>
      <c r="N16" s="70">
        <f t="shared" ref="N16:R21" si="56">+O16/1.19</f>
        <v>20527941.176470589</v>
      </c>
      <c r="O16" s="70">
        <v>24428250</v>
      </c>
      <c r="P16" s="70">
        <f t="shared" si="5"/>
        <v>11792162.18487395</v>
      </c>
      <c r="Q16" s="70">
        <v>14032673</v>
      </c>
      <c r="R16" s="70">
        <f t="shared" si="56"/>
        <v>17056870.304201681</v>
      </c>
      <c r="S16" s="70">
        <f>19294368.5*5.2%+19294368.5</f>
        <v>20297675.662</v>
      </c>
      <c r="T16" s="50"/>
      <c r="U16" s="51">
        <f t="shared" si="7"/>
        <v>16151056.687184876</v>
      </c>
      <c r="V16" s="52">
        <f t="shared" si="8"/>
        <v>16674443.555462185</v>
      </c>
      <c r="W16" s="52">
        <f t="shared" si="9"/>
        <v>15539647.001221495</v>
      </c>
      <c r="X16" s="53">
        <f t="shared" si="10"/>
        <v>14844768.022009054</v>
      </c>
      <c r="Y16" s="54">
        <f t="shared" si="11"/>
        <v>19219757.45775</v>
      </c>
      <c r="Z16" s="52">
        <f t="shared" si="12"/>
        <v>19842587.831</v>
      </c>
      <c r="AA16" s="52">
        <f t="shared" si="13"/>
        <v>18492179.931453578</v>
      </c>
      <c r="AB16" s="55">
        <f t="shared" si="14"/>
        <v>17665273.946190774</v>
      </c>
      <c r="AC16" s="56"/>
      <c r="AD16" s="8"/>
      <c r="AE16" s="57"/>
      <c r="AF16" s="57">
        <f t="shared" si="15"/>
        <v>17665273.946190774</v>
      </c>
      <c r="AG16" s="58"/>
      <c r="AH16" s="81">
        <f>+((MIN(Z16:AB16)*3)+SMALL(Z16:AB16,2)+SMALL(Z16:AB16,3))/5</f>
        <v>18266117.920205183</v>
      </c>
      <c r="AI16" s="59">
        <f>ROUND((AH16*C16),0)</f>
        <v>18266118</v>
      </c>
      <c r="AJ16" s="56"/>
      <c r="AK16" s="57">
        <f t="shared" si="18"/>
        <v>18492179.931453578</v>
      </c>
      <c r="AL16" s="58"/>
      <c r="AM16" s="81">
        <f t="shared" si="19"/>
        <v>18907777.016622148</v>
      </c>
      <c r="AN16" s="60">
        <f t="shared" si="20"/>
        <v>18907777</v>
      </c>
      <c r="AP16" s="104">
        <f t="shared" si="21"/>
        <v>3535378</v>
      </c>
      <c r="AQ16" s="96">
        <f t="shared" si="22"/>
        <v>106061</v>
      </c>
      <c r="AR16" s="91">
        <f t="shared" si="23"/>
        <v>3641439</v>
      </c>
      <c r="AS16" s="98">
        <f t="shared" si="24"/>
        <v>43697268</v>
      </c>
      <c r="AT16" s="109">
        <f t="shared" si="25"/>
        <v>3641439</v>
      </c>
      <c r="AU16" s="91">
        <f t="shared" si="26"/>
        <v>109243.17</v>
      </c>
      <c r="AV16" s="91">
        <f t="shared" si="27"/>
        <v>3750682.17</v>
      </c>
      <c r="AW16" s="98">
        <f t="shared" si="28"/>
        <v>45008186</v>
      </c>
    </row>
    <row r="17" spans="1:49" s="61" customFormat="1" ht="12" customHeight="1">
      <c r="A17" s="855" t="s">
        <v>54</v>
      </c>
      <c r="B17" s="856"/>
      <c r="C17" s="857"/>
      <c r="D17" s="70"/>
      <c r="E17" s="69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50"/>
      <c r="U17" s="51"/>
      <c r="V17" s="52"/>
      <c r="W17" s="52"/>
      <c r="X17" s="53"/>
      <c r="Y17" s="54"/>
      <c r="Z17" s="52"/>
      <c r="AA17" s="52"/>
      <c r="AB17" s="55"/>
      <c r="AC17" s="56"/>
      <c r="AD17" s="8"/>
      <c r="AE17" s="57"/>
      <c r="AF17" s="57"/>
      <c r="AG17" s="58"/>
      <c r="AH17" s="81"/>
      <c r="AI17" s="59"/>
      <c r="AJ17" s="56"/>
      <c r="AK17" s="57"/>
      <c r="AL17" s="58"/>
      <c r="AM17" s="81"/>
      <c r="AN17" s="60"/>
      <c r="AP17" s="104"/>
      <c r="AQ17" s="96"/>
      <c r="AR17" s="91"/>
      <c r="AS17" s="98"/>
      <c r="AT17" s="109">
        <f t="shared" ref="AT17:AT20" si="57">ROUND((+AS17/360)*30,0)</f>
        <v>0</v>
      </c>
      <c r="AU17" s="91"/>
      <c r="AV17" s="91"/>
      <c r="AW17" s="98"/>
    </row>
    <row r="18" spans="1:49" s="61" customFormat="1" ht="46.5" customHeight="1">
      <c r="A18" s="17" t="s">
        <v>55</v>
      </c>
      <c r="B18" s="23" t="s">
        <v>56</v>
      </c>
      <c r="C18" s="24">
        <v>1</v>
      </c>
      <c r="D18" s="70">
        <f t="shared" ref="D18" si="58">+E18/1.19</f>
        <v>117647058.82352942</v>
      </c>
      <c r="E18" s="69">
        <v>140000000</v>
      </c>
      <c r="F18" s="70">
        <f t="shared" si="1"/>
        <v>88089848.739495799</v>
      </c>
      <c r="G18" s="70">
        <v>104826920</v>
      </c>
      <c r="H18" s="70">
        <f t="shared" ref="H18" si="59">+I18/1.19</f>
        <v>68954621.848739505</v>
      </c>
      <c r="I18" s="70">
        <v>82056000</v>
      </c>
      <c r="J18" s="70">
        <f t="shared" si="54"/>
        <v>3240336134.4537816</v>
      </c>
      <c r="K18" s="70">
        <v>3856000000</v>
      </c>
      <c r="L18" s="70">
        <f t="shared" si="55"/>
        <v>3126857142.8571429</v>
      </c>
      <c r="M18" s="70">
        <v>3720960000</v>
      </c>
      <c r="N18" s="70">
        <f t="shared" si="56"/>
        <v>105832941.17647059</v>
      </c>
      <c r="O18" s="70">
        <v>125941200</v>
      </c>
      <c r="P18" s="70">
        <f t="shared" ref="P18:P19" si="60">+Q18/1.19</f>
        <v>26067226.890756305</v>
      </c>
      <c r="Q18" s="70">
        <v>31020000</v>
      </c>
      <c r="R18" s="70">
        <f t="shared" si="56"/>
        <v>95805301.415126055</v>
      </c>
      <c r="S18" s="70">
        <f>108372917*5.2%+108372917</f>
        <v>114008308.684</v>
      </c>
      <c r="T18" s="50"/>
      <c r="U18" s="51">
        <f t="shared" ref="U18:U19" si="61">AVERAGE(D18,F18,H18,J18,L18,N18,P18,R18)</f>
        <v>858698784.52563024</v>
      </c>
      <c r="V18" s="52">
        <f t="shared" ref="V18:V19" si="62">+MEDIAN(D18,F18,H18,J18,L18,N18,P18,R18)</f>
        <v>100819121.29579833</v>
      </c>
      <c r="W18" s="52">
        <f t="shared" ref="W18:W19" si="63">GEOMEAN(D18,F18,H18,J18,L18,N18,P18,R18)</f>
        <v>192856467.59321752</v>
      </c>
      <c r="X18" s="53">
        <f t="shared" ref="X18:X19" si="64">HARMEAN(D18,F18,H18,J18,L18,N18,P18,R18)</f>
        <v>85807638.253829792</v>
      </c>
      <c r="Y18" s="54">
        <f t="shared" si="11"/>
        <v>1021851553.5855</v>
      </c>
      <c r="Z18" s="52">
        <f t="shared" si="12"/>
        <v>119974754.34200001</v>
      </c>
      <c r="AA18" s="52">
        <f t="shared" si="13"/>
        <v>229499196.43592888</v>
      </c>
      <c r="AB18" s="55">
        <f t="shared" si="14"/>
        <v>102111089.52205744</v>
      </c>
      <c r="AC18" s="56"/>
      <c r="AD18" s="8"/>
      <c r="AE18" s="57"/>
      <c r="AF18" s="57">
        <f>MIN(Z18:AB18)</f>
        <v>102111089.52205744</v>
      </c>
      <c r="AG18" s="58"/>
      <c r="AH18" s="81">
        <f t="shared" si="16"/>
        <v>131161443.86882024</v>
      </c>
      <c r="AI18" s="59">
        <f t="shared" si="17"/>
        <v>131161444</v>
      </c>
      <c r="AJ18" s="56"/>
      <c r="AK18" s="57">
        <f>MIN(Y18:AA18)</f>
        <v>119974754.34200001</v>
      </c>
      <c r="AL18" s="58"/>
      <c r="AM18" s="81">
        <f t="shared" si="19"/>
        <v>322255002.60948575</v>
      </c>
      <c r="AN18" s="60">
        <f t="shared" si="20"/>
        <v>322255003</v>
      </c>
      <c r="AP18" s="104">
        <f t="shared" si="21"/>
        <v>25386086</v>
      </c>
      <c r="AQ18" s="96">
        <f t="shared" si="22"/>
        <v>761583</v>
      </c>
      <c r="AR18" s="91">
        <f t="shared" si="23"/>
        <v>26147669</v>
      </c>
      <c r="AS18" s="98">
        <f t="shared" si="24"/>
        <v>313772028</v>
      </c>
      <c r="AT18" s="109">
        <f t="shared" si="25"/>
        <v>26147669</v>
      </c>
      <c r="AU18" s="91">
        <f t="shared" si="26"/>
        <v>784430.07</v>
      </c>
      <c r="AV18" s="91">
        <f t="shared" ref="AV18:AV19" si="65">+AT18+AU18</f>
        <v>26932099.07</v>
      </c>
      <c r="AW18" s="98">
        <f t="shared" si="28"/>
        <v>323185189</v>
      </c>
    </row>
    <row r="19" spans="1:49" s="61" customFormat="1" ht="46.5" customHeight="1" thickBot="1">
      <c r="A19" s="20" t="s">
        <v>57</v>
      </c>
      <c r="B19" s="25" t="s">
        <v>58</v>
      </c>
      <c r="C19" s="24">
        <v>1</v>
      </c>
      <c r="D19" s="70">
        <f t="shared" ref="D19:D21" si="66">+E19/1.19</f>
        <v>42016806.722689077</v>
      </c>
      <c r="E19" s="69">
        <v>50000000</v>
      </c>
      <c r="F19" s="70">
        <f t="shared" si="1"/>
        <v>125184574.78991598</v>
      </c>
      <c r="G19" s="70">
        <v>148969644</v>
      </c>
      <c r="H19" s="70">
        <f t="shared" ref="H19" si="67">+I19/1.19</f>
        <v>94326386.55462186</v>
      </c>
      <c r="I19" s="70">
        <v>112248400</v>
      </c>
      <c r="J19" s="70">
        <f t="shared" si="54"/>
        <v>840336134.4537816</v>
      </c>
      <c r="K19" s="70">
        <v>1000000000</v>
      </c>
      <c r="L19" s="70">
        <f t="shared" si="55"/>
        <v>893697478.9915967</v>
      </c>
      <c r="M19" s="70">
        <v>1063500000</v>
      </c>
      <c r="N19" s="70">
        <f t="shared" si="56"/>
        <v>21722689.075630251</v>
      </c>
      <c r="O19" s="70">
        <v>25850000</v>
      </c>
      <c r="P19" s="70">
        <f t="shared" si="60"/>
        <v>156403361.34453782</v>
      </c>
      <c r="Q19" s="70">
        <v>186120000</v>
      </c>
      <c r="R19" s="70">
        <f t="shared" si="56"/>
        <v>31921627.210084036</v>
      </c>
      <c r="S19" s="70">
        <f>36109065*5.2%+36109065</f>
        <v>37986736.380000003</v>
      </c>
      <c r="T19" s="50"/>
      <c r="U19" s="51">
        <f t="shared" si="61"/>
        <v>275701132.39285713</v>
      </c>
      <c r="V19" s="52">
        <f t="shared" si="62"/>
        <v>109755480.67226893</v>
      </c>
      <c r="W19" s="52">
        <f t="shared" si="63"/>
        <v>119072621.48474582</v>
      </c>
      <c r="X19" s="53">
        <f t="shared" si="64"/>
        <v>62279150.599295333</v>
      </c>
      <c r="Y19" s="54">
        <f t="shared" si="11"/>
        <v>328084347.54750001</v>
      </c>
      <c r="Z19" s="52">
        <f t="shared" si="12"/>
        <v>130609022</v>
      </c>
      <c r="AA19" s="52">
        <f t="shared" si="13"/>
        <v>141696419.5668475</v>
      </c>
      <c r="AB19" s="55">
        <f t="shared" si="14"/>
        <v>74112189.213161454</v>
      </c>
      <c r="AC19" s="56"/>
      <c r="AD19" s="8"/>
      <c r="AE19" s="57"/>
      <c r="AF19" s="57">
        <f t="shared" ref="AF19:AF23" si="68">MIN(Z19:AB19)</f>
        <v>74112189.213161454</v>
      </c>
      <c r="AG19" s="58"/>
      <c r="AH19" s="81">
        <f t="shared" si="16"/>
        <v>98928401.841266364</v>
      </c>
      <c r="AI19" s="59">
        <f t="shared" si="17"/>
        <v>98928402</v>
      </c>
      <c r="AJ19" s="56"/>
      <c r="AK19" s="57">
        <f t="shared" si="18"/>
        <v>130609022</v>
      </c>
      <c r="AL19" s="58"/>
      <c r="AM19" s="81">
        <f t="shared" si="19"/>
        <v>172321566.62286949</v>
      </c>
      <c r="AN19" s="60">
        <f t="shared" si="20"/>
        <v>172321567</v>
      </c>
      <c r="AP19" s="104">
        <f t="shared" si="21"/>
        <v>19147433</v>
      </c>
      <c r="AQ19" s="96">
        <f t="shared" si="22"/>
        <v>574423</v>
      </c>
      <c r="AR19" s="91">
        <f t="shared" si="23"/>
        <v>19721856</v>
      </c>
      <c r="AS19" s="98">
        <f t="shared" si="24"/>
        <v>236662272</v>
      </c>
      <c r="AT19" s="109">
        <f t="shared" si="25"/>
        <v>19721856</v>
      </c>
      <c r="AU19" s="91">
        <f t="shared" si="26"/>
        <v>591655.67999999993</v>
      </c>
      <c r="AV19" s="91">
        <f t="shared" si="65"/>
        <v>20313511.68</v>
      </c>
      <c r="AW19" s="98">
        <f t="shared" si="28"/>
        <v>243762140</v>
      </c>
    </row>
    <row r="20" spans="1:49" s="61" customFormat="1" ht="12" customHeight="1">
      <c r="A20" s="855" t="s">
        <v>59</v>
      </c>
      <c r="B20" s="856"/>
      <c r="C20" s="857"/>
      <c r="D20" s="70"/>
      <c r="E20" s="69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50"/>
      <c r="U20" s="51"/>
      <c r="V20" s="52"/>
      <c r="W20" s="52"/>
      <c r="X20" s="53"/>
      <c r="Y20" s="54"/>
      <c r="Z20" s="52"/>
      <c r="AA20" s="52"/>
      <c r="AB20" s="55"/>
      <c r="AC20" s="56"/>
      <c r="AD20" s="8"/>
      <c r="AE20" s="57"/>
      <c r="AF20" s="57"/>
      <c r="AG20" s="58"/>
      <c r="AH20" s="81"/>
      <c r="AI20" s="59"/>
      <c r="AJ20" s="56"/>
      <c r="AK20" s="57"/>
      <c r="AL20" s="58"/>
      <c r="AM20" s="81"/>
      <c r="AN20" s="60"/>
      <c r="AP20" s="104"/>
      <c r="AQ20" s="96"/>
      <c r="AR20" s="91"/>
      <c r="AS20" s="98"/>
      <c r="AT20" s="109">
        <f t="shared" si="57"/>
        <v>0</v>
      </c>
      <c r="AU20" s="91"/>
      <c r="AV20" s="91"/>
      <c r="AW20" s="98"/>
    </row>
    <row r="21" spans="1:49" s="61" customFormat="1" ht="24">
      <c r="A21" s="62">
        <v>3</v>
      </c>
      <c r="B21" s="63" t="s">
        <v>278</v>
      </c>
      <c r="C21" s="26">
        <v>1</v>
      </c>
      <c r="D21" s="70">
        <f t="shared" si="66"/>
        <v>89975588.235294119</v>
      </c>
      <c r="E21" s="69">
        <v>107070950</v>
      </c>
      <c r="F21" s="70">
        <f t="shared" si="1"/>
        <v>171002648.99159667</v>
      </c>
      <c r="G21" s="70">
        <v>203493152.30000001</v>
      </c>
      <c r="H21" s="70">
        <f t="shared" si="1"/>
        <v>420168067.2268908</v>
      </c>
      <c r="I21" s="70">
        <v>500000000</v>
      </c>
      <c r="J21" s="70">
        <f t="shared" si="54"/>
        <v>511177154.48319334</v>
      </c>
      <c r="K21" s="70">
        <v>608300813.83500004</v>
      </c>
      <c r="L21" s="70">
        <f t="shared" si="55"/>
        <v>510292032.92436975</v>
      </c>
      <c r="M21" s="70">
        <v>607247519.17999995</v>
      </c>
      <c r="N21" s="70">
        <f t="shared" si="56"/>
        <v>155310710.08403361</v>
      </c>
      <c r="O21" s="70">
        <v>184819745</v>
      </c>
      <c r="P21" s="70">
        <f t="shared" ref="P21" si="69">+Q21/1.19</f>
        <v>43445378.151260503</v>
      </c>
      <c r="Q21" s="70">
        <v>51700000</v>
      </c>
      <c r="R21" s="70">
        <f t="shared" si="56"/>
        <v>91304279.633613452</v>
      </c>
      <c r="S21" s="70">
        <f>103281457*5.2%+103281457</f>
        <v>108652092.764</v>
      </c>
      <c r="T21" s="50"/>
      <c r="U21" s="51">
        <f t="shared" ref="U21" si="70">AVERAGE(D21,F21,H21,J21,L21,N21,P21,R21)</f>
        <v>249084482.46628153</v>
      </c>
      <c r="V21" s="52">
        <f t="shared" ref="V21" si="71">+MEDIAN(D21,F21,H21,J21,L21,N21,P21,R21)</f>
        <v>163156679.53781515</v>
      </c>
      <c r="W21" s="52">
        <f t="shared" ref="W21" si="72">GEOMEAN(D21,F21,H21,J21,L21,N21,P21,R21)</f>
        <v>178678424.78898561</v>
      </c>
      <c r="X21" s="53">
        <f t="shared" ref="X21" si="73">HARMEAN(D21,F21,H21,J21,L21,N21,P21,R21)</f>
        <v>125654931.67019646</v>
      </c>
      <c r="Y21" s="54">
        <f t="shared" ref="Y21" si="74">AVERAGE(E21,G21,I21,K21,M21,O21,Q21,S21)</f>
        <v>296410534.134875</v>
      </c>
      <c r="Z21" s="52">
        <f t="shared" ref="Z21" si="75">MEDIAN(E21,G21,I21,K21,M21,O21,Q21,S21)</f>
        <v>194156448.65000001</v>
      </c>
      <c r="AA21" s="52">
        <f t="shared" ref="AA21" si="76">GEOMEAN(E21,G21,I21,K21,M21,O21,Q21,S21)</f>
        <v>212627325.49889287</v>
      </c>
      <c r="AB21" s="55">
        <f t="shared" ref="AB21" si="77">HARMEAN(E21,G21,I21,K21,M21,O21,Q21,S21)</f>
        <v>149529368.6875338</v>
      </c>
      <c r="AC21" s="56"/>
      <c r="AD21" s="8"/>
      <c r="AE21" s="57"/>
      <c r="AF21" s="57">
        <f t="shared" si="68"/>
        <v>149529368.6875338</v>
      </c>
      <c r="AG21" s="58"/>
      <c r="AH21" s="81">
        <f t="shared" si="16"/>
        <v>171074376.04229885</v>
      </c>
      <c r="AI21" s="59">
        <f t="shared" si="17"/>
        <v>171074376</v>
      </c>
      <c r="AJ21" s="56"/>
      <c r="AK21" s="57">
        <f t="shared" si="18"/>
        <v>194156448.65000001</v>
      </c>
      <c r="AL21" s="58"/>
      <c r="AM21" s="81">
        <f t="shared" si="19"/>
        <v>218301441.11675358</v>
      </c>
      <c r="AN21" s="60">
        <f>ROUND((AM21*C21),0)</f>
        <v>218301441</v>
      </c>
      <c r="AP21" s="104">
        <f t="shared" si="21"/>
        <v>33111170</v>
      </c>
      <c r="AQ21" s="96">
        <f t="shared" si="22"/>
        <v>993335</v>
      </c>
      <c r="AR21" s="91">
        <f t="shared" si="23"/>
        <v>34104505</v>
      </c>
      <c r="AS21" s="98">
        <f t="shared" si="24"/>
        <v>409254060</v>
      </c>
      <c r="AT21" s="109">
        <f t="shared" si="25"/>
        <v>34104505</v>
      </c>
      <c r="AU21" s="91">
        <f t="shared" si="26"/>
        <v>1023135.1499999999</v>
      </c>
      <c r="AV21" s="91">
        <f t="shared" ref="AV21" si="78">+AT21+AU21</f>
        <v>35127640.149999999</v>
      </c>
      <c r="AW21" s="98">
        <f t="shared" si="28"/>
        <v>421531682</v>
      </c>
    </row>
    <row r="22" spans="1:49" s="61" customFormat="1" ht="12.75" thickBot="1">
      <c r="A22" s="72"/>
      <c r="B22" s="73"/>
      <c r="C22" s="13"/>
      <c r="D22" s="74"/>
      <c r="E22" s="75"/>
      <c r="F22" s="74"/>
      <c r="G22" s="76"/>
      <c r="H22" s="74"/>
      <c r="I22" s="76"/>
      <c r="J22" s="74"/>
      <c r="K22" s="76"/>
      <c r="L22" s="74"/>
      <c r="M22" s="76"/>
      <c r="N22" s="74"/>
      <c r="O22" s="76"/>
      <c r="P22" s="74"/>
      <c r="Q22" s="76"/>
      <c r="R22" s="74"/>
      <c r="S22" s="76"/>
      <c r="T22" s="50"/>
      <c r="U22" s="77"/>
      <c r="V22" s="78"/>
      <c r="W22" s="78"/>
      <c r="X22" s="78"/>
      <c r="Y22" s="79"/>
      <c r="Z22" s="78"/>
      <c r="AA22" s="78"/>
      <c r="AB22" s="80"/>
      <c r="AC22" s="56"/>
      <c r="AD22" s="8"/>
      <c r="AE22" s="57"/>
      <c r="AF22" s="57"/>
      <c r="AG22" s="58"/>
      <c r="AH22" s="81"/>
      <c r="AI22" s="59"/>
      <c r="AJ22" s="56"/>
      <c r="AK22" s="57"/>
      <c r="AL22" s="58"/>
      <c r="AM22" s="81"/>
      <c r="AN22" s="60"/>
      <c r="AP22" s="105">
        <f>SUM(AP8:AP21)</f>
        <v>290320488</v>
      </c>
      <c r="AQ22" s="114">
        <f t="shared" si="22"/>
        <v>8709615</v>
      </c>
      <c r="AR22" s="99">
        <f t="shared" si="23"/>
        <v>299030103</v>
      </c>
      <c r="AS22" s="115">
        <f>ROUND((SUM(AS8:AS21)),0)</f>
        <v>3588361236</v>
      </c>
      <c r="AT22" s="110">
        <f>SUM(AT8:AT21)</f>
        <v>299030103</v>
      </c>
      <c r="AU22" s="101">
        <f t="shared" ref="AU22:AW22" si="79">SUM(AU8:AU21)</f>
        <v>8970903.0899999999</v>
      </c>
      <c r="AV22" s="101">
        <f t="shared" si="79"/>
        <v>308001006.08999997</v>
      </c>
      <c r="AW22" s="101">
        <f t="shared" si="79"/>
        <v>3696012073</v>
      </c>
    </row>
    <row r="23" spans="1:49" ht="12.75" customHeight="1" thickBot="1">
      <c r="B23" s="4"/>
      <c r="C23" s="4"/>
      <c r="U23" s="28">
        <f t="shared" ref="U23:AB23" si="80">SUM(U8:U21)</f>
        <v>2397705768.0085082</v>
      </c>
      <c r="V23" s="29">
        <f t="shared" si="80"/>
        <v>1322892105.8739498</v>
      </c>
      <c r="W23" s="29">
        <f t="shared" si="80"/>
        <v>1456592564.8410115</v>
      </c>
      <c r="X23" s="29">
        <f t="shared" si="80"/>
        <v>1195237543.1229491</v>
      </c>
      <c r="Y23" s="29">
        <f t="shared" si="80"/>
        <v>2853269863.9301252</v>
      </c>
      <c r="Z23" s="29">
        <f t="shared" si="80"/>
        <v>1574241605.9900002</v>
      </c>
      <c r="AA23" s="29">
        <f t="shared" si="80"/>
        <v>1733345152.1608038</v>
      </c>
      <c r="AB23" s="30">
        <f t="shared" si="80"/>
        <v>1422332676.3163095</v>
      </c>
      <c r="AF23" s="57">
        <f t="shared" si="68"/>
        <v>1422332676.3163095</v>
      </c>
      <c r="AH23" s="83"/>
      <c r="AI23" s="84"/>
      <c r="AK23" s="57">
        <f>MIN(Y23:AA23)</f>
        <v>1574241605.9900002</v>
      </c>
      <c r="AM23" s="83"/>
      <c r="AN23" s="87"/>
    </row>
    <row r="24" spans="1:49" ht="66" customHeight="1" thickBot="1">
      <c r="A24" s="739" t="s">
        <v>61</v>
      </c>
      <c r="B24" s="740"/>
      <c r="C24" s="740"/>
      <c r="D24" s="853" t="s">
        <v>7</v>
      </c>
      <c r="E24" s="854"/>
      <c r="F24" s="875" t="s">
        <v>8</v>
      </c>
      <c r="G24" s="876"/>
      <c r="H24" s="853" t="s">
        <v>9</v>
      </c>
      <c r="I24" s="854"/>
      <c r="J24" s="853" t="s">
        <v>268</v>
      </c>
      <c r="K24" s="876"/>
      <c r="L24" s="853" t="s">
        <v>269</v>
      </c>
      <c r="M24" s="854"/>
      <c r="N24" s="875" t="s">
        <v>270</v>
      </c>
      <c r="O24" s="876"/>
      <c r="P24" s="849" t="s">
        <v>271</v>
      </c>
      <c r="Q24" s="850"/>
      <c r="R24" s="853" t="s">
        <v>279</v>
      </c>
      <c r="S24" s="854"/>
      <c r="AH24" s="690" t="s">
        <v>18</v>
      </c>
      <c r="AI24" s="691"/>
      <c r="AJ24" s="40"/>
      <c r="AK24" s="10"/>
      <c r="AL24" s="9"/>
      <c r="AM24" s="690" t="s">
        <v>18</v>
      </c>
      <c r="AN24" s="691"/>
      <c r="AQ24" s="690" t="s">
        <v>18</v>
      </c>
      <c r="AR24" s="841"/>
      <c r="AS24" s="691"/>
      <c r="AU24" s="690" t="s">
        <v>18</v>
      </c>
      <c r="AV24" s="841"/>
      <c r="AW24" s="691"/>
    </row>
    <row r="25" spans="1:49">
      <c r="A25" s="723" t="s">
        <v>65</v>
      </c>
      <c r="B25" s="723"/>
      <c r="C25" s="724"/>
      <c r="D25" s="851">
        <f>+E8+E9+E10+E11+E12+E13+E14+E15+E16+E18+E19</f>
        <v>1070709500</v>
      </c>
      <c r="E25" s="852"/>
      <c r="F25" s="873">
        <f>+G8+G9+G10+G11+G12+G13+G14+G15+G16+G18+G19</f>
        <v>2034931523</v>
      </c>
      <c r="G25" s="874"/>
      <c r="H25" s="851">
        <f>+I8+I9+I10+I11+I12+I13+I14+I15+I16+I18+I19</f>
        <v>1024815132</v>
      </c>
      <c r="I25" s="852"/>
      <c r="J25" s="851">
        <f>+K8+K9+K10+K11+K12+K13+K14+K15+K16+K18+K19</f>
        <v>6083616500</v>
      </c>
      <c r="K25" s="874"/>
      <c r="L25" s="851">
        <f>+M8+M9+M10+M11+M12+M13+M14+M15+M16+M18+M19</f>
        <v>6073082500</v>
      </c>
      <c r="M25" s="852"/>
      <c r="N25" s="873">
        <f>+O8+O9+O10+O11+O12+O13+O14+O15+O16+O18+O19</f>
        <v>1848197450</v>
      </c>
      <c r="O25" s="874"/>
      <c r="P25" s="851">
        <f>+Q8+Q9+Q10+Q11+Q12+Q13+Q14+Q15+Q16+Q18+Q19</f>
        <v>1185033563</v>
      </c>
      <c r="Q25" s="852"/>
      <c r="R25" s="851">
        <f>+S8+S9+S10+S11+S12+S13+S14+S15+S16+S18+S19</f>
        <v>1134488470.362</v>
      </c>
      <c r="S25" s="852"/>
      <c r="AH25" s="85">
        <f>+AI25/1.19</f>
        <v>1116735136.9747899</v>
      </c>
      <c r="AI25" s="86">
        <f>+AI8+AI9+AI10+AI11+AI12+AI13+AI14+AI15+AI16+AI18+AI19</f>
        <v>1328914813</v>
      </c>
      <c r="AM25" s="85">
        <f>+AN25/1.19</f>
        <v>1370602384.0336134</v>
      </c>
      <c r="AN25" s="86">
        <f>+AN8+AN9+AN10+AN11+AN12+AN13+AN14+AN15+AN16+AN18+AN19</f>
        <v>1631016837</v>
      </c>
      <c r="AQ25" s="85">
        <f>+AS25/1.19</f>
        <v>2671518635.2941179</v>
      </c>
      <c r="AR25" s="92"/>
      <c r="AS25" s="86">
        <f>+AS8+AS9+AS10+AS11+AS12+AS13+AS14+AS15+AS16+AS18+AS19</f>
        <v>3179107176</v>
      </c>
      <c r="AU25" s="85">
        <f>+AW25/1.19</f>
        <v>2751664194.1176472</v>
      </c>
      <c r="AV25" s="92"/>
      <c r="AW25" s="86">
        <f>+AW8+AW9+AW10+AW11+AW12+AW13+AW14+AW15+AW16+AW18+AW19</f>
        <v>3274480391</v>
      </c>
    </row>
    <row r="26" spans="1:49">
      <c r="A26" s="725" t="s">
        <v>66</v>
      </c>
      <c r="B26" s="725"/>
      <c r="C26" s="726"/>
      <c r="D26" s="842">
        <f>+E21</f>
        <v>107070950</v>
      </c>
      <c r="E26" s="843"/>
      <c r="F26" s="872">
        <f t="shared" ref="F26" si="81">+G21</f>
        <v>203493152.30000001</v>
      </c>
      <c r="G26" s="869"/>
      <c r="H26" s="842">
        <f t="shared" ref="H26" si="82">+I21</f>
        <v>500000000</v>
      </c>
      <c r="I26" s="843"/>
      <c r="J26" s="842">
        <f t="shared" ref="J26" si="83">+K21</f>
        <v>608300813.83500004</v>
      </c>
      <c r="K26" s="869"/>
      <c r="L26" s="842">
        <f t="shared" ref="L26" si="84">+M21</f>
        <v>607247519.17999995</v>
      </c>
      <c r="M26" s="843"/>
      <c r="N26" s="872">
        <f t="shared" ref="N26:R26" si="85">+O21</f>
        <v>184819745</v>
      </c>
      <c r="O26" s="869"/>
      <c r="P26" s="842">
        <f t="shared" ref="P26" si="86">+Q21</f>
        <v>51700000</v>
      </c>
      <c r="Q26" s="843"/>
      <c r="R26" s="842">
        <f t="shared" si="85"/>
        <v>108652092.764</v>
      </c>
      <c r="S26" s="843"/>
      <c r="AH26" s="85">
        <f t="shared" ref="AH26:AH27" si="87">+AI26/1.19</f>
        <v>143759979.83193278</v>
      </c>
      <c r="AI26" s="86">
        <f>+AI21</f>
        <v>171074376</v>
      </c>
      <c r="AM26" s="85">
        <f t="shared" ref="AM26:AM27" si="88">+AN26/1.19</f>
        <v>183446589.07563025</v>
      </c>
      <c r="AN26" s="86">
        <f>+AN21</f>
        <v>218301441</v>
      </c>
      <c r="AQ26" s="85">
        <f t="shared" ref="AQ26:AQ27" si="89">+AS26/1.19</f>
        <v>343910974.78991598</v>
      </c>
      <c r="AR26" s="92"/>
      <c r="AS26" s="86">
        <f>+AS21</f>
        <v>409254060</v>
      </c>
      <c r="AU26" s="85">
        <f t="shared" ref="AU26:AU27" si="90">+AW26/1.19</f>
        <v>354228304.20168066</v>
      </c>
      <c r="AV26" s="92"/>
      <c r="AW26" s="86">
        <f>+AW21</f>
        <v>421531682</v>
      </c>
    </row>
    <row r="27" spans="1:49">
      <c r="A27" s="725" t="s">
        <v>67</v>
      </c>
      <c r="B27" s="725"/>
      <c r="C27" s="726"/>
      <c r="D27" s="842">
        <f>+D25+D26</f>
        <v>1177780450</v>
      </c>
      <c r="E27" s="843"/>
      <c r="F27" s="872">
        <f t="shared" ref="F27" si="91">+F25+F26</f>
        <v>2238424675.3000002</v>
      </c>
      <c r="G27" s="869"/>
      <c r="H27" s="842">
        <f t="shared" ref="H27" si="92">+H25+H26</f>
        <v>1524815132</v>
      </c>
      <c r="I27" s="843"/>
      <c r="J27" s="842">
        <f t="shared" ref="J27" si="93">+J25+J26</f>
        <v>6691917313.835</v>
      </c>
      <c r="K27" s="869"/>
      <c r="L27" s="842">
        <f t="shared" ref="L27" si="94">+L25+L26</f>
        <v>6680330019.1800003</v>
      </c>
      <c r="M27" s="843"/>
      <c r="N27" s="872">
        <f t="shared" ref="N27:P27" si="95">+N25+N26</f>
        <v>2033017195</v>
      </c>
      <c r="O27" s="869"/>
      <c r="P27" s="842">
        <f t="shared" si="95"/>
        <v>1236733563</v>
      </c>
      <c r="Q27" s="843"/>
      <c r="R27" s="842">
        <f t="shared" ref="R27" si="96">+R25+R26</f>
        <v>1243140563.1259999</v>
      </c>
      <c r="S27" s="843"/>
      <c r="X27" s="31"/>
      <c r="AH27" s="85">
        <f t="shared" si="87"/>
        <v>1260495116.8067226</v>
      </c>
      <c r="AI27" s="86">
        <f>SUM(AI25:AI26)</f>
        <v>1499989189</v>
      </c>
      <c r="AM27" s="85">
        <f t="shared" si="88"/>
        <v>1554048973.1092439</v>
      </c>
      <c r="AN27" s="86">
        <f>SUM(AN25:AN26)</f>
        <v>1849318278</v>
      </c>
      <c r="AQ27" s="85">
        <f t="shared" si="89"/>
        <v>3015429610.084034</v>
      </c>
      <c r="AR27" s="92"/>
      <c r="AS27" s="86">
        <f>SUM(AS25:AS26)</f>
        <v>3588361236</v>
      </c>
      <c r="AU27" s="85">
        <f t="shared" si="90"/>
        <v>3105892498.3193278</v>
      </c>
      <c r="AV27" s="92"/>
      <c r="AW27" s="86">
        <f>SUM(AW25:AW26)</f>
        <v>3696012073</v>
      </c>
    </row>
    <row r="28" spans="1:49" ht="12.75" thickBot="1">
      <c r="A28" s="727" t="s">
        <v>68</v>
      </c>
      <c r="B28" s="727"/>
      <c r="C28" s="728"/>
      <c r="D28" s="845">
        <f>ROUND((+D27*19%),0)</f>
        <v>223778286</v>
      </c>
      <c r="E28" s="846"/>
      <c r="F28" s="870">
        <f>ROUND((+F27*19%),0)</f>
        <v>425300688</v>
      </c>
      <c r="G28" s="871"/>
      <c r="H28" s="845">
        <f>ROUND((+H27*19%),0)</f>
        <v>289714875</v>
      </c>
      <c r="I28" s="846"/>
      <c r="J28" s="845">
        <f>ROUND((+J27*19%),0)</f>
        <v>1271464290</v>
      </c>
      <c r="K28" s="871"/>
      <c r="L28" s="845">
        <f>ROUND((+L27*19%),0)</f>
        <v>1269262704</v>
      </c>
      <c r="M28" s="846"/>
      <c r="N28" s="870">
        <f>ROUND((+N27*19%),0)</f>
        <v>386273267</v>
      </c>
      <c r="O28" s="871"/>
      <c r="P28" s="845">
        <f>ROUND((+P27*19%),0)</f>
        <v>234979377</v>
      </c>
      <c r="Q28" s="846"/>
      <c r="R28" s="845">
        <f>ROUND((+R27*19%),0)</f>
        <v>236196707</v>
      </c>
      <c r="S28" s="846"/>
      <c r="AH28" s="85">
        <f>+AH27*19%</f>
        <v>239494072.1932773</v>
      </c>
      <c r="AI28" s="86"/>
      <c r="AM28" s="85">
        <f>+AM27*19%</f>
        <v>295269304.89075631</v>
      </c>
      <c r="AN28" s="86"/>
      <c r="AQ28" s="85">
        <f>+AQ27*19%</f>
        <v>572931625.91596651</v>
      </c>
      <c r="AR28" s="92"/>
      <c r="AS28" s="86"/>
      <c r="AU28" s="85">
        <f>+AU27*19%</f>
        <v>590119574.68067229</v>
      </c>
      <c r="AV28" s="92"/>
      <c r="AW28" s="86"/>
    </row>
    <row r="29" spans="1:49" s="3" customFormat="1" ht="28.5" customHeight="1" thickBot="1">
      <c r="A29" s="698" t="s">
        <v>69</v>
      </c>
      <c r="B29" s="699"/>
      <c r="C29" s="699"/>
      <c r="D29" s="847">
        <f>ROUND((+D27+D28),0)</f>
        <v>1401558736</v>
      </c>
      <c r="E29" s="848"/>
      <c r="F29" s="877">
        <f>ROUND((+F27+F28),0)</f>
        <v>2663725363</v>
      </c>
      <c r="G29" s="878"/>
      <c r="H29" s="847">
        <f>ROUND((+H27+H28),0)</f>
        <v>1814530007</v>
      </c>
      <c r="I29" s="848"/>
      <c r="J29" s="879">
        <f>ROUND((+J27+J28),0)</f>
        <v>7963381604</v>
      </c>
      <c r="K29" s="880"/>
      <c r="L29" s="881">
        <f>ROUND((+L27+L28),0)</f>
        <v>7949592723</v>
      </c>
      <c r="M29" s="882"/>
      <c r="N29" s="877">
        <f>ROUND((+N27+N28),0)</f>
        <v>2419290462</v>
      </c>
      <c r="O29" s="878"/>
      <c r="P29" s="847">
        <f>ROUND((+P27+P28),0)</f>
        <v>1471712940</v>
      </c>
      <c r="Q29" s="848"/>
      <c r="R29" s="847">
        <f>ROUND((+R27+R28),0)</f>
        <v>1479337270</v>
      </c>
      <c r="S29" s="848"/>
      <c r="AB29" s="3" t="s">
        <v>280</v>
      </c>
      <c r="AF29" s="3">
        <v>2025</v>
      </c>
      <c r="AH29" s="88">
        <f>+AH27+AH28</f>
        <v>1499989189</v>
      </c>
      <c r="AI29" s="89">
        <f>+AI27+AI28</f>
        <v>1499989189</v>
      </c>
      <c r="AM29" s="88">
        <f>+AM27+AM28</f>
        <v>1849318278.0000002</v>
      </c>
      <c r="AN29" s="89">
        <f>+AN27+AN28</f>
        <v>1849318278</v>
      </c>
      <c r="AQ29" s="88">
        <f>ROUND((+AQ27+AQ28),0)</f>
        <v>3588361236</v>
      </c>
      <c r="AR29" s="93"/>
      <c r="AS29" s="89">
        <f>ROUND((+AS27+AS28),0)</f>
        <v>3588361236</v>
      </c>
      <c r="AU29" s="88">
        <f>ROUND((+AU27+AU28),0)</f>
        <v>3696012073</v>
      </c>
      <c r="AV29" s="93"/>
      <c r="AW29" s="89">
        <f>ROUND((+AW27+AW28),0)</f>
        <v>3696012073</v>
      </c>
    </row>
    <row r="30" spans="1:49" s="3" customFormat="1" ht="18" customHeight="1">
      <c r="A30" s="27"/>
      <c r="C30" s="117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AB30" s="118" t="s">
        <v>70</v>
      </c>
      <c r="AC30" s="118"/>
      <c r="AD30" s="118"/>
      <c r="AE30" s="118"/>
      <c r="AF30" s="119">
        <f>ROUND((+AH29/155)*30,0)</f>
        <v>290320488</v>
      </c>
      <c r="AI30" s="120">
        <f>+AF30/30*155</f>
        <v>1499989188</v>
      </c>
      <c r="AK30" s="131">
        <v>1386161735</v>
      </c>
      <c r="AL30" s="131" t="s">
        <v>72</v>
      </c>
      <c r="AM30" s="157">
        <f>+AK30-AI30</f>
        <v>-113827453</v>
      </c>
      <c r="AP30" s="3">
        <v>1386161735</v>
      </c>
    </row>
    <row r="31" spans="1:49" s="3" customFormat="1" ht="18" customHeight="1">
      <c r="A31" s="27"/>
      <c r="C31" s="12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AB31" s="3" t="s">
        <v>73</v>
      </c>
      <c r="AF31" s="122">
        <f>ROUND((+AF30*3%),0)</f>
        <v>8709615</v>
      </c>
      <c r="AH31" s="123"/>
      <c r="AI31" s="123"/>
      <c r="AL31" s="131" t="s">
        <v>72</v>
      </c>
      <c r="AP31" s="157">
        <f>+AP30-AI30</f>
        <v>-113827453</v>
      </c>
    </row>
    <row r="32" spans="1:49" s="3" customFormat="1" ht="18" customHeight="1">
      <c r="A32" s="27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AB32" s="118" t="s">
        <v>75</v>
      </c>
      <c r="AC32" s="118"/>
      <c r="AD32" s="118"/>
      <c r="AE32" s="118"/>
      <c r="AF32" s="124">
        <f>+AF30+AF31</f>
        <v>299030103</v>
      </c>
      <c r="AH32" s="123"/>
      <c r="AI32" s="123">
        <f>ROUND((+AF32*12),0)</f>
        <v>3588361236</v>
      </c>
      <c r="AK32" s="131">
        <v>3316056552</v>
      </c>
      <c r="AL32" s="131" t="s">
        <v>72</v>
      </c>
      <c r="AM32" s="157">
        <f>+AK32-AI32</f>
        <v>-272304684</v>
      </c>
    </row>
    <row r="33" spans="28:39" s="3" customFormat="1" ht="18" customHeight="1">
      <c r="AB33" s="3" t="s">
        <v>73</v>
      </c>
      <c r="AF33" s="122">
        <f>ROUND((+AF32*3%),0)</f>
        <v>8970903</v>
      </c>
      <c r="AH33" s="123"/>
      <c r="AI33" s="123"/>
      <c r="AL33" s="131" t="s">
        <v>72</v>
      </c>
    </row>
    <row r="34" spans="28:39" s="3" customFormat="1" ht="18" customHeight="1">
      <c r="AB34" s="118" t="s">
        <v>77</v>
      </c>
      <c r="AC34" s="118"/>
      <c r="AD34" s="118"/>
      <c r="AE34" s="118"/>
      <c r="AF34" s="124">
        <f>+AF32+AF33</f>
        <v>308001006</v>
      </c>
      <c r="AH34" s="123"/>
      <c r="AI34" s="123">
        <f>+AF34*12</f>
        <v>3696012072</v>
      </c>
      <c r="AK34" s="131">
        <v>3415538196</v>
      </c>
      <c r="AM34" s="157">
        <f>+AK34-AI34</f>
        <v>-280473876</v>
      </c>
    </row>
    <row r="35" spans="28:39" s="3" customFormat="1" ht="18" customHeight="1">
      <c r="AF35" s="125"/>
      <c r="AH35" s="123"/>
      <c r="AI35" s="123"/>
    </row>
    <row r="36" spans="28:39" s="3" customFormat="1" ht="18" customHeight="1">
      <c r="AF36" s="125"/>
      <c r="AH36" s="123"/>
      <c r="AI36" s="123">
        <f>+AI30+AI32+AI34</f>
        <v>8784362496</v>
      </c>
      <c r="AK36" s="131">
        <v>8117756483</v>
      </c>
      <c r="AM36" s="157">
        <f>+AK36-AI36</f>
        <v>-666606013</v>
      </c>
    </row>
  </sheetData>
  <mergeCells count="80">
    <mergeCell ref="N26:O26"/>
    <mergeCell ref="F27:G27"/>
    <mergeCell ref="H27:I27"/>
    <mergeCell ref="N28:O28"/>
    <mergeCell ref="F29:G29"/>
    <mergeCell ref="H29:I29"/>
    <mergeCell ref="J29:K29"/>
    <mergeCell ref="L29:M29"/>
    <mergeCell ref="N29:O29"/>
    <mergeCell ref="F24:G24"/>
    <mergeCell ref="H24:I24"/>
    <mergeCell ref="J24:K24"/>
    <mergeCell ref="L24:M24"/>
    <mergeCell ref="N24:O24"/>
    <mergeCell ref="A24:C24"/>
    <mergeCell ref="J27:K27"/>
    <mergeCell ref="L27:M27"/>
    <mergeCell ref="N27:O27"/>
    <mergeCell ref="N5:O5"/>
    <mergeCell ref="A25:C25"/>
    <mergeCell ref="A26:C26"/>
    <mergeCell ref="A27:C27"/>
    <mergeCell ref="F25:G25"/>
    <mergeCell ref="H25:I25"/>
    <mergeCell ref="J25:K25"/>
    <mergeCell ref="L25:M25"/>
    <mergeCell ref="N25:O25"/>
    <mergeCell ref="F26:G26"/>
    <mergeCell ref="J5:K5"/>
    <mergeCell ref="L5:M5"/>
    <mergeCell ref="D24:E24"/>
    <mergeCell ref="D25:E25"/>
    <mergeCell ref="D26:E26"/>
    <mergeCell ref="D27:E27"/>
    <mergeCell ref="D28:E28"/>
    <mergeCell ref="A29:C29"/>
    <mergeCell ref="D29:E29"/>
    <mergeCell ref="H26:I26"/>
    <mergeCell ref="J26:K26"/>
    <mergeCell ref="L26:M26"/>
    <mergeCell ref="F28:G28"/>
    <mergeCell ref="H28:I28"/>
    <mergeCell ref="J28:K28"/>
    <mergeCell ref="L28:M28"/>
    <mergeCell ref="A28:C28"/>
    <mergeCell ref="A20:C20"/>
    <mergeCell ref="A7:C7"/>
    <mergeCell ref="AH5:AI5"/>
    <mergeCell ref="AG2:AI3"/>
    <mergeCell ref="AM2:AN3"/>
    <mergeCell ref="AM5:AN5"/>
    <mergeCell ref="V4:X4"/>
    <mergeCell ref="Z4:AB4"/>
    <mergeCell ref="H5:I5"/>
    <mergeCell ref="A3:C3"/>
    <mergeCell ref="A5:C5"/>
    <mergeCell ref="A4:C4"/>
    <mergeCell ref="D5:E5"/>
    <mergeCell ref="F5:G5"/>
    <mergeCell ref="A17:C17"/>
    <mergeCell ref="R5:S5"/>
    <mergeCell ref="P27:Q27"/>
    <mergeCell ref="P28:Q28"/>
    <mergeCell ref="P29:Q29"/>
    <mergeCell ref="AH24:AI24"/>
    <mergeCell ref="AM24:AN24"/>
    <mergeCell ref="P24:Q24"/>
    <mergeCell ref="P25:Q25"/>
    <mergeCell ref="R25:S25"/>
    <mergeCell ref="R26:S26"/>
    <mergeCell ref="R27:S27"/>
    <mergeCell ref="R28:S28"/>
    <mergeCell ref="R29:S29"/>
    <mergeCell ref="R24:S24"/>
    <mergeCell ref="AQ5:AS5"/>
    <mergeCell ref="AU5:AW5"/>
    <mergeCell ref="AQ24:AS24"/>
    <mergeCell ref="AU24:AW24"/>
    <mergeCell ref="P26:Q26"/>
    <mergeCell ref="P5:Q5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DA098-2AC5-4E70-A505-140DDFD0E350}">
  <dimension ref="A1:AB46"/>
  <sheetViews>
    <sheetView topLeftCell="A20" zoomScale="80" zoomScaleNormal="80" workbookViewId="0">
      <pane xSplit="3" topLeftCell="D1" activePane="topRight" state="frozen"/>
      <selection pane="topRight" activeCell="A24" sqref="A24:XFD29"/>
      <selection activeCell="A5" sqref="A5"/>
    </sheetView>
  </sheetViews>
  <sheetFormatPr defaultColWidth="26.28515625" defaultRowHeight="15.75" customHeight="1"/>
  <cols>
    <col min="1" max="1" width="8.28515625" style="27" customWidth="1"/>
    <col min="2" max="2" width="58.7109375" style="32" customWidth="1"/>
    <col min="3" max="3" width="13.5703125" style="32" customWidth="1"/>
    <col min="4" max="8" width="25.5703125" style="71" customWidth="1"/>
    <col min="9" max="9" width="21.7109375" style="71" customWidth="1"/>
    <col min="10" max="10" width="1" style="162" customWidth="1"/>
    <col min="11" max="14" width="20.140625" style="4" customWidth="1"/>
    <col min="15" max="15" width="23.140625" style="4" customWidth="1"/>
    <col min="16" max="17" width="26.28515625" style="4"/>
    <col min="18" max="18" width="3.5703125" style="4" customWidth="1"/>
    <col min="19" max="19" width="20.140625" style="4" customWidth="1"/>
    <col min="20" max="21" width="18.7109375" style="4" customWidth="1"/>
    <col min="22" max="22" width="20.85546875" style="4" customWidth="1"/>
    <col min="23" max="23" width="4.28515625" style="32" customWidth="1"/>
    <col min="24" max="27" width="20" style="4" customWidth="1"/>
    <col min="28" max="16384" width="26.28515625" style="4"/>
  </cols>
  <sheetData>
    <row r="1" spans="1:27" ht="15.75" customHeight="1" thickBot="1">
      <c r="A1" s="1"/>
      <c r="B1" s="1"/>
      <c r="C1" s="2"/>
      <c r="D1" s="2"/>
      <c r="E1" s="2"/>
      <c r="F1" s="2"/>
      <c r="G1" s="2"/>
      <c r="H1" s="2"/>
      <c r="I1" s="2"/>
    </row>
    <row r="2" spans="1:27" ht="15.75" customHeight="1">
      <c r="A2" s="1"/>
      <c r="B2" s="1"/>
      <c r="C2" s="2"/>
      <c r="D2" s="64"/>
      <c r="E2" s="2"/>
      <c r="F2" s="2"/>
      <c r="G2" s="2"/>
      <c r="H2" s="2"/>
      <c r="I2" s="2"/>
      <c r="P2" s="706"/>
      <c r="Q2" s="707"/>
    </row>
    <row r="3" spans="1:27" s="5" customFormat="1" ht="15.75" customHeight="1" thickBot="1">
      <c r="J3" s="6"/>
      <c r="O3" s="7"/>
      <c r="P3" s="709"/>
      <c r="Q3" s="710"/>
      <c r="R3" s="6"/>
      <c r="S3" s="5">
        <f>5/30</f>
        <v>0.16666666666666666</v>
      </c>
      <c r="T3" s="5">
        <f>S3+5</f>
        <v>5.166666666666667</v>
      </c>
      <c r="U3" s="5">
        <f>T3*30</f>
        <v>155</v>
      </c>
      <c r="V3" s="5" t="s">
        <v>2</v>
      </c>
      <c r="W3" s="6"/>
    </row>
    <row r="4" spans="1:27" s="5" customFormat="1" ht="15.75" customHeight="1" thickBot="1">
      <c r="A4" s="864" t="s">
        <v>3</v>
      </c>
      <c r="B4" s="865"/>
      <c r="C4" s="865"/>
      <c r="J4" s="6"/>
      <c r="K4" s="137"/>
      <c r="L4" s="864" t="s">
        <v>5</v>
      </c>
      <c r="M4" s="865"/>
      <c r="N4" s="886"/>
      <c r="R4" s="33"/>
      <c r="W4" s="6"/>
    </row>
    <row r="5" spans="1:27" s="8" customFormat="1" ht="39.75" customHeight="1">
      <c r="A5" s="887" t="s">
        <v>6</v>
      </c>
      <c r="B5" s="888"/>
      <c r="C5" s="889"/>
      <c r="D5" s="247" t="s">
        <v>7</v>
      </c>
      <c r="E5" s="248" t="s">
        <v>8</v>
      </c>
      <c r="F5" s="247" t="s">
        <v>9</v>
      </c>
      <c r="G5" s="248" t="s">
        <v>10</v>
      </c>
      <c r="H5" s="247" t="s">
        <v>11</v>
      </c>
      <c r="I5" s="249" t="s">
        <v>12</v>
      </c>
      <c r="J5" s="40"/>
      <c r="K5" s="176" t="s">
        <v>13</v>
      </c>
      <c r="L5" s="173" t="s">
        <v>14</v>
      </c>
      <c r="M5" s="174" t="s">
        <v>15</v>
      </c>
      <c r="N5" s="175" t="s">
        <v>16</v>
      </c>
      <c r="O5" s="179"/>
      <c r="P5" s="690" t="s">
        <v>17</v>
      </c>
      <c r="Q5" s="691"/>
      <c r="R5" s="177"/>
      <c r="S5" s="893" t="s">
        <v>19</v>
      </c>
      <c r="T5" s="894"/>
      <c r="U5" s="894"/>
      <c r="V5" s="895"/>
      <c r="W5" s="33"/>
      <c r="X5" s="883" t="s">
        <v>20</v>
      </c>
      <c r="Y5" s="884"/>
      <c r="Z5" s="884"/>
      <c r="AA5" s="885"/>
    </row>
    <row r="6" spans="1:27" s="8" customFormat="1" ht="39" customHeight="1" thickBot="1">
      <c r="A6" s="180" t="s">
        <v>21</v>
      </c>
      <c r="B6" s="181" t="s">
        <v>22</v>
      </c>
      <c r="C6" s="182" t="s">
        <v>23</v>
      </c>
      <c r="D6" s="183" t="s">
        <v>281</v>
      </c>
      <c r="E6" s="67" t="s">
        <v>282</v>
      </c>
      <c r="F6" s="183" t="s">
        <v>281</v>
      </c>
      <c r="G6" s="67" t="s">
        <v>282</v>
      </c>
      <c r="H6" s="183" t="s">
        <v>281</v>
      </c>
      <c r="I6" s="256" t="s">
        <v>282</v>
      </c>
      <c r="J6" s="267"/>
      <c r="K6" s="264" t="s">
        <v>29</v>
      </c>
      <c r="L6" s="47" t="s">
        <v>29</v>
      </c>
      <c r="M6" s="47" t="s">
        <v>29</v>
      </c>
      <c r="N6" s="47" t="s">
        <v>29</v>
      </c>
      <c r="O6" s="158" t="s">
        <v>27</v>
      </c>
      <c r="P6" s="185" t="s">
        <v>28</v>
      </c>
      <c r="Q6" s="186" t="s">
        <v>29</v>
      </c>
      <c r="R6" s="40"/>
      <c r="S6" s="187" t="s">
        <v>70</v>
      </c>
      <c r="T6" s="188" t="s">
        <v>31</v>
      </c>
      <c r="U6" s="188" t="s">
        <v>32</v>
      </c>
      <c r="V6" s="189" t="s">
        <v>277</v>
      </c>
      <c r="W6" s="40"/>
      <c r="X6" s="190" t="s">
        <v>75</v>
      </c>
      <c r="Y6" s="191" t="s">
        <v>31</v>
      </c>
      <c r="Z6" s="191" t="s">
        <v>32</v>
      </c>
      <c r="AA6" s="192" t="s">
        <v>277</v>
      </c>
    </row>
    <row r="7" spans="1:27" s="8" customFormat="1" ht="15.75" customHeight="1" thickBot="1">
      <c r="A7" s="890" t="s">
        <v>35</v>
      </c>
      <c r="B7" s="891"/>
      <c r="C7" s="892"/>
      <c r="D7" s="66"/>
      <c r="E7" s="67"/>
      <c r="F7" s="67"/>
      <c r="G7" s="67"/>
      <c r="H7" s="67"/>
      <c r="I7" s="256"/>
      <c r="J7" s="267"/>
      <c r="K7" s="265"/>
      <c r="L7" s="67"/>
      <c r="M7" s="67"/>
      <c r="N7" s="67"/>
      <c r="O7" s="158"/>
      <c r="P7" s="138"/>
      <c r="Q7" s="139"/>
      <c r="R7" s="40"/>
      <c r="S7" s="102"/>
      <c r="T7" s="100"/>
      <c r="U7" s="100"/>
      <c r="V7" s="103"/>
      <c r="W7" s="10"/>
      <c r="X7" s="102"/>
      <c r="Y7" s="100"/>
      <c r="Z7" s="100"/>
      <c r="AA7" s="156"/>
    </row>
    <row r="8" spans="1:27" s="61" customFormat="1" ht="15.75" customHeight="1">
      <c r="A8" s="14" t="s">
        <v>36</v>
      </c>
      <c r="B8" s="15" t="s">
        <v>37</v>
      </c>
      <c r="C8" s="16">
        <v>1</v>
      </c>
      <c r="D8" s="146">
        <v>89958000</v>
      </c>
      <c r="E8" s="147">
        <v>96638535</v>
      </c>
      <c r="F8" s="145">
        <v>67721716</v>
      </c>
      <c r="G8" s="147">
        <v>86856000</v>
      </c>
      <c r="H8" s="145">
        <v>76177365</v>
      </c>
      <c r="I8" s="257">
        <f>67891554.5*5.2%+67891554.5</f>
        <v>71421915.334000006</v>
      </c>
      <c r="J8" s="78"/>
      <c r="K8" s="152">
        <f t="shared" ref="K8:K16" si="0">AVERAGE(D8,E8,F8,G8,H8,I8)</f>
        <v>81462255.222333327</v>
      </c>
      <c r="L8" s="149">
        <f t="shared" ref="L8:L16" si="1">MEDIAN(D8,E8,F8,G8,H8,I8)</f>
        <v>81516682.5</v>
      </c>
      <c r="M8" s="150">
        <f t="shared" ref="M8:M16" si="2">GEOMEAN(D8,E8,F8,G8,H8,I8)</f>
        <v>80797121.939437374</v>
      </c>
      <c r="N8" s="151">
        <f t="shared" ref="N8:N16" si="3">HARMEAN(D8,E8,F8,G8,H8,I8)</f>
        <v>80136421.055370733</v>
      </c>
      <c r="O8" s="57">
        <f t="shared" ref="O8:O16" si="4">MIN(L8:N8)</f>
        <v>80136421.055370733</v>
      </c>
      <c r="P8" s="168">
        <f t="shared" ref="P8:P16" si="5">+((MIN(L8:N8)*3)+SMALL(L8:N8,2)+SMALL(L8:N8,3))/5</f>
        <v>80544613.521109909</v>
      </c>
      <c r="Q8" s="155">
        <f t="shared" ref="Q8:Q16" si="6">ROUND((P8*C8),0)</f>
        <v>80544614</v>
      </c>
      <c r="R8" s="40"/>
      <c r="S8" s="153">
        <f>ROUND((+Q8/155)*30,0)</f>
        <v>15589280</v>
      </c>
      <c r="T8" s="154">
        <f>ROUND((+S8*3%),0)</f>
        <v>467678</v>
      </c>
      <c r="U8" s="101">
        <f>ROUND((+S8+T8),0)</f>
        <v>16056958</v>
      </c>
      <c r="V8" s="155">
        <f>ROUNDUP((+U8*12),0)</f>
        <v>192683496</v>
      </c>
      <c r="W8" s="193"/>
      <c r="X8" s="153">
        <f>(+V8/360)*30</f>
        <v>16056958</v>
      </c>
      <c r="Y8" s="101">
        <f>ROUND((+X8*3%),0)</f>
        <v>481709</v>
      </c>
      <c r="Z8" s="101">
        <f>ROUND((+X8+Y8),0)</f>
        <v>16538667</v>
      </c>
      <c r="AA8" s="98">
        <f>ROUND((+Z8*12),0)</f>
        <v>198464004</v>
      </c>
    </row>
    <row r="9" spans="1:27" s="61" customFormat="1" ht="15.75" customHeight="1">
      <c r="A9" s="17" t="s">
        <v>38</v>
      </c>
      <c r="B9" s="18" t="s">
        <v>39</v>
      </c>
      <c r="C9" s="19">
        <v>1</v>
      </c>
      <c r="D9" s="195">
        <v>44462000</v>
      </c>
      <c r="E9" s="70">
        <v>75700179</v>
      </c>
      <c r="F9" s="194">
        <v>56434764</v>
      </c>
      <c r="G9" s="70">
        <v>70570500</v>
      </c>
      <c r="H9" s="194">
        <v>48112020</v>
      </c>
      <c r="I9" s="258">
        <f>59250053.5*5.2%+59250053.5</f>
        <v>62331056.281999998</v>
      </c>
      <c r="J9" s="78"/>
      <c r="K9" s="199">
        <f t="shared" si="0"/>
        <v>59601753.21366667</v>
      </c>
      <c r="L9" s="197">
        <f t="shared" si="1"/>
        <v>59382910.141000003</v>
      </c>
      <c r="M9" s="52">
        <f t="shared" si="2"/>
        <v>58528713.895162106</v>
      </c>
      <c r="N9" s="198">
        <f t="shared" si="3"/>
        <v>57460741.286416359</v>
      </c>
      <c r="O9" s="57">
        <f t="shared" si="4"/>
        <v>57460741.286416359</v>
      </c>
      <c r="P9" s="167">
        <f t="shared" si="5"/>
        <v>58058769.579082236</v>
      </c>
      <c r="Q9" s="98">
        <f t="shared" si="6"/>
        <v>58058770</v>
      </c>
      <c r="R9" s="40"/>
      <c r="S9" s="104">
        <f>ROUND((+Q9/155)*30,0)</f>
        <v>11237181</v>
      </c>
      <c r="T9" s="96">
        <f t="shared" ref="T9:T21" si="7">ROUND((+S9*3%),0)</f>
        <v>337115</v>
      </c>
      <c r="U9" s="101">
        <f t="shared" ref="U9:U21" si="8">ROUND((+S9+T9),0)</f>
        <v>11574296</v>
      </c>
      <c r="V9" s="155">
        <f t="shared" ref="V9:V21" si="9">ROUNDUP((+U9*12),0)</f>
        <v>138891552</v>
      </c>
      <c r="W9" s="193"/>
      <c r="X9" s="153">
        <f t="shared" ref="X9:X21" si="10">(+V9/360)*30</f>
        <v>11574296</v>
      </c>
      <c r="Y9" s="101">
        <f t="shared" ref="Y9:Y21" si="11">ROUND((+X9*3%),0)</f>
        <v>347229</v>
      </c>
      <c r="Z9" s="101">
        <f t="shared" ref="Z9:Z21" si="12">ROUND((+X9+Y9),0)</f>
        <v>11921525</v>
      </c>
      <c r="AA9" s="98">
        <f t="shared" ref="AA9:AA21" si="13">ROUND((+Z9*12),0)</f>
        <v>143058300</v>
      </c>
    </row>
    <row r="10" spans="1:27" s="61" customFormat="1" ht="15.75" customHeight="1">
      <c r="A10" s="17" t="s">
        <v>40</v>
      </c>
      <c r="B10" s="18" t="s">
        <v>41</v>
      </c>
      <c r="C10" s="19">
        <v>1</v>
      </c>
      <c r="D10" s="195">
        <v>54285000</v>
      </c>
      <c r="E10" s="70">
        <v>94218857</v>
      </c>
      <c r="F10" s="194">
        <v>52672446</v>
      </c>
      <c r="G10" s="70">
        <v>70570500</v>
      </c>
      <c r="H10" s="194">
        <v>48112020</v>
      </c>
      <c r="I10" s="258">
        <f>57981847*5.2%+57981847</f>
        <v>60996903.044</v>
      </c>
      <c r="J10" s="78"/>
      <c r="K10" s="199">
        <f t="shared" si="0"/>
        <v>63475954.340666674</v>
      </c>
      <c r="L10" s="197">
        <f t="shared" si="1"/>
        <v>57640951.522</v>
      </c>
      <c r="M10" s="52">
        <f t="shared" si="2"/>
        <v>61815533.513867624</v>
      </c>
      <c r="N10" s="198">
        <f t="shared" si="3"/>
        <v>60380719.326040745</v>
      </c>
      <c r="O10" s="57">
        <f t="shared" si="4"/>
        <v>57640951.522</v>
      </c>
      <c r="P10" s="167">
        <f t="shared" si="5"/>
        <v>59023821.481181666</v>
      </c>
      <c r="Q10" s="98">
        <f t="shared" si="6"/>
        <v>59023821</v>
      </c>
      <c r="R10" s="40"/>
      <c r="S10" s="104">
        <f>ROUND((+Q10/155)*30,0)</f>
        <v>11423965</v>
      </c>
      <c r="T10" s="96">
        <f t="shared" si="7"/>
        <v>342719</v>
      </c>
      <c r="U10" s="101">
        <f t="shared" si="8"/>
        <v>11766684</v>
      </c>
      <c r="V10" s="155">
        <f t="shared" si="9"/>
        <v>141200208</v>
      </c>
      <c r="W10" s="193"/>
      <c r="X10" s="153">
        <f t="shared" si="10"/>
        <v>11766684</v>
      </c>
      <c r="Y10" s="101">
        <f t="shared" si="11"/>
        <v>353001</v>
      </c>
      <c r="Z10" s="101">
        <f t="shared" si="12"/>
        <v>12119685</v>
      </c>
      <c r="AA10" s="98">
        <f t="shared" si="13"/>
        <v>145436220</v>
      </c>
    </row>
    <row r="11" spans="1:27" s="61" customFormat="1" ht="15.75" customHeight="1">
      <c r="A11" s="17" t="s">
        <v>42</v>
      </c>
      <c r="B11" s="18" t="s">
        <v>43</v>
      </c>
      <c r="C11" s="19">
        <v>1</v>
      </c>
      <c r="D11" s="195">
        <v>37224000</v>
      </c>
      <c r="E11" s="70">
        <v>79978427</v>
      </c>
      <c r="F11" s="194">
        <v>52672446</v>
      </c>
      <c r="G11" s="70">
        <v>70570500</v>
      </c>
      <c r="H11" s="194">
        <v>48112020</v>
      </c>
      <c r="I11" s="258">
        <f>57981847*5.2%+57981847</f>
        <v>60996903.044</v>
      </c>
      <c r="J11" s="78"/>
      <c r="K11" s="199">
        <f t="shared" si="0"/>
        <v>58259049.340666674</v>
      </c>
      <c r="L11" s="197">
        <f t="shared" si="1"/>
        <v>56834674.522</v>
      </c>
      <c r="M11" s="52">
        <f t="shared" si="2"/>
        <v>56484244.715883605</v>
      </c>
      <c r="N11" s="198">
        <f t="shared" si="3"/>
        <v>54693451.378295667</v>
      </c>
      <c r="O11" s="57">
        <f t="shared" si="4"/>
        <v>54693451.378295667</v>
      </c>
      <c r="P11" s="167">
        <f t="shared" si="5"/>
        <v>55479854.674554124</v>
      </c>
      <c r="Q11" s="98">
        <f t="shared" si="6"/>
        <v>55479855</v>
      </c>
      <c r="R11" s="40"/>
      <c r="S11" s="104">
        <f t="shared" ref="S11:S21" si="14">ROUND((+Q11/155)*30,0)</f>
        <v>10738036</v>
      </c>
      <c r="T11" s="96">
        <f t="shared" si="7"/>
        <v>322141</v>
      </c>
      <c r="U11" s="101">
        <f t="shared" si="8"/>
        <v>11060177</v>
      </c>
      <c r="V11" s="155">
        <f t="shared" si="9"/>
        <v>132722124</v>
      </c>
      <c r="W11" s="193"/>
      <c r="X11" s="153">
        <f t="shared" si="10"/>
        <v>11060177</v>
      </c>
      <c r="Y11" s="101">
        <f t="shared" si="11"/>
        <v>331805</v>
      </c>
      <c r="Z11" s="101">
        <f t="shared" si="12"/>
        <v>11391982</v>
      </c>
      <c r="AA11" s="98">
        <f t="shared" si="13"/>
        <v>136703784</v>
      </c>
    </row>
    <row r="12" spans="1:27" s="61" customFormat="1" ht="15.75" customHeight="1">
      <c r="A12" s="17" t="s">
        <v>44</v>
      </c>
      <c r="B12" s="18" t="s">
        <v>45</v>
      </c>
      <c r="C12" s="19">
        <v>1</v>
      </c>
      <c r="D12" s="195">
        <v>44462000</v>
      </c>
      <c r="E12" s="70">
        <v>89309986</v>
      </c>
      <c r="F12" s="194">
        <v>33860858</v>
      </c>
      <c r="G12" s="70">
        <v>65142000</v>
      </c>
      <c r="H12" s="194">
        <v>40093350</v>
      </c>
      <c r="I12" s="258">
        <f>45456713.5*5.2%+45456713.5</f>
        <v>47820462.601999998</v>
      </c>
      <c r="J12" s="78"/>
      <c r="K12" s="199">
        <f t="shared" si="0"/>
        <v>53448109.433666669</v>
      </c>
      <c r="L12" s="197">
        <f t="shared" si="1"/>
        <v>46141231.300999999</v>
      </c>
      <c r="M12" s="52">
        <f t="shared" si="2"/>
        <v>50604487.410375349</v>
      </c>
      <c r="N12" s="198">
        <f t="shared" si="3"/>
        <v>48221774.664500937</v>
      </c>
      <c r="O12" s="57">
        <f t="shared" si="4"/>
        <v>46141231.300999999</v>
      </c>
      <c r="P12" s="167">
        <f t="shared" si="5"/>
        <v>47449991.19557526</v>
      </c>
      <c r="Q12" s="98">
        <f t="shared" si="6"/>
        <v>47449991</v>
      </c>
      <c r="R12" s="40"/>
      <c r="S12" s="104">
        <f t="shared" si="14"/>
        <v>9183869</v>
      </c>
      <c r="T12" s="96">
        <f t="shared" si="7"/>
        <v>275516</v>
      </c>
      <c r="U12" s="101">
        <f t="shared" si="8"/>
        <v>9459385</v>
      </c>
      <c r="V12" s="155">
        <f t="shared" si="9"/>
        <v>113512620</v>
      </c>
      <c r="W12" s="193"/>
      <c r="X12" s="153">
        <f t="shared" si="10"/>
        <v>9459385</v>
      </c>
      <c r="Y12" s="101">
        <f t="shared" si="11"/>
        <v>283782</v>
      </c>
      <c r="Z12" s="101">
        <f t="shared" si="12"/>
        <v>9743167</v>
      </c>
      <c r="AA12" s="98">
        <f t="shared" si="13"/>
        <v>116918004</v>
      </c>
    </row>
    <row r="13" spans="1:27" s="61" customFormat="1" ht="15.75" customHeight="1">
      <c r="A13" s="17" t="s">
        <v>46</v>
      </c>
      <c r="B13" s="18" t="s">
        <v>47</v>
      </c>
      <c r="C13" s="19">
        <v>0.5</v>
      </c>
      <c r="D13" s="195">
        <v>22231000</v>
      </c>
      <c r="E13" s="70">
        <v>39057431</v>
      </c>
      <c r="F13" s="194">
        <v>20692747</v>
      </c>
      <c r="G13" s="70">
        <v>37999500</v>
      </c>
      <c r="H13" s="194">
        <v>12028005</v>
      </c>
      <c r="I13" s="258">
        <f>38077677*5.2%+38077677</f>
        <v>40057716.204000004</v>
      </c>
      <c r="J13" s="78"/>
      <c r="K13" s="199">
        <f t="shared" si="0"/>
        <v>28677733.200666666</v>
      </c>
      <c r="L13" s="197">
        <f t="shared" si="1"/>
        <v>30115250</v>
      </c>
      <c r="M13" s="52">
        <f t="shared" si="2"/>
        <v>26273811.597725764</v>
      </c>
      <c r="N13" s="198">
        <f t="shared" si="3"/>
        <v>23684420.43663229</v>
      </c>
      <c r="O13" s="57">
        <f t="shared" si="4"/>
        <v>23684420.43663229</v>
      </c>
      <c r="P13" s="167">
        <f t="shared" si="5"/>
        <v>25488464.581524529</v>
      </c>
      <c r="Q13" s="98">
        <f t="shared" si="6"/>
        <v>12744232</v>
      </c>
      <c r="R13" s="40"/>
      <c r="S13" s="104">
        <f t="shared" si="14"/>
        <v>2466626</v>
      </c>
      <c r="T13" s="96">
        <f t="shared" si="7"/>
        <v>73999</v>
      </c>
      <c r="U13" s="200">
        <f t="shared" si="8"/>
        <v>2540625</v>
      </c>
      <c r="V13" s="155">
        <f t="shared" si="9"/>
        <v>30487500</v>
      </c>
      <c r="W13" s="193"/>
      <c r="X13" s="153">
        <f t="shared" si="10"/>
        <v>2540625</v>
      </c>
      <c r="Y13" s="101">
        <f t="shared" si="11"/>
        <v>76219</v>
      </c>
      <c r="Z13" s="101">
        <f t="shared" si="12"/>
        <v>2616844</v>
      </c>
      <c r="AA13" s="98">
        <f t="shared" si="13"/>
        <v>31402128</v>
      </c>
    </row>
    <row r="14" spans="1:27" s="61" customFormat="1" ht="15.75" customHeight="1">
      <c r="A14" s="17" t="s">
        <v>48</v>
      </c>
      <c r="B14" s="18" t="s">
        <v>49</v>
      </c>
      <c r="C14" s="19">
        <v>1</v>
      </c>
      <c r="D14" s="195">
        <v>295724000</v>
      </c>
      <c r="E14" s="70">
        <v>663927214</v>
      </c>
      <c r="F14" s="194">
        <v>256004839</v>
      </c>
      <c r="G14" s="70">
        <v>635134500</v>
      </c>
      <c r="H14" s="194">
        <v>338788808</v>
      </c>
      <c r="I14" s="258">
        <f>291617612*5.2%+291617612</f>
        <v>306781727.824</v>
      </c>
      <c r="J14" s="78"/>
      <c r="K14" s="199">
        <f t="shared" si="0"/>
        <v>416060181.47066665</v>
      </c>
      <c r="L14" s="197">
        <f t="shared" si="1"/>
        <v>322785267.912</v>
      </c>
      <c r="M14" s="52">
        <f t="shared" si="2"/>
        <v>386200866.73000365</v>
      </c>
      <c r="N14" s="198">
        <f t="shared" si="3"/>
        <v>361888237.98333818</v>
      </c>
      <c r="O14" s="57">
        <f t="shared" si="4"/>
        <v>322785267.912</v>
      </c>
      <c r="P14" s="167">
        <f t="shared" si="5"/>
        <v>343288981.68986833</v>
      </c>
      <c r="Q14" s="98">
        <f t="shared" si="6"/>
        <v>343288982</v>
      </c>
      <c r="R14" s="40"/>
      <c r="S14" s="104">
        <f t="shared" si="14"/>
        <v>66443029</v>
      </c>
      <c r="T14" s="201">
        <f t="shared" si="7"/>
        <v>1993291</v>
      </c>
      <c r="U14" s="58">
        <f t="shared" si="8"/>
        <v>68436320</v>
      </c>
      <c r="V14" s="202">
        <f t="shared" si="9"/>
        <v>821235840</v>
      </c>
      <c r="W14" s="193"/>
      <c r="X14" s="153">
        <f t="shared" si="10"/>
        <v>68436320</v>
      </c>
      <c r="Y14" s="101">
        <f t="shared" si="11"/>
        <v>2053090</v>
      </c>
      <c r="Z14" s="101">
        <f t="shared" si="12"/>
        <v>70489410</v>
      </c>
      <c r="AA14" s="98">
        <f t="shared" si="13"/>
        <v>845872920</v>
      </c>
    </row>
    <row r="15" spans="1:27" s="61" customFormat="1" ht="15.75" customHeight="1">
      <c r="A15" s="17" t="s">
        <v>50</v>
      </c>
      <c r="B15" s="18" t="s">
        <v>51</v>
      </c>
      <c r="C15" s="19">
        <v>1</v>
      </c>
      <c r="D15" s="195">
        <v>282282000</v>
      </c>
      <c r="E15" s="70">
        <v>621205092</v>
      </c>
      <c r="F15" s="194">
        <v>264114693</v>
      </c>
      <c r="G15" s="70">
        <v>635134500</v>
      </c>
      <c r="H15" s="194">
        <v>342437302</v>
      </c>
      <c r="I15" s="258">
        <f>296377438.5*5.2%+296377438.5</f>
        <v>311789065.30199999</v>
      </c>
      <c r="J15" s="78"/>
      <c r="K15" s="199">
        <f t="shared" si="0"/>
        <v>409493775.38366669</v>
      </c>
      <c r="L15" s="197">
        <f t="shared" si="1"/>
        <v>327113183.65100002</v>
      </c>
      <c r="M15" s="52">
        <f t="shared" si="2"/>
        <v>382680560.09550607</v>
      </c>
      <c r="N15" s="198">
        <f t="shared" si="3"/>
        <v>360564490.31933063</v>
      </c>
      <c r="O15" s="57">
        <f t="shared" si="4"/>
        <v>327113183.65100002</v>
      </c>
      <c r="P15" s="167">
        <f t="shared" si="5"/>
        <v>344916920.27356738</v>
      </c>
      <c r="Q15" s="98">
        <f t="shared" si="6"/>
        <v>344916920</v>
      </c>
      <c r="R15" s="40"/>
      <c r="S15" s="104">
        <f t="shared" si="14"/>
        <v>66758114</v>
      </c>
      <c r="T15" s="96">
        <f t="shared" si="7"/>
        <v>2002743</v>
      </c>
      <c r="U15" s="101">
        <f t="shared" si="8"/>
        <v>68760857</v>
      </c>
      <c r="V15" s="155">
        <f t="shared" si="9"/>
        <v>825130284</v>
      </c>
      <c r="W15" s="193"/>
      <c r="X15" s="153">
        <f t="shared" si="10"/>
        <v>68760857</v>
      </c>
      <c r="Y15" s="101">
        <f t="shared" si="11"/>
        <v>2062826</v>
      </c>
      <c r="Z15" s="101">
        <f t="shared" si="12"/>
        <v>70823683</v>
      </c>
      <c r="AA15" s="98">
        <f t="shared" si="13"/>
        <v>849884196</v>
      </c>
    </row>
    <row r="16" spans="1:27" s="61" customFormat="1" ht="15.75" customHeight="1" thickBot="1">
      <c r="A16" s="203" t="s">
        <v>52</v>
      </c>
      <c r="B16" s="204" t="s">
        <v>53</v>
      </c>
      <c r="C16" s="24">
        <v>1</v>
      </c>
      <c r="D16" s="206">
        <v>10081500</v>
      </c>
      <c r="E16" s="207">
        <v>21099238</v>
      </c>
      <c r="F16" s="205">
        <v>26336223</v>
      </c>
      <c r="G16" s="207">
        <v>24428250</v>
      </c>
      <c r="H16" s="205">
        <v>14032673</v>
      </c>
      <c r="I16" s="259">
        <f>19294368.5*5.2%+19294368.5</f>
        <v>20297675.662</v>
      </c>
      <c r="J16" s="78"/>
      <c r="K16" s="212">
        <f t="shared" si="0"/>
        <v>19379259.943666667</v>
      </c>
      <c r="L16" s="209">
        <f t="shared" si="1"/>
        <v>20698456.831</v>
      </c>
      <c r="M16" s="210">
        <f t="shared" si="2"/>
        <v>18413545.289605737</v>
      </c>
      <c r="N16" s="211">
        <f t="shared" si="3"/>
        <v>17339918.957399961</v>
      </c>
      <c r="O16" s="57">
        <f t="shared" si="4"/>
        <v>17339918.957399961</v>
      </c>
      <c r="P16" s="213">
        <f t="shared" si="5"/>
        <v>18226351.798561122</v>
      </c>
      <c r="Q16" s="214">
        <f t="shared" si="6"/>
        <v>18226352</v>
      </c>
      <c r="R16" s="40"/>
      <c r="S16" s="215">
        <f t="shared" si="14"/>
        <v>3527681</v>
      </c>
      <c r="T16" s="216">
        <f t="shared" si="7"/>
        <v>105830</v>
      </c>
      <c r="U16" s="101">
        <f t="shared" si="8"/>
        <v>3633511</v>
      </c>
      <c r="V16" s="155">
        <f t="shared" si="9"/>
        <v>43602132</v>
      </c>
      <c r="W16" s="193"/>
      <c r="X16" s="153">
        <f t="shared" si="10"/>
        <v>3633511</v>
      </c>
      <c r="Y16" s="101">
        <f t="shared" si="11"/>
        <v>109005</v>
      </c>
      <c r="Z16" s="101">
        <f t="shared" si="12"/>
        <v>3742516</v>
      </c>
      <c r="AA16" s="214">
        <f t="shared" si="13"/>
        <v>44910192</v>
      </c>
    </row>
    <row r="17" spans="1:28" s="61" customFormat="1" ht="15.75" customHeight="1" thickBot="1">
      <c r="A17" s="890" t="s">
        <v>54</v>
      </c>
      <c r="B17" s="891"/>
      <c r="C17" s="892"/>
      <c r="D17" s="69"/>
      <c r="E17" s="70"/>
      <c r="F17" s="70"/>
      <c r="G17" s="70"/>
      <c r="H17" s="70"/>
      <c r="I17" s="258"/>
      <c r="J17" s="78"/>
      <c r="K17" s="266"/>
      <c r="L17" s="140"/>
      <c r="M17" s="140"/>
      <c r="N17" s="140"/>
      <c r="O17" s="143"/>
      <c r="P17" s="167"/>
      <c r="Q17" s="98"/>
      <c r="R17" s="40"/>
      <c r="S17" s="141"/>
      <c r="T17" s="142"/>
      <c r="U17" s="101"/>
      <c r="V17" s="155"/>
      <c r="W17" s="193"/>
      <c r="X17" s="153">
        <f t="shared" si="10"/>
        <v>0</v>
      </c>
      <c r="Y17" s="101"/>
      <c r="Z17" s="101"/>
      <c r="AA17" s="98"/>
    </row>
    <row r="18" spans="1:28" s="61" customFormat="1" ht="54" customHeight="1">
      <c r="A18" s="14" t="s">
        <v>55</v>
      </c>
      <c r="B18" s="204" t="s">
        <v>56</v>
      </c>
      <c r="C18" s="217">
        <v>1</v>
      </c>
      <c r="D18" s="146">
        <v>140000000</v>
      </c>
      <c r="E18" s="147">
        <v>104826920</v>
      </c>
      <c r="F18" s="145">
        <v>82056000</v>
      </c>
      <c r="G18" s="147">
        <v>125941200</v>
      </c>
      <c r="H18" s="145">
        <v>31020000</v>
      </c>
      <c r="I18" s="257">
        <f>108372917*5.2%+108372917</f>
        <v>114008308.684</v>
      </c>
      <c r="J18" s="78"/>
      <c r="K18" s="152">
        <f>AVERAGE(D18,E18,F18,G18,H18,I18)</f>
        <v>99642071.447333336</v>
      </c>
      <c r="L18" s="149">
        <f>MEDIAN(D18,E18,F18,G18,H18,I18)</f>
        <v>109417614.34200001</v>
      </c>
      <c r="M18" s="150">
        <f>GEOMEAN(D18,E18,F18,G18,H18,I18)</f>
        <v>90138339.744836703</v>
      </c>
      <c r="N18" s="151">
        <f>HARMEAN(D18,E18,F18,G18,H18,I18)</f>
        <v>77103022.619798213</v>
      </c>
      <c r="O18" s="57">
        <f>MIN(L18:N18)</f>
        <v>77103022.619798213</v>
      </c>
      <c r="P18" s="168">
        <f>+((MIN(L18:N18)*3)+SMALL(L18:N18,2)+SMALL(L18:N18,3))/5</f>
        <v>86173004.38924627</v>
      </c>
      <c r="Q18" s="155">
        <f>ROUND((P18*C18),0)</f>
        <v>86173004</v>
      </c>
      <c r="R18" s="40"/>
      <c r="S18" s="153">
        <f t="shared" si="14"/>
        <v>16678646</v>
      </c>
      <c r="T18" s="154">
        <f t="shared" si="7"/>
        <v>500359</v>
      </c>
      <c r="U18" s="101">
        <f t="shared" si="8"/>
        <v>17179005</v>
      </c>
      <c r="V18" s="155">
        <f t="shared" si="9"/>
        <v>206148060</v>
      </c>
      <c r="W18" s="193"/>
      <c r="X18" s="153">
        <f t="shared" si="10"/>
        <v>17179005</v>
      </c>
      <c r="Y18" s="101">
        <f t="shared" si="11"/>
        <v>515370</v>
      </c>
      <c r="Z18" s="101">
        <f t="shared" si="12"/>
        <v>17694375</v>
      </c>
      <c r="AA18" s="155">
        <f t="shared" si="13"/>
        <v>212332500</v>
      </c>
    </row>
    <row r="19" spans="1:28" s="61" customFormat="1" ht="43.5" customHeight="1" thickBot="1">
      <c r="A19" s="203" t="s">
        <v>57</v>
      </c>
      <c r="B19" s="204" t="s">
        <v>58</v>
      </c>
      <c r="C19" s="24">
        <v>1</v>
      </c>
      <c r="D19" s="206">
        <v>50000000</v>
      </c>
      <c r="E19" s="207">
        <v>148969644</v>
      </c>
      <c r="F19" s="205">
        <v>112248400</v>
      </c>
      <c r="G19" s="207">
        <v>25850000</v>
      </c>
      <c r="H19" s="205">
        <v>186120000</v>
      </c>
      <c r="I19" s="259">
        <f>36109065*5.2%+36109065</f>
        <v>37986736.380000003</v>
      </c>
      <c r="J19" s="78"/>
      <c r="K19" s="212">
        <f>AVERAGE(D19,E19,F19,G19,H19,I19)</f>
        <v>93529130.063333333</v>
      </c>
      <c r="L19" s="209">
        <f>MEDIAN(D19,E19,F19,G19,H19,I19)</f>
        <v>81124200</v>
      </c>
      <c r="M19" s="210">
        <f>GEOMEAN(D19,E19,F19,G19,H19,I19)</f>
        <v>73117654.74917087</v>
      </c>
      <c r="N19" s="211">
        <f>HARMEAN(D19,E19,F19,G19,H19,I19)</f>
        <v>56601549.455377713</v>
      </c>
      <c r="O19" s="57">
        <f>MIN(L19:N19)</f>
        <v>56601549.455377713</v>
      </c>
      <c r="P19" s="213">
        <f>+((MIN(L19:N19)*3)+SMALL(L19:N19,2)+SMALL(L19:N19,3))/5</f>
        <v>64809300.6230608</v>
      </c>
      <c r="Q19" s="214">
        <f>ROUND((P19*C19),0)</f>
        <v>64809301</v>
      </c>
      <c r="R19" s="40"/>
      <c r="S19" s="215">
        <f t="shared" si="14"/>
        <v>12543736</v>
      </c>
      <c r="T19" s="216">
        <f t="shared" si="7"/>
        <v>376312</v>
      </c>
      <c r="U19" s="101">
        <f t="shared" si="8"/>
        <v>12920048</v>
      </c>
      <c r="V19" s="155">
        <f t="shared" si="9"/>
        <v>155040576</v>
      </c>
      <c r="W19" s="193"/>
      <c r="X19" s="153">
        <f t="shared" si="10"/>
        <v>12920048</v>
      </c>
      <c r="Y19" s="101">
        <f t="shared" si="11"/>
        <v>387601</v>
      </c>
      <c r="Z19" s="101">
        <f t="shared" si="12"/>
        <v>13307649</v>
      </c>
      <c r="AA19" s="214">
        <f t="shared" si="13"/>
        <v>159691788</v>
      </c>
    </row>
    <row r="20" spans="1:28" s="128" customFormat="1" ht="15.75" customHeight="1" thickBot="1">
      <c r="A20" s="890" t="s">
        <v>59</v>
      </c>
      <c r="B20" s="891"/>
      <c r="C20" s="892"/>
      <c r="D20" s="69"/>
      <c r="E20" s="70"/>
      <c r="F20" s="70"/>
      <c r="G20" s="70"/>
      <c r="H20" s="70"/>
      <c r="I20" s="258"/>
      <c r="J20" s="78"/>
      <c r="K20" s="266"/>
      <c r="L20" s="140"/>
      <c r="M20" s="140"/>
      <c r="N20" s="140"/>
      <c r="O20" s="143"/>
      <c r="P20" s="167"/>
      <c r="Q20" s="98"/>
      <c r="R20" s="40"/>
      <c r="S20" s="141"/>
      <c r="T20" s="142"/>
      <c r="U20" s="101"/>
      <c r="V20" s="155"/>
      <c r="W20" s="193"/>
      <c r="X20" s="153">
        <f t="shared" si="10"/>
        <v>0</v>
      </c>
      <c r="Y20" s="101"/>
      <c r="Z20" s="101"/>
      <c r="AA20" s="98"/>
    </row>
    <row r="21" spans="1:28" s="61" customFormat="1" ht="15.75" customHeight="1">
      <c r="A21" s="218">
        <v>3</v>
      </c>
      <c r="B21" s="367" t="s">
        <v>60</v>
      </c>
      <c r="C21" s="144">
        <v>1</v>
      </c>
      <c r="D21" s="146">
        <v>107070950</v>
      </c>
      <c r="E21" s="147">
        <v>203493152.30000001</v>
      </c>
      <c r="F21" s="145">
        <v>500000000</v>
      </c>
      <c r="G21" s="147">
        <v>184819745</v>
      </c>
      <c r="H21" s="145">
        <v>51700000</v>
      </c>
      <c r="I21" s="257">
        <f>103281457*5.2%+103281457</f>
        <v>108652092.764</v>
      </c>
      <c r="J21" s="78"/>
      <c r="K21" s="152">
        <f>AVERAGE(D21,E21,F21,G21,H21,I21)</f>
        <v>192622656.67733333</v>
      </c>
      <c r="L21" s="149">
        <f>MEDIAN(D21,E21,F21,G21,H21,I21)</f>
        <v>146735918.882</v>
      </c>
      <c r="M21" s="150">
        <f>GEOMEAN(D21,E21,F21,G21,H21,I21)</f>
        <v>149822858.07118323</v>
      </c>
      <c r="N21" s="151">
        <f>HARMEAN(D21,E21,F21,G21,H21,I21)</f>
        <v>119496924.76808852</v>
      </c>
      <c r="O21" s="57">
        <f>MIN(L21:N21)</f>
        <v>119496924.76808852</v>
      </c>
      <c r="P21" s="168">
        <f>+((MIN(L21:N21)*3)+SMALL(L21:N21,2)+SMALL(L21:N21,3))/5</f>
        <v>131009910.25148976</v>
      </c>
      <c r="Q21" s="155">
        <f>ROUND((P21*C21),0)</f>
        <v>131009910</v>
      </c>
      <c r="R21" s="40"/>
      <c r="S21" s="153">
        <f t="shared" si="14"/>
        <v>25356757</v>
      </c>
      <c r="T21" s="154">
        <f t="shared" si="7"/>
        <v>760703</v>
      </c>
      <c r="U21" s="101">
        <f t="shared" si="8"/>
        <v>26117460</v>
      </c>
      <c r="V21" s="155">
        <f t="shared" si="9"/>
        <v>313409520</v>
      </c>
      <c r="W21" s="193"/>
      <c r="X21" s="153">
        <f t="shared" si="10"/>
        <v>26117460</v>
      </c>
      <c r="Y21" s="101">
        <f t="shared" si="11"/>
        <v>783524</v>
      </c>
      <c r="Z21" s="101">
        <f t="shared" si="12"/>
        <v>26900984</v>
      </c>
      <c r="AA21" s="155">
        <f t="shared" si="13"/>
        <v>322811808</v>
      </c>
    </row>
    <row r="22" spans="1:28" s="128" customFormat="1" ht="27.75" customHeight="1" thickBot="1">
      <c r="A22" s="219"/>
      <c r="B22" s="220"/>
      <c r="C22" s="13"/>
      <c r="D22" s="75"/>
      <c r="E22" s="76"/>
      <c r="F22" s="76"/>
      <c r="G22" s="76"/>
      <c r="H22" s="76"/>
      <c r="I22" s="76"/>
      <c r="J22" s="78"/>
      <c r="K22" s="4"/>
      <c r="L22" s="4"/>
      <c r="M22" s="4"/>
      <c r="N22" s="4"/>
      <c r="P22" s="169"/>
      <c r="Q22" s="170">
        <f>ROUND((SUM(Q8:Q21)),0)</f>
        <v>1301725752</v>
      </c>
      <c r="R22" s="40"/>
      <c r="S22" s="133">
        <f>SUM(S8:S21)</f>
        <v>251946920</v>
      </c>
      <c r="T22" s="134">
        <f>SUM(T7:T21)</f>
        <v>7558406</v>
      </c>
      <c r="U22" s="135">
        <f>SUM(U7:U21)</f>
        <v>259505326</v>
      </c>
      <c r="V22" s="132">
        <f>SUM(V8:V21)</f>
        <v>3114063912</v>
      </c>
      <c r="W22" s="161"/>
      <c r="X22" s="163">
        <f>SUM(X8:X21)</f>
        <v>259505326</v>
      </c>
      <c r="Y22" s="221">
        <f>SUM(Y8:Y21)</f>
        <v>7785161</v>
      </c>
      <c r="Z22" s="221">
        <f>SUM(Z8:Z21)</f>
        <v>267290487</v>
      </c>
      <c r="AA22" s="132">
        <f>SUM(AA8:AA21)</f>
        <v>3207485844</v>
      </c>
    </row>
    <row r="23" spans="1:28" ht="15.75" customHeight="1" thickBot="1">
      <c r="B23" s="4"/>
      <c r="C23" s="4"/>
      <c r="O23" s="83"/>
      <c r="P23" s="165"/>
      <c r="Q23" s="166"/>
    </row>
    <row r="24" spans="1:28" ht="35.25" customHeight="1" thickBot="1">
      <c r="A24" s="739" t="s">
        <v>61</v>
      </c>
      <c r="B24" s="740"/>
      <c r="C24" s="741"/>
      <c r="D24" s="250"/>
      <c r="E24" s="255"/>
      <c r="F24" s="250"/>
      <c r="G24" s="255"/>
      <c r="H24" s="250"/>
      <c r="I24" s="260"/>
      <c r="P24" s="690" t="s">
        <v>62</v>
      </c>
      <c r="Q24" s="691"/>
      <c r="R24" s="177"/>
      <c r="S24" s="234"/>
      <c r="T24" s="235"/>
      <c r="U24" s="690" t="s">
        <v>63</v>
      </c>
      <c r="V24" s="691"/>
      <c r="W24" s="236"/>
      <c r="X24" s="234"/>
      <c r="Y24" s="234"/>
      <c r="Z24" s="690" t="s">
        <v>64</v>
      </c>
      <c r="AA24" s="691"/>
      <c r="AB24" s="268" t="s">
        <v>64</v>
      </c>
    </row>
    <row r="25" spans="1:28" s="3" customFormat="1" ht="23.25" customHeight="1">
      <c r="A25" s="896" t="s">
        <v>65</v>
      </c>
      <c r="B25" s="897"/>
      <c r="C25" s="898"/>
      <c r="D25" s="251">
        <f>SUM(D8:D19)</f>
        <v>1070709500</v>
      </c>
      <c r="E25" s="251">
        <f t="shared" ref="E25:I25" si="15">SUM(E8:E19)</f>
        <v>2034931523</v>
      </c>
      <c r="F25" s="251">
        <f t="shared" si="15"/>
        <v>1024815132</v>
      </c>
      <c r="G25" s="251">
        <f t="shared" si="15"/>
        <v>1848197450</v>
      </c>
      <c r="H25" s="251">
        <f t="shared" si="15"/>
        <v>1185033563</v>
      </c>
      <c r="I25" s="261">
        <f t="shared" si="15"/>
        <v>1134488470.362</v>
      </c>
      <c r="J25" s="162"/>
      <c r="P25" s="222"/>
      <c r="Q25" s="261">
        <f>SUM(Q8:Q19)</f>
        <v>1170715842</v>
      </c>
      <c r="U25" s="222"/>
      <c r="V25" s="223">
        <f>+V8+V9+V10+V11+V12+V13+V14+V15+V16+V18+V19</f>
        <v>2800654392</v>
      </c>
      <c r="W25" s="224"/>
      <c r="Z25" s="222"/>
      <c r="AA25" s="223">
        <f>+AA8+AA9+AA10+AA11+AA12+AA13+AA14+AA15+AA16+AA18+AA19</f>
        <v>2884674036</v>
      </c>
      <c r="AB25" s="684">
        <f>+Q29+V29+AA29</f>
        <v>9071697856</v>
      </c>
    </row>
    <row r="26" spans="1:28" s="3" customFormat="1" ht="23.25" customHeight="1">
      <c r="A26" s="726" t="s">
        <v>66</v>
      </c>
      <c r="B26" s="904"/>
      <c r="C26" s="905"/>
      <c r="D26" s="252">
        <f>+D21</f>
        <v>107070950</v>
      </c>
      <c r="E26" s="252">
        <f t="shared" ref="E26:I26" si="16">+E21</f>
        <v>203493152.30000001</v>
      </c>
      <c r="F26" s="252">
        <f t="shared" si="16"/>
        <v>500000000</v>
      </c>
      <c r="G26" s="252">
        <f t="shared" si="16"/>
        <v>184819745</v>
      </c>
      <c r="H26" s="252">
        <f t="shared" si="16"/>
        <v>51700000</v>
      </c>
      <c r="I26" s="262">
        <f t="shared" si="16"/>
        <v>108652092.764</v>
      </c>
      <c r="J26" s="162"/>
      <c r="P26" s="222"/>
      <c r="Q26" s="262">
        <f>+Q21</f>
        <v>131009910</v>
      </c>
      <c r="U26" s="222"/>
      <c r="V26" s="223">
        <f>+V21</f>
        <v>313409520</v>
      </c>
      <c r="W26" s="224"/>
      <c r="Z26" s="222"/>
      <c r="AA26" s="223">
        <f>+AA21</f>
        <v>322811808</v>
      </c>
      <c r="AB26" s="685"/>
    </row>
    <row r="27" spans="1:28" s="3" customFormat="1" ht="23.25" customHeight="1">
      <c r="A27" s="726" t="s">
        <v>67</v>
      </c>
      <c r="B27" s="904"/>
      <c r="C27" s="905"/>
      <c r="D27" s="252">
        <f>SUM(D25:D26)</f>
        <v>1177780450</v>
      </c>
      <c r="E27" s="252">
        <f t="shared" ref="E27:I27" si="17">SUM(E25:E26)</f>
        <v>2238424675.3000002</v>
      </c>
      <c r="F27" s="252">
        <f t="shared" si="17"/>
        <v>1524815132</v>
      </c>
      <c r="G27" s="252">
        <f t="shared" si="17"/>
        <v>2033017195</v>
      </c>
      <c r="H27" s="252">
        <f t="shared" si="17"/>
        <v>1236733563</v>
      </c>
      <c r="I27" s="262">
        <f t="shared" si="17"/>
        <v>1243140563.1259999</v>
      </c>
      <c r="J27" s="162"/>
      <c r="P27" s="222"/>
      <c r="Q27" s="262">
        <f>SUM(Q25:Q26)</f>
        <v>1301725752</v>
      </c>
      <c r="U27" s="222"/>
      <c r="V27" s="223">
        <f>SUM(V25:V26)</f>
        <v>3114063912</v>
      </c>
      <c r="W27" s="224"/>
      <c r="Z27" s="222"/>
      <c r="AA27" s="223">
        <f>SUM(AA25:AA26)</f>
        <v>3207485844</v>
      </c>
      <c r="AB27" s="685"/>
    </row>
    <row r="28" spans="1:28" s="3" customFormat="1" ht="23.25" customHeight="1" thickBot="1">
      <c r="A28" s="901" t="s">
        <v>68</v>
      </c>
      <c r="B28" s="902"/>
      <c r="C28" s="903"/>
      <c r="D28" s="253">
        <f t="shared" ref="D28:I28" si="18">ROUNDUP((+D27*19%),0)</f>
        <v>223778286</v>
      </c>
      <c r="E28" s="253">
        <f t="shared" si="18"/>
        <v>425300689</v>
      </c>
      <c r="F28" s="253">
        <f t="shared" si="18"/>
        <v>289714876</v>
      </c>
      <c r="G28" s="253">
        <f t="shared" si="18"/>
        <v>386273268</v>
      </c>
      <c r="H28" s="253">
        <f t="shared" si="18"/>
        <v>234979377</v>
      </c>
      <c r="I28" s="253">
        <f t="shared" si="18"/>
        <v>236196707</v>
      </c>
      <c r="J28" s="162"/>
      <c r="P28" s="222"/>
      <c r="Q28" s="253">
        <f>ROUNDUP((+Q27*19%),0)</f>
        <v>247327893</v>
      </c>
      <c r="U28" s="222"/>
      <c r="V28" s="253">
        <f>ROUNDUP((+V27*19%),0)</f>
        <v>591672144</v>
      </c>
      <c r="W28" s="224"/>
      <c r="Z28" s="222"/>
      <c r="AA28" s="253">
        <f>ROUNDUP((+AA27*19%),0)</f>
        <v>609422311</v>
      </c>
      <c r="AB28" s="685"/>
    </row>
    <row r="29" spans="1:28" s="3" customFormat="1" ht="23.25" customHeight="1" thickBot="1">
      <c r="A29" s="698" t="s">
        <v>69</v>
      </c>
      <c r="B29" s="699"/>
      <c r="C29" s="900"/>
      <c r="D29" s="254">
        <f>+D27+D28</f>
        <v>1401558736</v>
      </c>
      <c r="E29" s="254">
        <f t="shared" ref="E29:I29" si="19">+E27+E28</f>
        <v>2663725364.3000002</v>
      </c>
      <c r="F29" s="254">
        <f t="shared" si="19"/>
        <v>1814530008</v>
      </c>
      <c r="G29" s="254">
        <f t="shared" si="19"/>
        <v>2419290463</v>
      </c>
      <c r="H29" s="254">
        <f t="shared" si="19"/>
        <v>1471712940</v>
      </c>
      <c r="I29" s="263">
        <f t="shared" si="19"/>
        <v>1479337270.1259999</v>
      </c>
      <c r="J29" s="162"/>
      <c r="L29" s="3" t="s">
        <v>283</v>
      </c>
      <c r="M29" s="120">
        <f>+O31/35*5</f>
        <v>42830976.359447002</v>
      </c>
      <c r="N29" s="3" t="s">
        <v>280</v>
      </c>
      <c r="O29" s="3">
        <v>2025</v>
      </c>
      <c r="P29" s="238">
        <f>+P27+P28</f>
        <v>0</v>
      </c>
      <c r="Q29" s="263">
        <f>+Q27+Q28</f>
        <v>1549053645</v>
      </c>
      <c r="R29" s="240"/>
      <c r="S29" s="240"/>
      <c r="T29" s="240"/>
      <c r="U29" s="88"/>
      <c r="V29" s="132">
        <f>SUM(V27:V28)</f>
        <v>3705736056</v>
      </c>
      <c r="W29" s="241"/>
      <c r="X29" s="240"/>
      <c r="Y29" s="240"/>
      <c r="Z29" s="88"/>
      <c r="AA29" s="239">
        <f>SUM(AA27:AA28)</f>
        <v>3816908155</v>
      </c>
      <c r="AB29" s="686"/>
    </row>
    <row r="30" spans="1:28" s="162" customFormat="1" ht="23.25" customHeight="1">
      <c r="A30" s="269"/>
      <c r="B30" s="269"/>
      <c r="C30" s="269"/>
      <c r="D30" s="270"/>
      <c r="E30" s="270"/>
      <c r="F30" s="270"/>
      <c r="G30" s="270"/>
      <c r="H30" s="270"/>
      <c r="I30" s="270"/>
      <c r="M30" s="271"/>
      <c r="P30" s="161"/>
      <c r="Q30" s="270"/>
      <c r="U30" s="224"/>
      <c r="V30" s="161"/>
      <c r="W30" s="161"/>
      <c r="Z30" s="224"/>
      <c r="AA30" s="161"/>
      <c r="AB30" s="272"/>
    </row>
    <row r="31" spans="1:28" s="3" customFormat="1" ht="30" customHeight="1">
      <c r="A31" s="27"/>
      <c r="C31" s="117"/>
      <c r="D31" s="71"/>
      <c r="E31" s="71"/>
      <c r="F31" s="71"/>
      <c r="G31" s="71"/>
      <c r="H31" s="71"/>
      <c r="I31" s="71"/>
      <c r="J31" s="162"/>
      <c r="L31" s="3" t="s">
        <v>284</v>
      </c>
      <c r="M31" s="120">
        <f>(+O31/35)*30</f>
        <v>256985858.15668198</v>
      </c>
      <c r="N31" s="245" t="s">
        <v>70</v>
      </c>
      <c r="O31" s="131">
        <f>+Q29/155*30</f>
        <v>299816834.51612902</v>
      </c>
      <c r="P31" s="226" t="s">
        <v>71</v>
      </c>
      <c r="Q31" s="232">
        <f>ROUND((+O31/30*155),0)</f>
        <v>1549053645</v>
      </c>
      <c r="S31" s="233">
        <v>1386161735</v>
      </c>
      <c r="T31" s="233" t="s">
        <v>72</v>
      </c>
      <c r="W31" s="162"/>
    </row>
    <row r="32" spans="1:28" s="3" customFormat="1" ht="30" customHeight="1">
      <c r="A32" s="27"/>
      <c r="C32" s="121"/>
      <c r="D32" s="71"/>
      <c r="E32" s="71"/>
      <c r="F32" s="71"/>
      <c r="G32" s="71"/>
      <c r="H32" s="71"/>
      <c r="I32" s="71"/>
      <c r="J32" s="162"/>
      <c r="N32" s="3" t="s">
        <v>73</v>
      </c>
      <c r="O32" s="122">
        <f>ROUND((+O31*3%),0)</f>
        <v>8994505</v>
      </c>
      <c r="P32" s="123"/>
      <c r="Q32" s="123"/>
      <c r="S32" s="228">
        <f>+S31-Q31</f>
        <v>-162891910</v>
      </c>
      <c r="T32" s="3" t="s">
        <v>74</v>
      </c>
      <c r="W32" s="162"/>
    </row>
    <row r="33" spans="1:23" s="3" customFormat="1" ht="30" customHeight="1">
      <c r="A33" s="27"/>
      <c r="D33" s="71"/>
      <c r="E33" s="71"/>
      <c r="F33" s="71"/>
      <c r="G33" s="71"/>
      <c r="H33" s="71"/>
      <c r="I33" s="71"/>
      <c r="J33" s="162"/>
      <c r="N33" s="245" t="s">
        <v>75</v>
      </c>
      <c r="O33" s="227">
        <f>+V29/12</f>
        <v>308811338</v>
      </c>
      <c r="P33" s="226" t="s">
        <v>76</v>
      </c>
      <c r="Q33" s="227">
        <f>+V29</f>
        <v>3705736056</v>
      </c>
      <c r="S33" s="131">
        <v>3316056552</v>
      </c>
      <c r="T33" s="131" t="s">
        <v>72</v>
      </c>
      <c r="W33" s="162"/>
    </row>
    <row r="34" spans="1:23" s="3" customFormat="1" ht="30" customHeight="1">
      <c r="J34" s="162"/>
      <c r="L34" s="229"/>
      <c r="N34" s="3" t="s">
        <v>73</v>
      </c>
      <c r="O34" s="122">
        <f>ROUND((+O33*3%),0)</f>
        <v>9264340</v>
      </c>
      <c r="P34" s="123"/>
      <c r="Q34" s="123"/>
      <c r="S34" s="228">
        <f>+S33-Q33</f>
        <v>-389679504</v>
      </c>
      <c r="T34" s="3" t="s">
        <v>74</v>
      </c>
    </row>
    <row r="35" spans="1:23" s="3" customFormat="1" ht="30" customHeight="1">
      <c r="J35" s="162"/>
      <c r="N35" s="245" t="s">
        <v>77</v>
      </c>
      <c r="O35" s="227">
        <f>+AA29</f>
        <v>3816908155</v>
      </c>
      <c r="P35" s="226" t="s">
        <v>76</v>
      </c>
      <c r="Q35" s="227">
        <f>+AA29</f>
        <v>3816908155</v>
      </c>
      <c r="S35" s="131">
        <v>3415538196</v>
      </c>
      <c r="T35" s="131" t="s">
        <v>72</v>
      </c>
    </row>
    <row r="36" spans="1:23" s="3" customFormat="1" ht="30" customHeight="1">
      <c r="J36" s="162"/>
      <c r="O36" s="125"/>
      <c r="P36" s="123"/>
      <c r="Q36" s="123"/>
      <c r="S36" s="228">
        <f>+S35-Q35</f>
        <v>-401369959</v>
      </c>
      <c r="T36" s="3" t="s">
        <v>74</v>
      </c>
    </row>
    <row r="37" spans="1:23" s="3" customFormat="1" ht="30" customHeight="1">
      <c r="J37" s="162"/>
      <c r="N37" s="695" t="s">
        <v>78</v>
      </c>
      <c r="O37" s="899"/>
      <c r="P37" s="696"/>
      <c r="Q37" s="227">
        <f>+Q31+Q33+Q35</f>
        <v>9071697856</v>
      </c>
      <c r="S37" s="131">
        <f>+S31+S33+S35</f>
        <v>8117756483</v>
      </c>
      <c r="T37" s="131" t="s">
        <v>72</v>
      </c>
    </row>
    <row r="38" spans="1:23" s="3" customFormat="1" ht="30" customHeight="1">
      <c r="J38" s="162"/>
      <c r="S38" s="228">
        <f>+S37-Q37</f>
        <v>-953941373</v>
      </c>
      <c r="T38" s="3" t="s">
        <v>74</v>
      </c>
    </row>
    <row r="39" spans="1:23" s="3" customFormat="1" ht="15.75" customHeight="1">
      <c r="J39" s="162"/>
    </row>
    <row r="40" spans="1:23" s="3" customFormat="1" ht="15.75" customHeight="1">
      <c r="J40" s="162"/>
    </row>
    <row r="44" spans="1:23" ht="15.75" customHeight="1">
      <c r="O44" s="692">
        <v>2024</v>
      </c>
      <c r="P44" s="692"/>
      <c r="Q44" s="692"/>
    </row>
    <row r="45" spans="1:23" ht="15.75" customHeight="1">
      <c r="N45" s="129" t="s">
        <v>79</v>
      </c>
      <c r="O45" s="129" t="s">
        <v>80</v>
      </c>
      <c r="P45" s="130" t="s">
        <v>81</v>
      </c>
      <c r="Q45" s="130" t="s">
        <v>82</v>
      </c>
    </row>
    <row r="46" spans="1:23" ht="15.75" customHeight="1">
      <c r="N46" s="129" t="s">
        <v>83</v>
      </c>
      <c r="O46" s="230">
        <f>(+Q46/164)*14</f>
        <v>115410729.98896343</v>
      </c>
      <c r="P46" s="230">
        <f>+Q46/164*30</f>
        <v>247308707.11920732</v>
      </c>
      <c r="Q46" s="231">
        <v>1351954265.585</v>
      </c>
    </row>
  </sheetData>
  <mergeCells count="22">
    <mergeCell ref="N37:P37"/>
    <mergeCell ref="O44:Q44"/>
    <mergeCell ref="A29:C29"/>
    <mergeCell ref="A28:C28"/>
    <mergeCell ref="AB25:AB29"/>
    <mergeCell ref="A26:C26"/>
    <mergeCell ref="A27:C27"/>
    <mergeCell ref="U24:V24"/>
    <mergeCell ref="Z24:AA24"/>
    <mergeCell ref="A25:C25"/>
    <mergeCell ref="A24:C24"/>
    <mergeCell ref="P24:Q24"/>
    <mergeCell ref="A17:C17"/>
    <mergeCell ref="A20:C20"/>
    <mergeCell ref="A7:C7"/>
    <mergeCell ref="P5:Q5"/>
    <mergeCell ref="S5:V5"/>
    <mergeCell ref="X5:AA5"/>
    <mergeCell ref="P2:Q3"/>
    <mergeCell ref="A4:C4"/>
    <mergeCell ref="L4:N4"/>
    <mergeCell ref="A5:C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7CD86-523D-4A2E-B245-7875EFE2E544}">
  <dimension ref="A1:AA46"/>
  <sheetViews>
    <sheetView topLeftCell="A16" zoomScale="80" zoomScaleNormal="80" workbookViewId="0">
      <selection activeCell="F29" sqref="F29"/>
    </sheetView>
  </sheetViews>
  <sheetFormatPr defaultColWidth="26.28515625" defaultRowHeight="15.75" customHeight="1"/>
  <cols>
    <col min="1" max="1" width="26.28515625" style="27"/>
    <col min="2" max="3" width="26.28515625" style="32"/>
    <col min="4" max="8" width="24.42578125" style="71" customWidth="1"/>
    <col min="9" max="9" width="1" style="162" customWidth="1"/>
    <col min="10" max="13" width="20.140625" style="4" customWidth="1"/>
    <col min="14" max="14" width="23.140625" style="4" customWidth="1"/>
    <col min="15" max="16" width="26.28515625" style="4"/>
    <col min="17" max="17" width="3.5703125" style="4" customWidth="1"/>
    <col min="18" max="18" width="20.140625" style="4" customWidth="1"/>
    <col min="19" max="20" width="18.7109375" style="4" customWidth="1"/>
    <col min="21" max="21" width="20.85546875" style="4" customWidth="1"/>
    <col min="22" max="22" width="4.28515625" style="32" customWidth="1"/>
    <col min="23" max="26" width="20" style="4" customWidth="1"/>
    <col min="27" max="16384" width="26.28515625" style="4"/>
  </cols>
  <sheetData>
    <row r="1" spans="1:26" ht="15.75" customHeight="1" thickBot="1">
      <c r="A1" s="1"/>
      <c r="B1" s="1"/>
      <c r="C1" s="2"/>
      <c r="D1" s="2"/>
      <c r="E1" s="2"/>
      <c r="F1" s="2"/>
      <c r="G1" s="2"/>
      <c r="H1" s="2"/>
    </row>
    <row r="2" spans="1:26" ht="15.75" customHeight="1">
      <c r="A2" s="1"/>
      <c r="B2" s="1"/>
      <c r="C2" s="2"/>
      <c r="D2" s="64"/>
      <c r="E2" s="2"/>
      <c r="F2" s="2"/>
      <c r="G2" s="2"/>
      <c r="H2" s="2"/>
      <c r="O2" s="706"/>
      <c r="P2" s="707"/>
    </row>
    <row r="3" spans="1:26" s="5" customFormat="1" ht="15.75" customHeight="1" thickBot="1">
      <c r="I3" s="6"/>
      <c r="N3" s="7"/>
      <c r="O3" s="709"/>
      <c r="P3" s="710"/>
      <c r="Q3" s="6"/>
      <c r="R3" s="5">
        <f>5/30</f>
        <v>0.16666666666666666</v>
      </c>
      <c r="S3" s="5">
        <f>R3+5</f>
        <v>5.166666666666667</v>
      </c>
      <c r="T3" s="5">
        <f>S3*30</f>
        <v>155</v>
      </c>
      <c r="U3" s="5" t="s">
        <v>2</v>
      </c>
      <c r="V3" s="6"/>
    </row>
    <row r="4" spans="1:26" s="5" customFormat="1" ht="15.75" customHeight="1" thickBot="1">
      <c r="A4" s="864" t="s">
        <v>3</v>
      </c>
      <c r="B4" s="865"/>
      <c r="C4" s="865"/>
      <c r="I4" s="6"/>
      <c r="J4" s="137"/>
      <c r="K4" s="864" t="s">
        <v>5</v>
      </c>
      <c r="L4" s="865"/>
      <c r="M4" s="886"/>
      <c r="Q4" s="33"/>
      <c r="V4" s="6"/>
    </row>
    <row r="5" spans="1:26" s="8" customFormat="1" ht="72.75" customHeight="1">
      <c r="A5" s="887" t="s">
        <v>6</v>
      </c>
      <c r="B5" s="888"/>
      <c r="C5" s="889"/>
      <c r="D5" s="247" t="s">
        <v>7</v>
      </c>
      <c r="E5" s="247" t="s">
        <v>9</v>
      </c>
      <c r="F5" s="248" t="s">
        <v>10</v>
      </c>
      <c r="G5" s="247" t="s">
        <v>11</v>
      </c>
      <c r="H5" s="249" t="s">
        <v>12</v>
      </c>
      <c r="I5" s="40"/>
      <c r="J5" s="176" t="s">
        <v>13</v>
      </c>
      <c r="K5" s="173" t="s">
        <v>14</v>
      </c>
      <c r="L5" s="174" t="s">
        <v>15</v>
      </c>
      <c r="M5" s="175" t="s">
        <v>16</v>
      </c>
      <c r="N5" s="179"/>
      <c r="O5" s="690" t="s">
        <v>17</v>
      </c>
      <c r="P5" s="691"/>
      <c r="Q5" s="177"/>
      <c r="R5" s="893" t="s">
        <v>19</v>
      </c>
      <c r="S5" s="894"/>
      <c r="T5" s="894"/>
      <c r="U5" s="895"/>
      <c r="V5" s="33"/>
      <c r="W5" s="883" t="s">
        <v>20</v>
      </c>
      <c r="X5" s="884"/>
      <c r="Y5" s="884"/>
      <c r="Z5" s="885"/>
    </row>
    <row r="6" spans="1:26" s="8" customFormat="1" ht="44.25" customHeight="1" thickBot="1">
      <c r="A6" s="180" t="s">
        <v>21</v>
      </c>
      <c r="B6" s="181" t="s">
        <v>22</v>
      </c>
      <c r="C6" s="182" t="s">
        <v>23</v>
      </c>
      <c r="D6" s="183" t="s">
        <v>281</v>
      </c>
      <c r="E6" s="183" t="s">
        <v>281</v>
      </c>
      <c r="F6" s="67" t="s">
        <v>282</v>
      </c>
      <c r="G6" s="183" t="s">
        <v>281</v>
      </c>
      <c r="H6" s="256" t="s">
        <v>282</v>
      </c>
      <c r="I6" s="267"/>
      <c r="J6" s="264" t="s">
        <v>29</v>
      </c>
      <c r="K6" s="47" t="s">
        <v>29</v>
      </c>
      <c r="L6" s="47" t="s">
        <v>29</v>
      </c>
      <c r="M6" s="47" t="s">
        <v>29</v>
      </c>
      <c r="N6" s="158" t="s">
        <v>27</v>
      </c>
      <c r="O6" s="185" t="s">
        <v>28</v>
      </c>
      <c r="P6" s="186" t="s">
        <v>29</v>
      </c>
      <c r="Q6" s="40"/>
      <c r="R6" s="187" t="s">
        <v>30</v>
      </c>
      <c r="S6" s="188" t="s">
        <v>31</v>
      </c>
      <c r="T6" s="188" t="s">
        <v>32</v>
      </c>
      <c r="U6" s="189" t="s">
        <v>277</v>
      </c>
      <c r="V6" s="40"/>
      <c r="W6" s="190" t="s">
        <v>30</v>
      </c>
      <c r="X6" s="191" t="s">
        <v>31</v>
      </c>
      <c r="Y6" s="191" t="s">
        <v>32</v>
      </c>
      <c r="Z6" s="192" t="s">
        <v>277</v>
      </c>
    </row>
    <row r="7" spans="1:26" s="8" customFormat="1" ht="15.75" customHeight="1" thickBot="1">
      <c r="A7" s="890" t="s">
        <v>35</v>
      </c>
      <c r="B7" s="891"/>
      <c r="C7" s="892"/>
      <c r="D7" s="66"/>
      <c r="E7" s="67"/>
      <c r="F7" s="67"/>
      <c r="G7" s="67"/>
      <c r="H7" s="256"/>
      <c r="I7" s="267"/>
      <c r="J7" s="265"/>
      <c r="K7" s="67"/>
      <c r="L7" s="67"/>
      <c r="M7" s="67"/>
      <c r="N7" s="158"/>
      <c r="O7" s="138"/>
      <c r="P7" s="139"/>
      <c r="Q7" s="40"/>
      <c r="R7" s="102"/>
      <c r="S7" s="100"/>
      <c r="T7" s="100"/>
      <c r="U7" s="103"/>
      <c r="V7" s="10"/>
      <c r="W7" s="102"/>
      <c r="X7" s="100"/>
      <c r="Y7" s="100"/>
      <c r="Z7" s="156"/>
    </row>
    <row r="8" spans="1:26" s="61" customFormat="1" ht="15.75" customHeight="1">
      <c r="A8" s="14" t="s">
        <v>36</v>
      </c>
      <c r="B8" s="15" t="s">
        <v>37</v>
      </c>
      <c r="C8" s="16">
        <v>1</v>
      </c>
      <c r="D8" s="146">
        <v>89958000</v>
      </c>
      <c r="E8" s="145">
        <v>67721716</v>
      </c>
      <c r="F8" s="147">
        <v>86856000</v>
      </c>
      <c r="G8" s="145">
        <v>76177365</v>
      </c>
      <c r="H8" s="257">
        <f>67891554.5*5.2%+67891554.5</f>
        <v>71421915.334000006</v>
      </c>
      <c r="I8" s="78"/>
      <c r="J8" s="152">
        <f>AVERAGE(D8,,E8,F8,G8,H8)</f>
        <v>65355832.722333334</v>
      </c>
      <c r="K8" s="149">
        <f>MEDIAN(D8,,E8,F8,G8,H8)</f>
        <v>73799640.166999996</v>
      </c>
      <c r="L8" s="150">
        <f>GEOMEAN(D8,E8,F8,G8,H8)</f>
        <v>77955184.155302912</v>
      </c>
      <c r="M8" s="151">
        <f>HARMEAN(D8,E8,F8,G8,H8)</f>
        <v>77489964.897275686</v>
      </c>
      <c r="N8" s="57">
        <f t="shared" ref="N8:N16" si="0">MIN(K8:M8)</f>
        <v>73799640.166999996</v>
      </c>
      <c r="O8" s="168">
        <f t="shared" ref="O8:O16" si="1">+((MIN(K8:M8)*3)+SMALL(K8:M8,2)+SMALL(K8:M8,3))/5</f>
        <v>75368813.910715729</v>
      </c>
      <c r="P8" s="155">
        <f t="shared" ref="P8:P16" si="2">ROUND((O8*C8),0)</f>
        <v>75368814</v>
      </c>
      <c r="Q8" s="40"/>
      <c r="R8" s="153">
        <f>ROUND((+P8/155)*30,0)</f>
        <v>14587512</v>
      </c>
      <c r="S8" s="154">
        <f>ROUND((+R8*3%),0)</f>
        <v>437625</v>
      </c>
      <c r="T8" s="101">
        <f>ROUND((+R8+S8),0)</f>
        <v>15025137</v>
      </c>
      <c r="U8" s="155">
        <f>ROUNDUP((+T8*12),0)</f>
        <v>180301644</v>
      </c>
      <c r="V8" s="193"/>
      <c r="W8" s="153">
        <f>(+U8/360)*30</f>
        <v>15025137</v>
      </c>
      <c r="X8" s="101">
        <f>ROUND((+W8*3%),0)</f>
        <v>450754</v>
      </c>
      <c r="Y8" s="101">
        <f>ROUND((+W8+X8),0)</f>
        <v>15475891</v>
      </c>
      <c r="Z8" s="98">
        <f>ROUND((+Y8*12),0)</f>
        <v>185710692</v>
      </c>
    </row>
    <row r="9" spans="1:26" s="61" customFormat="1" ht="15.75" customHeight="1">
      <c r="A9" s="17" t="s">
        <v>38</v>
      </c>
      <c r="B9" s="18" t="s">
        <v>39</v>
      </c>
      <c r="C9" s="19">
        <v>1</v>
      </c>
      <c r="D9" s="195">
        <v>44462000</v>
      </c>
      <c r="E9" s="194">
        <v>56434764</v>
      </c>
      <c r="F9" s="70">
        <v>70570500</v>
      </c>
      <c r="G9" s="194">
        <v>48112020</v>
      </c>
      <c r="H9" s="258">
        <f>59250053.5*5.2%+59250053.5</f>
        <v>62331056.281999998</v>
      </c>
      <c r="I9" s="78"/>
      <c r="J9" s="152">
        <f t="shared" ref="J9:J16" si="3">AVERAGE(D9,,E9,F9,G9,H9)</f>
        <v>46985056.71366667</v>
      </c>
      <c r="K9" s="149">
        <f t="shared" ref="K9:K16" si="4">MEDIAN(D9,,E9,F9,G9,H9)</f>
        <v>52273392</v>
      </c>
      <c r="L9" s="150">
        <f t="shared" ref="L9:L16" si="5">GEOMEAN(D9,E9,F9,G9,H9)</f>
        <v>55593420.534891367</v>
      </c>
      <c r="M9" s="151">
        <f t="shared" ref="M9:M16" si="6">HARMEAN(D9,E9,F9,G9,H9)</f>
        <v>54819084.95543135</v>
      </c>
      <c r="N9" s="57">
        <f t="shared" si="0"/>
        <v>52273392</v>
      </c>
      <c r="O9" s="167">
        <f t="shared" si="1"/>
        <v>53446536.298064545</v>
      </c>
      <c r="P9" s="98">
        <f t="shared" si="2"/>
        <v>53446536</v>
      </c>
      <c r="Q9" s="40"/>
      <c r="R9" s="104">
        <f>ROUND((+P9/155)*30,0)</f>
        <v>10344491</v>
      </c>
      <c r="S9" s="96">
        <f t="shared" ref="S9:S21" si="7">ROUND((+R9*3%),0)</f>
        <v>310335</v>
      </c>
      <c r="T9" s="101">
        <f t="shared" ref="T9:T21" si="8">ROUND((+R9+S9),0)</f>
        <v>10654826</v>
      </c>
      <c r="U9" s="155">
        <f t="shared" ref="U9:U21" si="9">ROUNDUP((+T9*12),0)</f>
        <v>127857912</v>
      </c>
      <c r="V9" s="193"/>
      <c r="W9" s="153">
        <f t="shared" ref="W9:W21" si="10">(+U9/360)*30</f>
        <v>10654826</v>
      </c>
      <c r="X9" s="101">
        <f t="shared" ref="X9:X21" si="11">ROUND((+W9*3%),0)</f>
        <v>319645</v>
      </c>
      <c r="Y9" s="101">
        <f t="shared" ref="Y9:Y21" si="12">ROUND((+W9+X9),0)</f>
        <v>10974471</v>
      </c>
      <c r="Z9" s="98">
        <f t="shared" ref="Z9:Z21" si="13">ROUND((+Y9*12),0)</f>
        <v>131693652</v>
      </c>
    </row>
    <row r="10" spans="1:26" s="61" customFormat="1" ht="15.75" customHeight="1">
      <c r="A10" s="17" t="s">
        <v>40</v>
      </c>
      <c r="B10" s="18" t="s">
        <v>41</v>
      </c>
      <c r="C10" s="19">
        <v>1</v>
      </c>
      <c r="D10" s="195">
        <v>54285000</v>
      </c>
      <c r="E10" s="194">
        <v>52672446</v>
      </c>
      <c r="F10" s="70">
        <v>70570500</v>
      </c>
      <c r="G10" s="194">
        <v>48112020</v>
      </c>
      <c r="H10" s="258">
        <f>57981847*5.2%+57981847</f>
        <v>60996903.044</v>
      </c>
      <c r="I10" s="78"/>
      <c r="J10" s="152">
        <f t="shared" si="3"/>
        <v>47772811.507333338</v>
      </c>
      <c r="K10" s="149">
        <f t="shared" si="4"/>
        <v>53478723</v>
      </c>
      <c r="L10" s="150">
        <f t="shared" si="5"/>
        <v>56818475.895277739</v>
      </c>
      <c r="M10" s="151">
        <f t="shared" si="6"/>
        <v>56334294.494402312</v>
      </c>
      <c r="N10" s="57">
        <f t="shared" si="0"/>
        <v>53478723</v>
      </c>
      <c r="O10" s="167">
        <f t="shared" si="1"/>
        <v>54717787.877936006</v>
      </c>
      <c r="P10" s="98">
        <f t="shared" si="2"/>
        <v>54717788</v>
      </c>
      <c r="Q10" s="40"/>
      <c r="R10" s="104">
        <f>ROUND((+P10/155)*30,0)</f>
        <v>10590540</v>
      </c>
      <c r="S10" s="96">
        <f t="shared" si="7"/>
        <v>317716</v>
      </c>
      <c r="T10" s="101">
        <f t="shared" si="8"/>
        <v>10908256</v>
      </c>
      <c r="U10" s="155">
        <f t="shared" si="9"/>
        <v>130899072</v>
      </c>
      <c r="V10" s="193"/>
      <c r="W10" s="153">
        <f t="shared" si="10"/>
        <v>10908256</v>
      </c>
      <c r="X10" s="101">
        <f t="shared" si="11"/>
        <v>327248</v>
      </c>
      <c r="Y10" s="101">
        <f t="shared" si="12"/>
        <v>11235504</v>
      </c>
      <c r="Z10" s="98">
        <f t="shared" si="13"/>
        <v>134826048</v>
      </c>
    </row>
    <row r="11" spans="1:26" s="61" customFormat="1" ht="15.75" customHeight="1">
      <c r="A11" s="17" t="s">
        <v>42</v>
      </c>
      <c r="B11" s="18" t="s">
        <v>43</v>
      </c>
      <c r="C11" s="19">
        <v>1</v>
      </c>
      <c r="D11" s="195">
        <v>37224000</v>
      </c>
      <c r="E11" s="194">
        <v>52672446</v>
      </c>
      <c r="F11" s="70">
        <v>70570500</v>
      </c>
      <c r="G11" s="194">
        <v>48112020</v>
      </c>
      <c r="H11" s="258">
        <f>57981847*5.2%+57981847</f>
        <v>60996903.044</v>
      </c>
      <c r="I11" s="78"/>
      <c r="J11" s="152">
        <f t="shared" si="3"/>
        <v>44929311.507333338</v>
      </c>
      <c r="K11" s="149">
        <f t="shared" si="4"/>
        <v>50392233</v>
      </c>
      <c r="L11" s="150">
        <f t="shared" si="5"/>
        <v>52688789.3153155</v>
      </c>
      <c r="M11" s="151">
        <f t="shared" si="6"/>
        <v>51440871.335252114</v>
      </c>
      <c r="N11" s="57">
        <f t="shared" si="0"/>
        <v>50392233</v>
      </c>
      <c r="O11" s="167">
        <f t="shared" si="1"/>
        <v>51061271.930113517</v>
      </c>
      <c r="P11" s="98">
        <f t="shared" si="2"/>
        <v>51061272</v>
      </c>
      <c r="Q11" s="40"/>
      <c r="R11" s="104">
        <f t="shared" ref="R11:R21" si="14">ROUND((+P11/155)*30,0)</f>
        <v>9882827</v>
      </c>
      <c r="S11" s="96">
        <f t="shared" si="7"/>
        <v>296485</v>
      </c>
      <c r="T11" s="101">
        <f t="shared" si="8"/>
        <v>10179312</v>
      </c>
      <c r="U11" s="155">
        <f t="shared" si="9"/>
        <v>122151744</v>
      </c>
      <c r="V11" s="193"/>
      <c r="W11" s="153">
        <f t="shared" si="10"/>
        <v>10179312</v>
      </c>
      <c r="X11" s="101">
        <f t="shared" si="11"/>
        <v>305379</v>
      </c>
      <c r="Y11" s="101">
        <f t="shared" si="12"/>
        <v>10484691</v>
      </c>
      <c r="Z11" s="98">
        <f t="shared" si="13"/>
        <v>125816292</v>
      </c>
    </row>
    <row r="12" spans="1:26" s="61" customFormat="1" ht="15.75" customHeight="1">
      <c r="A12" s="17" t="s">
        <v>44</v>
      </c>
      <c r="B12" s="18" t="s">
        <v>45</v>
      </c>
      <c r="C12" s="19">
        <v>1</v>
      </c>
      <c r="D12" s="195">
        <v>44462000</v>
      </c>
      <c r="E12" s="194">
        <v>33860858</v>
      </c>
      <c r="F12" s="70">
        <v>65142000</v>
      </c>
      <c r="G12" s="194">
        <v>40093350</v>
      </c>
      <c r="H12" s="258">
        <f>45456713.5*5.2%+45456713.5</f>
        <v>47820462.601999998</v>
      </c>
      <c r="I12" s="78"/>
      <c r="J12" s="152">
        <f t="shared" si="3"/>
        <v>38563111.766999997</v>
      </c>
      <c r="K12" s="149">
        <f t="shared" si="4"/>
        <v>42277675</v>
      </c>
      <c r="L12" s="150">
        <f t="shared" si="5"/>
        <v>45169661.071731009</v>
      </c>
      <c r="M12" s="151">
        <f t="shared" si="6"/>
        <v>44158625.578251258</v>
      </c>
      <c r="N12" s="57">
        <f t="shared" si="0"/>
        <v>42277675</v>
      </c>
      <c r="O12" s="167">
        <f t="shared" si="1"/>
        <v>43232262.329996452</v>
      </c>
      <c r="P12" s="98">
        <f t="shared" si="2"/>
        <v>43232262</v>
      </c>
      <c r="Q12" s="40"/>
      <c r="R12" s="104">
        <f t="shared" si="14"/>
        <v>8367535</v>
      </c>
      <c r="S12" s="96">
        <f t="shared" si="7"/>
        <v>251026</v>
      </c>
      <c r="T12" s="101">
        <f t="shared" si="8"/>
        <v>8618561</v>
      </c>
      <c r="U12" s="155">
        <f t="shared" si="9"/>
        <v>103422732</v>
      </c>
      <c r="V12" s="193"/>
      <c r="W12" s="153">
        <f t="shared" si="10"/>
        <v>8618561</v>
      </c>
      <c r="X12" s="101">
        <f t="shared" si="11"/>
        <v>258557</v>
      </c>
      <c r="Y12" s="101">
        <f t="shared" si="12"/>
        <v>8877118</v>
      </c>
      <c r="Z12" s="98">
        <f t="shared" si="13"/>
        <v>106525416</v>
      </c>
    </row>
    <row r="13" spans="1:26" s="61" customFormat="1" ht="15.75" customHeight="1">
      <c r="A13" s="17" t="s">
        <v>46</v>
      </c>
      <c r="B13" s="246" t="s">
        <v>47</v>
      </c>
      <c r="C13" s="19">
        <v>0.5</v>
      </c>
      <c r="D13" s="195">
        <v>22231000</v>
      </c>
      <c r="E13" s="194">
        <v>20692747</v>
      </c>
      <c r="F13" s="70">
        <v>37999500</v>
      </c>
      <c r="G13" s="194">
        <v>12028005</v>
      </c>
      <c r="H13" s="258">
        <f>38077677*5.2%+38077677</f>
        <v>40057716.204000004</v>
      </c>
      <c r="I13" s="78"/>
      <c r="J13" s="152">
        <f t="shared" si="3"/>
        <v>22168161.367333334</v>
      </c>
      <c r="K13" s="149">
        <f t="shared" si="4"/>
        <v>21461873.5</v>
      </c>
      <c r="L13" s="150">
        <f t="shared" si="5"/>
        <v>24270960.464063901</v>
      </c>
      <c r="M13" s="151">
        <f t="shared" si="6"/>
        <v>21956040.300853528</v>
      </c>
      <c r="N13" s="57">
        <f t="shared" si="0"/>
        <v>21461873.5</v>
      </c>
      <c r="O13" s="167">
        <f t="shared" si="1"/>
        <v>22122524.252983484</v>
      </c>
      <c r="P13" s="98">
        <f t="shared" si="2"/>
        <v>11061262</v>
      </c>
      <c r="Q13" s="40"/>
      <c r="R13" s="104">
        <f t="shared" si="14"/>
        <v>2140889</v>
      </c>
      <c r="S13" s="96">
        <f t="shared" si="7"/>
        <v>64227</v>
      </c>
      <c r="T13" s="200">
        <f t="shared" si="8"/>
        <v>2205116</v>
      </c>
      <c r="U13" s="155">
        <f t="shared" si="9"/>
        <v>26461392</v>
      </c>
      <c r="V13" s="193"/>
      <c r="W13" s="153">
        <f t="shared" si="10"/>
        <v>2205116</v>
      </c>
      <c r="X13" s="101">
        <f t="shared" si="11"/>
        <v>66153</v>
      </c>
      <c r="Y13" s="101">
        <f t="shared" si="12"/>
        <v>2271269</v>
      </c>
      <c r="Z13" s="98">
        <f t="shared" si="13"/>
        <v>27255228</v>
      </c>
    </row>
    <row r="14" spans="1:26" s="61" customFormat="1" ht="15.75" customHeight="1">
      <c r="A14" s="17" t="s">
        <v>48</v>
      </c>
      <c r="B14" s="18" t="s">
        <v>49</v>
      </c>
      <c r="C14" s="19">
        <v>1</v>
      </c>
      <c r="D14" s="195">
        <v>295724000</v>
      </c>
      <c r="E14" s="194">
        <v>256004839</v>
      </c>
      <c r="F14" s="70">
        <v>635134500</v>
      </c>
      <c r="G14" s="194">
        <v>338788808</v>
      </c>
      <c r="H14" s="258">
        <f>291617612*5.2%+291617612</f>
        <v>306781727.824</v>
      </c>
      <c r="I14" s="78"/>
      <c r="J14" s="152">
        <f t="shared" si="3"/>
        <v>305405645.80399996</v>
      </c>
      <c r="K14" s="149">
        <f t="shared" si="4"/>
        <v>301252863.912</v>
      </c>
      <c r="L14" s="150">
        <f t="shared" si="5"/>
        <v>346538745.4616217</v>
      </c>
      <c r="M14" s="151">
        <f t="shared" si="6"/>
        <v>331707630.54502559</v>
      </c>
      <c r="N14" s="57">
        <f t="shared" si="0"/>
        <v>301252863.912</v>
      </c>
      <c r="O14" s="167">
        <f t="shared" si="1"/>
        <v>316400993.54852951</v>
      </c>
      <c r="P14" s="98">
        <f t="shared" si="2"/>
        <v>316400994</v>
      </c>
      <c r="Q14" s="40"/>
      <c r="R14" s="104">
        <f t="shared" si="14"/>
        <v>61238902</v>
      </c>
      <c r="S14" s="201">
        <f t="shared" si="7"/>
        <v>1837167</v>
      </c>
      <c r="T14" s="58">
        <f t="shared" si="8"/>
        <v>63076069</v>
      </c>
      <c r="U14" s="202">
        <f t="shared" si="9"/>
        <v>756912828</v>
      </c>
      <c r="V14" s="193"/>
      <c r="W14" s="153">
        <f t="shared" si="10"/>
        <v>63076069</v>
      </c>
      <c r="X14" s="101">
        <f t="shared" si="11"/>
        <v>1892282</v>
      </c>
      <c r="Y14" s="101">
        <f t="shared" si="12"/>
        <v>64968351</v>
      </c>
      <c r="Z14" s="98">
        <f t="shared" si="13"/>
        <v>779620212</v>
      </c>
    </row>
    <row r="15" spans="1:26" s="61" customFormat="1" ht="15.75" customHeight="1">
      <c r="A15" s="17" t="s">
        <v>50</v>
      </c>
      <c r="B15" s="18" t="s">
        <v>51</v>
      </c>
      <c r="C15" s="19">
        <v>1</v>
      </c>
      <c r="D15" s="195">
        <v>282282000</v>
      </c>
      <c r="E15" s="194">
        <v>264114693</v>
      </c>
      <c r="F15" s="70">
        <v>635134500</v>
      </c>
      <c r="G15" s="194">
        <v>342437302</v>
      </c>
      <c r="H15" s="258">
        <f>296377438.5*5.2%+296377438.5</f>
        <v>311789065.30199999</v>
      </c>
      <c r="I15" s="78"/>
      <c r="J15" s="152">
        <f t="shared" si="3"/>
        <v>305959593.38366669</v>
      </c>
      <c r="K15" s="149">
        <f t="shared" si="4"/>
        <v>297035532.65100002</v>
      </c>
      <c r="L15" s="150">
        <f t="shared" si="5"/>
        <v>347341503.40601468</v>
      </c>
      <c r="M15" s="151">
        <f t="shared" si="6"/>
        <v>332650303.41164559</v>
      </c>
      <c r="N15" s="57">
        <f t="shared" si="0"/>
        <v>297035532.65100002</v>
      </c>
      <c r="O15" s="167">
        <f t="shared" si="1"/>
        <v>314219680.95413208</v>
      </c>
      <c r="P15" s="98">
        <f t="shared" si="2"/>
        <v>314219681</v>
      </c>
      <c r="Q15" s="40"/>
      <c r="R15" s="104">
        <f t="shared" si="14"/>
        <v>60816712</v>
      </c>
      <c r="S15" s="96">
        <f t="shared" si="7"/>
        <v>1824501</v>
      </c>
      <c r="T15" s="101">
        <f t="shared" si="8"/>
        <v>62641213</v>
      </c>
      <c r="U15" s="155">
        <f t="shared" si="9"/>
        <v>751694556</v>
      </c>
      <c r="V15" s="193"/>
      <c r="W15" s="153">
        <f t="shared" si="10"/>
        <v>62641213</v>
      </c>
      <c r="X15" s="101">
        <f t="shared" si="11"/>
        <v>1879236</v>
      </c>
      <c r="Y15" s="101">
        <f t="shared" si="12"/>
        <v>64520449</v>
      </c>
      <c r="Z15" s="98">
        <f t="shared" si="13"/>
        <v>774245388</v>
      </c>
    </row>
    <row r="16" spans="1:26" s="61" customFormat="1" ht="15.75" customHeight="1" thickBot="1">
      <c r="A16" s="203" t="s">
        <v>52</v>
      </c>
      <c r="B16" s="204" t="s">
        <v>53</v>
      </c>
      <c r="C16" s="24">
        <v>1</v>
      </c>
      <c r="D16" s="206">
        <v>10081500</v>
      </c>
      <c r="E16" s="205">
        <v>26336223</v>
      </c>
      <c r="F16" s="207">
        <v>24428250</v>
      </c>
      <c r="G16" s="205">
        <v>14032673</v>
      </c>
      <c r="H16" s="259">
        <f>19294368.5*5.2%+19294368.5</f>
        <v>20297675.662</v>
      </c>
      <c r="I16" s="78"/>
      <c r="J16" s="152">
        <f t="shared" si="3"/>
        <v>15862720.277000001</v>
      </c>
      <c r="K16" s="149">
        <f t="shared" si="4"/>
        <v>17165174.331</v>
      </c>
      <c r="L16" s="150">
        <f t="shared" si="5"/>
        <v>17918908.135941159</v>
      </c>
      <c r="M16" s="151">
        <f t="shared" si="6"/>
        <v>16743278.219510231</v>
      </c>
      <c r="N16" s="57">
        <f t="shared" si="0"/>
        <v>16743278.219510231</v>
      </c>
      <c r="O16" s="213">
        <f t="shared" si="1"/>
        <v>17062783.425094374</v>
      </c>
      <c r="P16" s="214">
        <f t="shared" si="2"/>
        <v>17062783</v>
      </c>
      <c r="Q16" s="40"/>
      <c r="R16" s="215">
        <f t="shared" si="14"/>
        <v>3302474</v>
      </c>
      <c r="S16" s="216">
        <f t="shared" si="7"/>
        <v>99074</v>
      </c>
      <c r="T16" s="101">
        <f t="shared" si="8"/>
        <v>3401548</v>
      </c>
      <c r="U16" s="155">
        <f t="shared" si="9"/>
        <v>40818576</v>
      </c>
      <c r="V16" s="193"/>
      <c r="W16" s="153">
        <f t="shared" si="10"/>
        <v>3401548</v>
      </c>
      <c r="X16" s="101">
        <f t="shared" si="11"/>
        <v>102046</v>
      </c>
      <c r="Y16" s="101">
        <f t="shared" si="12"/>
        <v>3503594</v>
      </c>
      <c r="Z16" s="214">
        <f t="shared" si="13"/>
        <v>42043128</v>
      </c>
    </row>
    <row r="17" spans="1:27" s="61" customFormat="1" ht="15.75" customHeight="1" thickBot="1">
      <c r="A17" s="890" t="s">
        <v>54</v>
      </c>
      <c r="B17" s="891"/>
      <c r="C17" s="892"/>
      <c r="D17" s="69"/>
      <c r="E17" s="70"/>
      <c r="F17" s="70"/>
      <c r="G17" s="70"/>
      <c r="H17" s="258"/>
      <c r="I17" s="78"/>
      <c r="J17" s="266"/>
      <c r="K17" s="140"/>
      <c r="L17" s="140"/>
      <c r="M17" s="140"/>
      <c r="N17" s="143"/>
      <c r="O17" s="167"/>
      <c r="P17" s="98"/>
      <c r="Q17" s="40"/>
      <c r="R17" s="141"/>
      <c r="S17" s="142"/>
      <c r="T17" s="101"/>
      <c r="U17" s="155"/>
      <c r="V17" s="193"/>
      <c r="W17" s="153">
        <f t="shared" si="10"/>
        <v>0</v>
      </c>
      <c r="X17" s="101"/>
      <c r="Y17" s="101"/>
      <c r="Z17" s="98"/>
    </row>
    <row r="18" spans="1:27" s="61" customFormat="1" ht="60.75" customHeight="1">
      <c r="A18" s="14" t="s">
        <v>55</v>
      </c>
      <c r="B18" s="204" t="s">
        <v>56</v>
      </c>
      <c r="C18" s="217">
        <v>1</v>
      </c>
      <c r="D18" s="146">
        <v>140000000</v>
      </c>
      <c r="E18" s="145">
        <v>82056000</v>
      </c>
      <c r="F18" s="147">
        <v>125941200</v>
      </c>
      <c r="G18" s="145">
        <v>31020000</v>
      </c>
      <c r="H18" s="257">
        <f>108372917*5.2%+108372917</f>
        <v>114008308.684</v>
      </c>
      <c r="I18" s="78"/>
      <c r="J18" s="152">
        <f t="shared" ref="J18:J19" si="15">AVERAGE(D18,,E18,F18,G18,H18)</f>
        <v>82170918.114000008</v>
      </c>
      <c r="K18" s="149">
        <f t="shared" ref="K18:K19" si="16">MEDIAN(D18,,E18,F18,G18,H18)</f>
        <v>98032154.342000008</v>
      </c>
      <c r="L18" s="150">
        <f t="shared" ref="L18:L19" si="17">GEOMEAN(D18,E18,F18,G18,H18)</f>
        <v>87457468.099955559</v>
      </c>
      <c r="M18" s="151">
        <f t="shared" ref="M18:M19" si="18">HARMEAN(D18,E18,F18,G18,H18)</f>
        <v>73229572.637669966</v>
      </c>
      <c r="N18" s="57">
        <f>MIN(K18:M18)</f>
        <v>73229572.637669966</v>
      </c>
      <c r="O18" s="168">
        <f>+((MIN(K18:M18)*3)+SMALL(K18:M18,2)+SMALL(K18:M18,3))/5</f>
        <v>81035668.070993096</v>
      </c>
      <c r="P18" s="155">
        <f>ROUND((O18*C18),0)</f>
        <v>81035668</v>
      </c>
      <c r="Q18" s="40"/>
      <c r="R18" s="153">
        <f t="shared" si="14"/>
        <v>15684323</v>
      </c>
      <c r="S18" s="154">
        <f t="shared" si="7"/>
        <v>470530</v>
      </c>
      <c r="T18" s="101">
        <f t="shared" si="8"/>
        <v>16154853</v>
      </c>
      <c r="U18" s="155">
        <f t="shared" si="9"/>
        <v>193858236</v>
      </c>
      <c r="V18" s="193"/>
      <c r="W18" s="153">
        <f t="shared" si="10"/>
        <v>16154853</v>
      </c>
      <c r="X18" s="101">
        <f t="shared" si="11"/>
        <v>484646</v>
      </c>
      <c r="Y18" s="101">
        <f t="shared" si="12"/>
        <v>16639499</v>
      </c>
      <c r="Z18" s="155">
        <f t="shared" si="13"/>
        <v>199673988</v>
      </c>
    </row>
    <row r="19" spans="1:27" s="61" customFormat="1" ht="60.75" customHeight="1" thickBot="1">
      <c r="A19" s="203" t="s">
        <v>57</v>
      </c>
      <c r="B19" s="204" t="s">
        <v>58</v>
      </c>
      <c r="C19" s="24">
        <v>1</v>
      </c>
      <c r="D19" s="206">
        <v>50000000</v>
      </c>
      <c r="E19" s="205">
        <v>112248400</v>
      </c>
      <c r="F19" s="207">
        <v>25850000</v>
      </c>
      <c r="G19" s="205">
        <v>186120000</v>
      </c>
      <c r="H19" s="259">
        <f>36109065*5.2%+36109065</f>
        <v>37986736.380000003</v>
      </c>
      <c r="I19" s="78"/>
      <c r="J19" s="152">
        <f t="shared" si="15"/>
        <v>68700856.063333333</v>
      </c>
      <c r="K19" s="149">
        <f t="shared" si="16"/>
        <v>43993368.189999998</v>
      </c>
      <c r="L19" s="150">
        <f t="shared" si="17"/>
        <v>63417212.32857886</v>
      </c>
      <c r="M19" s="151">
        <f t="shared" si="18"/>
        <v>50356834.462801211</v>
      </c>
      <c r="N19" s="57">
        <f>MIN(K19:M19)</f>
        <v>43993368.189999998</v>
      </c>
      <c r="O19" s="213">
        <f>+((MIN(K19:M19)*3)+SMALL(K19:M19,2)+SMALL(K19:M19,3))/5</f>
        <v>49150830.272276014</v>
      </c>
      <c r="P19" s="214">
        <f>ROUND((O19*C19),0)</f>
        <v>49150830</v>
      </c>
      <c r="Q19" s="40"/>
      <c r="R19" s="215">
        <f t="shared" si="14"/>
        <v>9513064</v>
      </c>
      <c r="S19" s="216">
        <f t="shared" si="7"/>
        <v>285392</v>
      </c>
      <c r="T19" s="101">
        <f t="shared" si="8"/>
        <v>9798456</v>
      </c>
      <c r="U19" s="155">
        <f t="shared" si="9"/>
        <v>117581472</v>
      </c>
      <c r="V19" s="193"/>
      <c r="W19" s="153">
        <f t="shared" si="10"/>
        <v>9798456</v>
      </c>
      <c r="X19" s="101">
        <f t="shared" si="11"/>
        <v>293954</v>
      </c>
      <c r="Y19" s="101">
        <f t="shared" si="12"/>
        <v>10092410</v>
      </c>
      <c r="Z19" s="214">
        <f t="shared" si="13"/>
        <v>121108920</v>
      </c>
    </row>
    <row r="20" spans="1:27" s="128" customFormat="1" ht="15.75" customHeight="1" thickBot="1">
      <c r="A20" s="890" t="s">
        <v>59</v>
      </c>
      <c r="B20" s="891"/>
      <c r="C20" s="892"/>
      <c r="D20" s="69"/>
      <c r="E20" s="70"/>
      <c r="F20" s="70"/>
      <c r="G20" s="70"/>
      <c r="H20" s="258"/>
      <c r="I20" s="78"/>
      <c r="J20" s="266"/>
      <c r="K20" s="140"/>
      <c r="L20" s="140"/>
      <c r="M20" s="140"/>
      <c r="N20" s="143"/>
      <c r="O20" s="167"/>
      <c r="P20" s="98"/>
      <c r="Q20" s="40"/>
      <c r="R20" s="141"/>
      <c r="S20" s="142"/>
      <c r="T20" s="101"/>
      <c r="U20" s="155"/>
      <c r="V20" s="193"/>
      <c r="W20" s="153">
        <f t="shared" si="10"/>
        <v>0</v>
      </c>
      <c r="X20" s="101"/>
      <c r="Y20" s="101"/>
      <c r="Z20" s="98"/>
    </row>
    <row r="21" spans="1:27" s="61" customFormat="1" ht="15.75" customHeight="1">
      <c r="A21" s="218">
        <v>3</v>
      </c>
      <c r="B21" s="204" t="s">
        <v>60</v>
      </c>
      <c r="C21" s="144">
        <v>1</v>
      </c>
      <c r="D21" s="146">
        <v>107070950</v>
      </c>
      <c r="E21" s="145">
        <v>500000000</v>
      </c>
      <c r="F21" s="147">
        <v>184819745</v>
      </c>
      <c r="G21" s="145">
        <v>51700000</v>
      </c>
      <c r="H21" s="257">
        <f>103281457*5.2%+103281457</f>
        <v>108652092.764</v>
      </c>
      <c r="I21" s="78"/>
      <c r="J21" s="152">
        <f t="shared" ref="J21" si="19">AVERAGE(D21,,E21,F21,G21,H21)</f>
        <v>158707131.294</v>
      </c>
      <c r="K21" s="149">
        <f t="shared" ref="K21" si="20">MEDIAN(D21,,E21,F21,G21,H21)</f>
        <v>107861521.382</v>
      </c>
      <c r="L21" s="150">
        <f t="shared" ref="L21" si="21">GEOMEAN(D21,E21,F21,G21,H21)</f>
        <v>140923601.34613007</v>
      </c>
      <c r="M21" s="151">
        <f t="shared" ref="M21" si="22">HARMEAN(D21,E21,F21,G21,H21)</f>
        <v>110384226.38890435</v>
      </c>
      <c r="N21" s="57">
        <f>MIN(K21:M21)</f>
        <v>107861521.382</v>
      </c>
      <c r="O21" s="168">
        <f>+((MIN(K21:M21)*3)+SMALL(K21:M21,2)+SMALL(K21:M21,3))/5</f>
        <v>114978478.37620687</v>
      </c>
      <c r="P21" s="155">
        <f>ROUND((O21*C21),0)</f>
        <v>114978478</v>
      </c>
      <c r="Q21" s="40"/>
      <c r="R21" s="153">
        <f t="shared" si="14"/>
        <v>22253899</v>
      </c>
      <c r="S21" s="154">
        <f t="shared" si="7"/>
        <v>667617</v>
      </c>
      <c r="T21" s="101">
        <f t="shared" si="8"/>
        <v>22921516</v>
      </c>
      <c r="U21" s="155">
        <f t="shared" si="9"/>
        <v>275058192</v>
      </c>
      <c r="V21" s="193"/>
      <c r="W21" s="153">
        <f t="shared" si="10"/>
        <v>22921516</v>
      </c>
      <c r="X21" s="101">
        <f t="shared" si="11"/>
        <v>687645</v>
      </c>
      <c r="Y21" s="101">
        <f t="shared" si="12"/>
        <v>23609161</v>
      </c>
      <c r="Z21" s="155">
        <f t="shared" si="13"/>
        <v>283309932</v>
      </c>
    </row>
    <row r="22" spans="1:27" s="128" customFormat="1" ht="27.75" customHeight="1" thickBot="1">
      <c r="A22" s="219"/>
      <c r="B22" s="220"/>
      <c r="C22" s="13"/>
      <c r="D22" s="75"/>
      <c r="E22" s="76"/>
      <c r="F22" s="76"/>
      <c r="G22" s="76"/>
      <c r="H22" s="76"/>
      <c r="I22" s="78"/>
      <c r="J22" s="4"/>
      <c r="K22" s="4"/>
      <c r="L22" s="4"/>
      <c r="M22" s="4"/>
      <c r="O22" s="169"/>
      <c r="P22" s="170">
        <f>ROUND((SUM(P8:P21)),0)</f>
        <v>1181736368</v>
      </c>
      <c r="Q22" s="40"/>
      <c r="R22" s="133">
        <f>SUM(R8:R21)</f>
        <v>228723168</v>
      </c>
      <c r="S22" s="134">
        <f>SUM(S7:S21)</f>
        <v>6861695</v>
      </c>
      <c r="T22" s="135">
        <f>SUM(T7:T21)</f>
        <v>235584863</v>
      </c>
      <c r="U22" s="132">
        <f>SUM(U8:U21)</f>
        <v>2827018356</v>
      </c>
      <c r="V22" s="161"/>
      <c r="W22" s="163">
        <f>SUM(W8:W21)</f>
        <v>235584863</v>
      </c>
      <c r="X22" s="221">
        <f>SUM(X8:X21)</f>
        <v>7067545</v>
      </c>
      <c r="Y22" s="221">
        <f>SUM(Y8:Y21)</f>
        <v>242652408</v>
      </c>
      <c r="Z22" s="132">
        <f>SUM(Z8:Z21)</f>
        <v>2911828896</v>
      </c>
    </row>
    <row r="23" spans="1:27" ht="15.75" customHeight="1" thickBot="1">
      <c r="B23" s="4"/>
      <c r="C23" s="4"/>
      <c r="N23" s="83"/>
      <c r="O23" s="165"/>
      <c r="P23" s="166"/>
    </row>
    <row r="24" spans="1:27" ht="35.25" customHeight="1" thickBot="1">
      <c r="A24" s="739" t="s">
        <v>61</v>
      </c>
      <c r="B24" s="740"/>
      <c r="C24" s="741"/>
      <c r="D24" s="250"/>
      <c r="E24" s="250"/>
      <c r="F24" s="255"/>
      <c r="G24" s="250"/>
      <c r="H24" s="260"/>
      <c r="O24" s="690" t="s">
        <v>62</v>
      </c>
      <c r="P24" s="691"/>
      <c r="Q24" s="177"/>
      <c r="R24" s="234"/>
      <c r="S24" s="235"/>
      <c r="T24" s="690" t="s">
        <v>63</v>
      </c>
      <c r="U24" s="691"/>
      <c r="V24" s="236"/>
      <c r="W24" s="234"/>
      <c r="X24" s="234"/>
      <c r="Y24" s="690" t="s">
        <v>64</v>
      </c>
      <c r="Z24" s="691"/>
      <c r="AA24" s="268" t="s">
        <v>64</v>
      </c>
    </row>
    <row r="25" spans="1:27" s="3" customFormat="1" ht="23.25" customHeight="1">
      <c r="A25" s="896" t="s">
        <v>65</v>
      </c>
      <c r="B25" s="897"/>
      <c r="C25" s="898"/>
      <c r="D25" s="251">
        <f>SUM(D8:D19)</f>
        <v>1070709500</v>
      </c>
      <c r="E25" s="251">
        <f t="shared" ref="E25:H25" si="23">SUM(E8:E19)</f>
        <v>1024815132</v>
      </c>
      <c r="F25" s="251">
        <f t="shared" si="23"/>
        <v>1848197450</v>
      </c>
      <c r="G25" s="251">
        <f t="shared" si="23"/>
        <v>1185033563</v>
      </c>
      <c r="H25" s="261">
        <f t="shared" si="23"/>
        <v>1134488470.362</v>
      </c>
      <c r="I25" s="162"/>
      <c r="O25" s="222"/>
      <c r="P25" s="261">
        <f>SUM(P8:P19)</f>
        <v>1066757890</v>
      </c>
      <c r="T25" s="222"/>
      <c r="U25" s="223">
        <f>+U8+U9+U10+U11+U12+U13+U14+U15+U16+U18+U19</f>
        <v>2551960164</v>
      </c>
      <c r="V25" s="224"/>
      <c r="Y25" s="222"/>
      <c r="Z25" s="223">
        <f>+Z8+Z9+Z10+Z11+Z12+Z13+Z14+Z15+Z16+Z18+Z19</f>
        <v>2628518964</v>
      </c>
      <c r="AA25" s="684">
        <f>+P29+U29+Z29</f>
        <v>8235494509</v>
      </c>
    </row>
    <row r="26" spans="1:27" s="3" customFormat="1" ht="23.25" customHeight="1">
      <c r="A26" s="726" t="s">
        <v>66</v>
      </c>
      <c r="B26" s="904"/>
      <c r="C26" s="905"/>
      <c r="D26" s="252">
        <f>+D21</f>
        <v>107070950</v>
      </c>
      <c r="E26" s="252">
        <f t="shared" ref="E26:H26" si="24">+E21</f>
        <v>500000000</v>
      </c>
      <c r="F26" s="252">
        <f t="shared" si="24"/>
        <v>184819745</v>
      </c>
      <c r="G26" s="252">
        <f t="shared" si="24"/>
        <v>51700000</v>
      </c>
      <c r="H26" s="262">
        <f t="shared" si="24"/>
        <v>108652092.764</v>
      </c>
      <c r="I26" s="162"/>
      <c r="O26" s="222"/>
      <c r="P26" s="262">
        <f>+P21</f>
        <v>114978478</v>
      </c>
      <c r="T26" s="222"/>
      <c r="U26" s="223">
        <f>+U21</f>
        <v>275058192</v>
      </c>
      <c r="V26" s="224"/>
      <c r="Y26" s="222"/>
      <c r="Z26" s="223">
        <f>+Z21</f>
        <v>283309932</v>
      </c>
      <c r="AA26" s="685"/>
    </row>
    <row r="27" spans="1:27" s="3" customFormat="1" ht="23.25" customHeight="1">
      <c r="A27" s="726" t="s">
        <v>67</v>
      </c>
      <c r="B27" s="904"/>
      <c r="C27" s="905"/>
      <c r="D27" s="252">
        <f>SUM(D25:D26)</f>
        <v>1177780450</v>
      </c>
      <c r="E27" s="252">
        <f t="shared" ref="E27:H27" si="25">SUM(E25:E26)</f>
        <v>1524815132</v>
      </c>
      <c r="F27" s="252">
        <f t="shared" si="25"/>
        <v>2033017195</v>
      </c>
      <c r="G27" s="252">
        <f t="shared" si="25"/>
        <v>1236733563</v>
      </c>
      <c r="H27" s="262">
        <f t="shared" si="25"/>
        <v>1243140563.1259999</v>
      </c>
      <c r="I27" s="162"/>
      <c r="O27" s="222"/>
      <c r="P27" s="262">
        <f>SUM(P25:P26)</f>
        <v>1181736368</v>
      </c>
      <c r="T27" s="222"/>
      <c r="U27" s="223">
        <f>SUM(U25:U26)</f>
        <v>2827018356</v>
      </c>
      <c r="V27" s="224"/>
      <c r="Y27" s="222"/>
      <c r="Z27" s="223">
        <f>SUM(Z25:Z26)</f>
        <v>2911828896</v>
      </c>
      <c r="AA27" s="685"/>
    </row>
    <row r="28" spans="1:27" s="3" customFormat="1" ht="23.25" customHeight="1" thickBot="1">
      <c r="A28" s="901" t="s">
        <v>68</v>
      </c>
      <c r="B28" s="902"/>
      <c r="C28" s="903"/>
      <c r="D28" s="253">
        <f>ROUNDUP((+D27*19%),0)</f>
        <v>223778286</v>
      </c>
      <c r="E28" s="253">
        <f>ROUNDUP((+E27*19%),0)</f>
        <v>289714876</v>
      </c>
      <c r="F28" s="253">
        <f>ROUNDUP((+F27*19%),0)</f>
        <v>386273268</v>
      </c>
      <c r="G28" s="253">
        <f>ROUNDUP((+G27*19%),0)</f>
        <v>234979377</v>
      </c>
      <c r="H28" s="253">
        <f>ROUNDUP((+H27*19%),0)</f>
        <v>236196707</v>
      </c>
      <c r="I28" s="162"/>
      <c r="O28" s="222"/>
      <c r="P28" s="253">
        <f>ROUNDUP((+P27*19%),0)</f>
        <v>224529910</v>
      </c>
      <c r="T28" s="222"/>
      <c r="U28" s="253">
        <f>ROUNDUP((+U27*19%),0)</f>
        <v>537133488</v>
      </c>
      <c r="V28" s="224"/>
      <c r="Y28" s="222"/>
      <c r="Z28" s="253">
        <f>ROUNDUP((+Z27*19%),0)</f>
        <v>553247491</v>
      </c>
      <c r="AA28" s="685"/>
    </row>
    <row r="29" spans="1:27" s="3" customFormat="1" ht="23.25" customHeight="1" thickBot="1">
      <c r="A29" s="698" t="s">
        <v>69</v>
      </c>
      <c r="B29" s="699"/>
      <c r="C29" s="900"/>
      <c r="D29" s="254">
        <f>+D27+D28</f>
        <v>1401558736</v>
      </c>
      <c r="E29" s="254">
        <f t="shared" ref="E29:H29" si="26">+E27+E28</f>
        <v>1814530008</v>
      </c>
      <c r="F29" s="254">
        <f t="shared" si="26"/>
        <v>2419290463</v>
      </c>
      <c r="G29" s="254">
        <f t="shared" si="26"/>
        <v>1471712940</v>
      </c>
      <c r="H29" s="263">
        <f t="shared" si="26"/>
        <v>1479337270.1259999</v>
      </c>
      <c r="I29" s="162"/>
      <c r="K29" s="3" t="s">
        <v>283</v>
      </c>
      <c r="L29" s="120">
        <f>+N31/35*5</f>
        <v>38882938.562211983</v>
      </c>
      <c r="M29" s="3" t="s">
        <v>280</v>
      </c>
      <c r="N29" s="3">
        <v>2025</v>
      </c>
      <c r="O29" s="238">
        <f>+O27+O28</f>
        <v>0</v>
      </c>
      <c r="P29" s="263">
        <f>+P27+P28</f>
        <v>1406266278</v>
      </c>
      <c r="Q29" s="240"/>
      <c r="R29" s="240"/>
      <c r="S29" s="240"/>
      <c r="T29" s="88"/>
      <c r="U29" s="132">
        <f>SUM(U27:U28)</f>
        <v>3364151844</v>
      </c>
      <c r="V29" s="241"/>
      <c r="W29" s="240"/>
      <c r="X29" s="240"/>
      <c r="Y29" s="88"/>
      <c r="Z29" s="239">
        <f>SUM(Z27:Z28)</f>
        <v>3465076387</v>
      </c>
      <c r="AA29" s="686"/>
    </row>
    <row r="30" spans="1:27" s="162" customFormat="1" ht="23.25" customHeight="1">
      <c r="A30" s="269"/>
      <c r="B30" s="269"/>
      <c r="C30" s="269"/>
      <c r="D30" s="270"/>
      <c r="E30" s="270"/>
      <c r="F30" s="270"/>
      <c r="G30" s="270"/>
      <c r="H30" s="270"/>
      <c r="L30" s="271"/>
      <c r="O30" s="161"/>
      <c r="P30" s="270"/>
      <c r="T30" s="224"/>
      <c r="U30" s="161"/>
      <c r="V30" s="161"/>
      <c r="Y30" s="224"/>
      <c r="Z30" s="161"/>
      <c r="AA30" s="272"/>
    </row>
    <row r="31" spans="1:27" s="3" customFormat="1" ht="30" customHeight="1">
      <c r="A31" s="27"/>
      <c r="C31" s="117"/>
      <c r="D31" s="71"/>
      <c r="E31" s="71"/>
      <c r="F31" s="71"/>
      <c r="G31" s="71"/>
      <c r="H31" s="71"/>
      <c r="I31" s="162"/>
      <c r="K31" s="3" t="s">
        <v>284</v>
      </c>
      <c r="L31" s="120">
        <f>(+N31/35)*30</f>
        <v>233297631.37327188</v>
      </c>
      <c r="M31" s="245" t="s">
        <v>70</v>
      </c>
      <c r="N31" s="131">
        <f>+P29/155*30</f>
        <v>272180569.93548387</v>
      </c>
      <c r="O31" s="226" t="s">
        <v>71</v>
      </c>
      <c r="P31" s="232">
        <f>ROUND((+N31/30*155),0)</f>
        <v>1406266278</v>
      </c>
      <c r="R31" s="233">
        <v>1386161735</v>
      </c>
      <c r="S31" s="233" t="s">
        <v>72</v>
      </c>
      <c r="V31" s="162"/>
    </row>
    <row r="32" spans="1:27" s="3" customFormat="1" ht="30" customHeight="1">
      <c r="A32" s="27"/>
      <c r="C32" s="121"/>
      <c r="D32" s="71"/>
      <c r="E32" s="71"/>
      <c r="F32" s="71"/>
      <c r="G32" s="71"/>
      <c r="H32" s="71"/>
      <c r="I32" s="162"/>
      <c r="M32" s="3" t="s">
        <v>73</v>
      </c>
      <c r="N32" s="122">
        <f>ROUND((+N31*3%),0)</f>
        <v>8165417</v>
      </c>
      <c r="O32" s="123"/>
      <c r="P32" s="123"/>
      <c r="R32" s="228">
        <f>+R31-P31</f>
        <v>-20104543</v>
      </c>
      <c r="S32" s="3" t="s">
        <v>74</v>
      </c>
      <c r="V32" s="162"/>
    </row>
    <row r="33" spans="1:22" s="3" customFormat="1" ht="30" customHeight="1">
      <c r="A33" s="27"/>
      <c r="D33" s="71"/>
      <c r="E33" s="71"/>
      <c r="F33" s="71"/>
      <c r="G33" s="71"/>
      <c r="H33" s="71"/>
      <c r="I33" s="162"/>
      <c r="M33" s="245" t="s">
        <v>75</v>
      </c>
      <c r="N33" s="227">
        <f>+U29/12</f>
        <v>280345987</v>
      </c>
      <c r="O33" s="226" t="s">
        <v>76</v>
      </c>
      <c r="P33" s="227">
        <f>+U29</f>
        <v>3364151844</v>
      </c>
      <c r="R33" s="131">
        <v>3316056552</v>
      </c>
      <c r="S33" s="131" t="s">
        <v>72</v>
      </c>
      <c r="V33" s="162"/>
    </row>
    <row r="34" spans="1:22" s="3" customFormat="1" ht="30" customHeight="1">
      <c r="I34" s="162"/>
      <c r="K34" s="229"/>
      <c r="M34" s="3" t="s">
        <v>73</v>
      </c>
      <c r="N34" s="122">
        <f>ROUND((+N33*3%),0)</f>
        <v>8410380</v>
      </c>
      <c r="O34" s="123"/>
      <c r="P34" s="123"/>
      <c r="R34" s="228">
        <f>+R33-P33</f>
        <v>-48095292</v>
      </c>
      <c r="S34" s="3" t="s">
        <v>74</v>
      </c>
    </row>
    <row r="35" spans="1:22" s="3" customFormat="1" ht="30" customHeight="1">
      <c r="I35" s="162"/>
      <c r="M35" s="245" t="s">
        <v>77</v>
      </c>
      <c r="N35" s="227">
        <f>+Z29</f>
        <v>3465076387</v>
      </c>
      <c r="O35" s="226" t="s">
        <v>76</v>
      </c>
      <c r="P35" s="227">
        <f>+Z29</f>
        <v>3465076387</v>
      </c>
      <c r="R35" s="131">
        <v>3415538196</v>
      </c>
      <c r="S35" s="131" t="s">
        <v>72</v>
      </c>
    </row>
    <row r="36" spans="1:22" s="3" customFormat="1" ht="30" customHeight="1">
      <c r="I36" s="162"/>
      <c r="N36" s="125"/>
      <c r="O36" s="123"/>
      <c r="P36" s="123"/>
      <c r="R36" s="228">
        <f>+R35-P35</f>
        <v>-49538191</v>
      </c>
      <c r="S36" s="3" t="s">
        <v>74</v>
      </c>
    </row>
    <row r="37" spans="1:22" s="3" customFormat="1" ht="30" customHeight="1">
      <c r="I37" s="162"/>
      <c r="M37" s="695" t="s">
        <v>78</v>
      </c>
      <c r="N37" s="899"/>
      <c r="O37" s="696"/>
      <c r="P37" s="227">
        <f>+P31+P33+P35</f>
        <v>8235494509</v>
      </c>
      <c r="R37" s="131">
        <f>+R31+R33+R35</f>
        <v>8117756483</v>
      </c>
      <c r="S37" s="131" t="s">
        <v>72</v>
      </c>
    </row>
    <row r="38" spans="1:22" s="3" customFormat="1" ht="30" customHeight="1">
      <c r="I38" s="162"/>
      <c r="R38" s="228">
        <f>+R37-P37</f>
        <v>-117738026</v>
      </c>
      <c r="S38" s="3" t="s">
        <v>74</v>
      </c>
    </row>
    <row r="39" spans="1:22" s="3" customFormat="1" ht="15.75" customHeight="1">
      <c r="I39" s="162"/>
    </row>
    <row r="40" spans="1:22" s="3" customFormat="1" ht="15.75" customHeight="1">
      <c r="I40" s="162"/>
    </row>
    <row r="44" spans="1:22" ht="15.75" customHeight="1">
      <c r="N44" s="692">
        <v>2024</v>
      </c>
      <c r="O44" s="692"/>
      <c r="P44" s="692"/>
    </row>
    <row r="45" spans="1:22" ht="15.75" customHeight="1">
      <c r="M45" s="129" t="s">
        <v>79</v>
      </c>
      <c r="N45" s="129" t="s">
        <v>80</v>
      </c>
      <c r="O45" s="130" t="s">
        <v>81</v>
      </c>
      <c r="P45" s="130" t="s">
        <v>82</v>
      </c>
    </row>
    <row r="46" spans="1:22" ht="15.75" customHeight="1">
      <c r="M46" s="129" t="s">
        <v>83</v>
      </c>
      <c r="N46" s="230">
        <f>(+P46/164)*14</f>
        <v>115410729.98896343</v>
      </c>
      <c r="O46" s="230">
        <f>+P46/164*30</f>
        <v>247308707.11920732</v>
      </c>
      <c r="P46" s="231">
        <v>1351954265.585</v>
      </c>
    </row>
  </sheetData>
  <mergeCells count="22">
    <mergeCell ref="M37:O37"/>
    <mergeCell ref="N44:P44"/>
    <mergeCell ref="A25:C25"/>
    <mergeCell ref="AA25:AA29"/>
    <mergeCell ref="A26:C26"/>
    <mergeCell ref="A27:C27"/>
    <mergeCell ref="A28:C28"/>
    <mergeCell ref="A29:C29"/>
    <mergeCell ref="W5:Z5"/>
    <mergeCell ref="A7:C7"/>
    <mergeCell ref="A17:C17"/>
    <mergeCell ref="A20:C20"/>
    <mergeCell ref="A24:C24"/>
    <mergeCell ref="O24:P24"/>
    <mergeCell ref="T24:U24"/>
    <mergeCell ref="Y24:Z24"/>
    <mergeCell ref="R5:U5"/>
    <mergeCell ref="O2:P3"/>
    <mergeCell ref="A4:C4"/>
    <mergeCell ref="K4:M4"/>
    <mergeCell ref="A5:C5"/>
    <mergeCell ref="O5:P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E462A-B40D-4AD1-A119-8E66B117B6E7}">
  <dimension ref="A1:Z46"/>
  <sheetViews>
    <sheetView topLeftCell="I16" zoomScale="80" zoomScaleNormal="80" workbookViewId="0">
      <selection activeCell="O43" sqref="O43"/>
    </sheetView>
  </sheetViews>
  <sheetFormatPr defaultColWidth="26.28515625" defaultRowHeight="15.75" customHeight="1"/>
  <cols>
    <col min="1" max="1" width="26.28515625" style="27"/>
    <col min="2" max="3" width="26.28515625" style="32"/>
    <col min="4" max="7" width="24.42578125" style="71" customWidth="1"/>
    <col min="8" max="8" width="1" style="162" customWidth="1"/>
    <col min="9" max="12" width="20.140625" style="4" customWidth="1"/>
    <col min="13" max="13" width="23.140625" style="4" customWidth="1"/>
    <col min="14" max="15" width="26.28515625" style="4"/>
    <col min="16" max="16" width="3.5703125" style="4" customWidth="1"/>
    <col min="17" max="17" width="20.140625" style="4" customWidth="1"/>
    <col min="18" max="19" width="18.7109375" style="4" customWidth="1"/>
    <col min="20" max="20" width="20.85546875" style="4" customWidth="1"/>
    <col min="21" max="21" width="4.28515625" style="32" customWidth="1"/>
    <col min="22" max="25" width="20" style="4" customWidth="1"/>
    <col min="26" max="16384" width="26.28515625" style="4"/>
  </cols>
  <sheetData>
    <row r="1" spans="1:25" ht="15.75" customHeight="1" thickBot="1">
      <c r="A1" s="1"/>
      <c r="B1" s="1"/>
      <c r="C1" s="2"/>
      <c r="D1" s="2"/>
      <c r="E1" s="2"/>
      <c r="F1" s="2"/>
      <c r="G1" s="2"/>
    </row>
    <row r="2" spans="1:25" ht="15.75" customHeight="1">
      <c r="A2" s="1"/>
      <c r="B2" s="1"/>
      <c r="C2" s="2"/>
      <c r="D2" s="64"/>
      <c r="E2" s="2"/>
      <c r="F2" s="2"/>
      <c r="G2" s="2"/>
      <c r="N2" s="706"/>
      <c r="O2" s="707"/>
    </row>
    <row r="3" spans="1:25" s="5" customFormat="1" ht="15.75" customHeight="1" thickBot="1">
      <c r="H3" s="6"/>
      <c r="M3" s="7"/>
      <c r="N3" s="709"/>
      <c r="O3" s="710"/>
      <c r="P3" s="6"/>
      <c r="Q3" s="5">
        <f>5/30</f>
        <v>0.16666666666666666</v>
      </c>
      <c r="R3" s="5">
        <f>Q3+5</f>
        <v>5.166666666666667</v>
      </c>
      <c r="S3" s="5">
        <f>R3*30</f>
        <v>155</v>
      </c>
      <c r="T3" s="5" t="s">
        <v>2</v>
      </c>
      <c r="U3" s="6"/>
    </row>
    <row r="4" spans="1:25" s="5" customFormat="1" ht="15.75" customHeight="1" thickBot="1">
      <c r="A4" s="864" t="s">
        <v>3</v>
      </c>
      <c r="B4" s="865"/>
      <c r="C4" s="865"/>
      <c r="H4" s="6"/>
      <c r="I4" s="137"/>
      <c r="J4" s="864" t="s">
        <v>5</v>
      </c>
      <c r="K4" s="865"/>
      <c r="L4" s="886"/>
      <c r="P4" s="33"/>
      <c r="U4" s="6"/>
    </row>
    <row r="5" spans="1:25" s="8" customFormat="1" ht="72.75" customHeight="1">
      <c r="A5" s="887" t="s">
        <v>6</v>
      </c>
      <c r="B5" s="888"/>
      <c r="C5" s="889"/>
      <c r="D5" s="247" t="s">
        <v>7</v>
      </c>
      <c r="E5" s="247" t="s">
        <v>9</v>
      </c>
      <c r="F5" s="247" t="s">
        <v>11</v>
      </c>
      <c r="G5" s="249" t="s">
        <v>12</v>
      </c>
      <c r="H5" s="40"/>
      <c r="I5" s="176" t="s">
        <v>13</v>
      </c>
      <c r="J5" s="173" t="s">
        <v>14</v>
      </c>
      <c r="K5" s="174" t="s">
        <v>15</v>
      </c>
      <c r="L5" s="175" t="s">
        <v>16</v>
      </c>
      <c r="M5" s="179"/>
      <c r="N5" s="690" t="s">
        <v>17</v>
      </c>
      <c r="O5" s="691"/>
      <c r="P5" s="177"/>
      <c r="Q5" s="893" t="s">
        <v>19</v>
      </c>
      <c r="R5" s="894"/>
      <c r="S5" s="894"/>
      <c r="T5" s="895"/>
      <c r="U5" s="33"/>
      <c r="V5" s="883" t="s">
        <v>20</v>
      </c>
      <c r="W5" s="884"/>
      <c r="X5" s="884"/>
      <c r="Y5" s="885"/>
    </row>
    <row r="6" spans="1:25" s="8" customFormat="1" ht="44.25" customHeight="1" thickBot="1">
      <c r="A6" s="180" t="s">
        <v>21</v>
      </c>
      <c r="B6" s="181" t="s">
        <v>22</v>
      </c>
      <c r="C6" s="182" t="s">
        <v>23</v>
      </c>
      <c r="D6" s="183" t="s">
        <v>281</v>
      </c>
      <c r="E6" s="183" t="s">
        <v>281</v>
      </c>
      <c r="F6" s="183" t="s">
        <v>281</v>
      </c>
      <c r="G6" s="256" t="s">
        <v>282</v>
      </c>
      <c r="H6" s="267"/>
      <c r="I6" s="264" t="s">
        <v>29</v>
      </c>
      <c r="J6" s="47" t="s">
        <v>29</v>
      </c>
      <c r="K6" s="47" t="s">
        <v>29</v>
      </c>
      <c r="L6" s="47" t="s">
        <v>29</v>
      </c>
      <c r="M6" s="158" t="s">
        <v>27</v>
      </c>
      <c r="N6" s="185" t="s">
        <v>28</v>
      </c>
      <c r="O6" s="186" t="s">
        <v>29</v>
      </c>
      <c r="P6" s="40"/>
      <c r="Q6" s="187" t="s">
        <v>30</v>
      </c>
      <c r="R6" s="188" t="s">
        <v>31</v>
      </c>
      <c r="S6" s="188" t="s">
        <v>32</v>
      </c>
      <c r="T6" s="189" t="s">
        <v>277</v>
      </c>
      <c r="U6" s="40"/>
      <c r="V6" s="190" t="s">
        <v>30</v>
      </c>
      <c r="W6" s="191" t="s">
        <v>31</v>
      </c>
      <c r="X6" s="191" t="s">
        <v>32</v>
      </c>
      <c r="Y6" s="192" t="s">
        <v>277</v>
      </c>
    </row>
    <row r="7" spans="1:25" s="8" customFormat="1" ht="15.75" customHeight="1" thickBot="1">
      <c r="A7" s="890" t="s">
        <v>35</v>
      </c>
      <c r="B7" s="891"/>
      <c r="C7" s="892"/>
      <c r="D7" s="66"/>
      <c r="E7" s="67"/>
      <c r="F7" s="67"/>
      <c r="G7" s="256"/>
      <c r="H7" s="267"/>
      <c r="I7" s="265"/>
      <c r="J7" s="67"/>
      <c r="K7" s="67"/>
      <c r="L7" s="67"/>
      <c r="M7" s="158"/>
      <c r="N7" s="138"/>
      <c r="O7" s="139"/>
      <c r="P7" s="40"/>
      <c r="Q7" s="102"/>
      <c r="R7" s="100"/>
      <c r="S7" s="100"/>
      <c r="T7" s="103"/>
      <c r="U7" s="10"/>
      <c r="V7" s="102"/>
      <c r="W7" s="100"/>
      <c r="X7" s="100"/>
      <c r="Y7" s="156"/>
    </row>
    <row r="8" spans="1:25" s="61" customFormat="1" ht="15.75" customHeight="1">
      <c r="A8" s="14" t="s">
        <v>36</v>
      </c>
      <c r="B8" s="15" t="s">
        <v>37</v>
      </c>
      <c r="C8" s="16">
        <v>1</v>
      </c>
      <c r="D8" s="146">
        <v>89958000</v>
      </c>
      <c r="E8" s="145">
        <v>67721716</v>
      </c>
      <c r="F8" s="145">
        <v>76177365</v>
      </c>
      <c r="G8" s="257">
        <f>67891554.5*5.2%+67891554.5</f>
        <v>71421915.334000006</v>
      </c>
      <c r="H8" s="78"/>
      <c r="I8" s="152">
        <f>AVERAGE(D8,E8,F8,G8)</f>
        <v>76319749.083499998</v>
      </c>
      <c r="J8" s="149">
        <f>MEDIAN(D8,E8,F8,G8)</f>
        <v>73799640.166999996</v>
      </c>
      <c r="K8" s="150">
        <f>GEOMEAN(D8,E8,F8,G8)</f>
        <v>75876326.398059666</v>
      </c>
      <c r="L8" s="151">
        <f>HARMEAN(D8,E8,F8,G8)</f>
        <v>75455788.88356556</v>
      </c>
      <c r="M8" s="57">
        <f t="shared" ref="M8:M16" si="0">MIN(J8:L8)</f>
        <v>73799640.166999996</v>
      </c>
      <c r="N8" s="168">
        <f t="shared" ref="N8:N16" si="1">+((MIN(J8:L8)*3)+SMALL(J8:L8,2)+SMALL(J8:L8,3))/5</f>
        <v>74546207.156525046</v>
      </c>
      <c r="O8" s="155">
        <f t="shared" ref="O8:O16" si="2">ROUND((N8*C8),0)</f>
        <v>74546207</v>
      </c>
      <c r="P8" s="40"/>
      <c r="Q8" s="153">
        <f>ROUND((+O8/155)*30,0)</f>
        <v>14428298</v>
      </c>
      <c r="R8" s="154">
        <f>ROUND((+Q8*3%),0)</f>
        <v>432849</v>
      </c>
      <c r="S8" s="101">
        <f>ROUND((+Q8+R8),0)</f>
        <v>14861147</v>
      </c>
      <c r="T8" s="155">
        <f>ROUNDUP((+S8*12),0)</f>
        <v>178333764</v>
      </c>
      <c r="U8" s="193"/>
      <c r="V8" s="153">
        <f>(+T8/360)*30</f>
        <v>14861147</v>
      </c>
      <c r="W8" s="101">
        <f>ROUND((+V8*3%),0)</f>
        <v>445834</v>
      </c>
      <c r="X8" s="101">
        <f>ROUND((+V8+W8),0)</f>
        <v>15306981</v>
      </c>
      <c r="Y8" s="98">
        <f>ROUND((+X8*12),0)</f>
        <v>183683772</v>
      </c>
    </row>
    <row r="9" spans="1:25" s="61" customFormat="1" ht="15.75" customHeight="1">
      <c r="A9" s="17" t="s">
        <v>38</v>
      </c>
      <c r="B9" s="18" t="s">
        <v>39</v>
      </c>
      <c r="C9" s="19">
        <v>1</v>
      </c>
      <c r="D9" s="195">
        <v>44462000</v>
      </c>
      <c r="E9" s="194">
        <v>56434764</v>
      </c>
      <c r="F9" s="194">
        <v>48112020</v>
      </c>
      <c r="G9" s="258">
        <f>59250053.5*5.2%+59250053.5</f>
        <v>62331056.281999998</v>
      </c>
      <c r="H9" s="78"/>
      <c r="I9" s="152">
        <f t="shared" ref="I9:I18" si="3">AVERAGE(D9,E9,F9,G9)</f>
        <v>52834960.070500001</v>
      </c>
      <c r="J9" s="149">
        <f t="shared" ref="J9:J18" si="4">MEDIAN(D9,E9,F9,G9)</f>
        <v>52273392</v>
      </c>
      <c r="K9" s="150">
        <f t="shared" ref="K9:K18" si="5">GEOMEAN(D9,E9,F9,G9)</f>
        <v>52374928.896194726</v>
      </c>
      <c r="L9" s="151">
        <f t="shared" ref="L9:L18" si="6">HARMEAN(D9,E9,F9,G9)</f>
        <v>51921832.110922813</v>
      </c>
      <c r="M9" s="57">
        <f t="shared" si="0"/>
        <v>51921832.110922813</v>
      </c>
      <c r="N9" s="167">
        <f t="shared" si="1"/>
        <v>52082763.44579263</v>
      </c>
      <c r="O9" s="98">
        <f t="shared" si="2"/>
        <v>52082763</v>
      </c>
      <c r="P9" s="40"/>
      <c r="Q9" s="104">
        <f>ROUND((+O9/155)*30,0)</f>
        <v>10080535</v>
      </c>
      <c r="R9" s="96">
        <f t="shared" ref="R9:R21" si="7">ROUND((+Q9*3%),0)</f>
        <v>302416</v>
      </c>
      <c r="S9" s="101">
        <f t="shared" ref="S9:S21" si="8">ROUND((+Q9+R9),0)</f>
        <v>10382951</v>
      </c>
      <c r="T9" s="155">
        <f t="shared" ref="T9:T21" si="9">ROUNDUP((+S9*12),0)</f>
        <v>124595412</v>
      </c>
      <c r="U9" s="193"/>
      <c r="V9" s="153">
        <f t="shared" ref="V9:V21" si="10">(+T9/360)*30</f>
        <v>10382951</v>
      </c>
      <c r="W9" s="101">
        <f t="shared" ref="W9:W21" si="11">ROUND((+V9*3%),0)</f>
        <v>311489</v>
      </c>
      <c r="X9" s="101">
        <f t="shared" ref="X9:X21" si="12">ROUND((+V9+W9),0)</f>
        <v>10694440</v>
      </c>
      <c r="Y9" s="98">
        <f t="shared" ref="Y9:Y21" si="13">ROUND((+X9*12),0)</f>
        <v>128333280</v>
      </c>
    </row>
    <row r="10" spans="1:25" s="61" customFormat="1" ht="15.75" customHeight="1">
      <c r="A10" s="17" t="s">
        <v>40</v>
      </c>
      <c r="B10" s="18" t="s">
        <v>41</v>
      </c>
      <c r="C10" s="19">
        <v>1</v>
      </c>
      <c r="D10" s="195">
        <v>54285000</v>
      </c>
      <c r="E10" s="194">
        <v>52672446</v>
      </c>
      <c r="F10" s="194">
        <v>48112020</v>
      </c>
      <c r="G10" s="258">
        <f>57981847*5.2%+57981847</f>
        <v>60996903.044</v>
      </c>
      <c r="H10" s="78"/>
      <c r="I10" s="152">
        <f t="shared" si="3"/>
        <v>54016592.261</v>
      </c>
      <c r="J10" s="149">
        <f t="shared" si="4"/>
        <v>53478723</v>
      </c>
      <c r="K10" s="150">
        <f t="shared" si="5"/>
        <v>53821546.971316725</v>
      </c>
      <c r="L10" s="151">
        <f t="shared" si="6"/>
        <v>53629615.39361088</v>
      </c>
      <c r="M10" s="57">
        <f t="shared" si="0"/>
        <v>53478723</v>
      </c>
      <c r="N10" s="167">
        <f t="shared" si="1"/>
        <v>53577466.272985525</v>
      </c>
      <c r="O10" s="98">
        <f t="shared" si="2"/>
        <v>53577466</v>
      </c>
      <c r="P10" s="40"/>
      <c r="Q10" s="104">
        <f>ROUND((+O10/155)*30,0)</f>
        <v>10369832</v>
      </c>
      <c r="R10" s="96">
        <f t="shared" si="7"/>
        <v>311095</v>
      </c>
      <c r="S10" s="101">
        <f t="shared" si="8"/>
        <v>10680927</v>
      </c>
      <c r="T10" s="155">
        <f t="shared" si="9"/>
        <v>128171124</v>
      </c>
      <c r="U10" s="193"/>
      <c r="V10" s="153">
        <f t="shared" si="10"/>
        <v>10680927</v>
      </c>
      <c r="W10" s="101">
        <f t="shared" si="11"/>
        <v>320428</v>
      </c>
      <c r="X10" s="101">
        <f t="shared" si="12"/>
        <v>11001355</v>
      </c>
      <c r="Y10" s="98">
        <f t="shared" si="13"/>
        <v>132016260</v>
      </c>
    </row>
    <row r="11" spans="1:25" s="61" customFormat="1" ht="15.75" customHeight="1">
      <c r="A11" s="17" t="s">
        <v>42</v>
      </c>
      <c r="B11" s="18" t="s">
        <v>43</v>
      </c>
      <c r="C11" s="19">
        <v>1</v>
      </c>
      <c r="D11" s="195">
        <v>37224000</v>
      </c>
      <c r="E11" s="194">
        <v>52672446</v>
      </c>
      <c r="F11" s="194">
        <v>48112020</v>
      </c>
      <c r="G11" s="258">
        <f>57981847*5.2%+57981847</f>
        <v>60996903.044</v>
      </c>
      <c r="H11" s="78"/>
      <c r="I11" s="152">
        <f t="shared" si="3"/>
        <v>49751342.261</v>
      </c>
      <c r="J11" s="149">
        <f t="shared" si="4"/>
        <v>50392233</v>
      </c>
      <c r="K11" s="150">
        <f t="shared" si="5"/>
        <v>48976976.99894204</v>
      </c>
      <c r="L11" s="151">
        <f t="shared" si="6"/>
        <v>48176084.335514374</v>
      </c>
      <c r="M11" s="57">
        <f t="shared" si="0"/>
        <v>48176084.335514374</v>
      </c>
      <c r="N11" s="167">
        <f t="shared" si="1"/>
        <v>48779492.601097032</v>
      </c>
      <c r="O11" s="98">
        <f t="shared" si="2"/>
        <v>48779493</v>
      </c>
      <c r="P11" s="40"/>
      <c r="Q11" s="104">
        <f t="shared" ref="Q11:Q21" si="14">ROUND((+O11/155)*30,0)</f>
        <v>9441192</v>
      </c>
      <c r="R11" s="96">
        <f t="shared" si="7"/>
        <v>283236</v>
      </c>
      <c r="S11" s="101">
        <f t="shared" si="8"/>
        <v>9724428</v>
      </c>
      <c r="T11" s="155">
        <f t="shared" si="9"/>
        <v>116693136</v>
      </c>
      <c r="U11" s="193"/>
      <c r="V11" s="153">
        <f t="shared" si="10"/>
        <v>9724428</v>
      </c>
      <c r="W11" s="101">
        <f t="shared" si="11"/>
        <v>291733</v>
      </c>
      <c r="X11" s="101">
        <f t="shared" si="12"/>
        <v>10016161</v>
      </c>
      <c r="Y11" s="98">
        <f t="shared" si="13"/>
        <v>120193932</v>
      </c>
    </row>
    <row r="12" spans="1:25" s="61" customFormat="1" ht="15.75" customHeight="1">
      <c r="A12" s="17" t="s">
        <v>44</v>
      </c>
      <c r="B12" s="18" t="s">
        <v>45</v>
      </c>
      <c r="C12" s="19">
        <v>1</v>
      </c>
      <c r="D12" s="195">
        <v>44462000</v>
      </c>
      <c r="E12" s="194">
        <v>33860858</v>
      </c>
      <c r="F12" s="194">
        <v>40093350</v>
      </c>
      <c r="G12" s="258">
        <f>45456713.5*5.2%+45456713.5</f>
        <v>47820462.601999998</v>
      </c>
      <c r="H12" s="78"/>
      <c r="I12" s="152">
        <f t="shared" si="3"/>
        <v>41559167.6505</v>
      </c>
      <c r="J12" s="149">
        <f t="shared" si="4"/>
        <v>42277675</v>
      </c>
      <c r="K12" s="150">
        <f t="shared" si="5"/>
        <v>41218602.942869686</v>
      </c>
      <c r="L12" s="151">
        <f t="shared" si="6"/>
        <v>40867585.083914101</v>
      </c>
      <c r="M12" s="57">
        <f t="shared" si="0"/>
        <v>40867585.083914101</v>
      </c>
      <c r="N12" s="167">
        <f t="shared" si="1"/>
        <v>41219806.638922401</v>
      </c>
      <c r="O12" s="98">
        <f t="shared" si="2"/>
        <v>41219807</v>
      </c>
      <c r="P12" s="40"/>
      <c r="Q12" s="104">
        <f t="shared" si="14"/>
        <v>7978027</v>
      </c>
      <c r="R12" s="96">
        <f t="shared" si="7"/>
        <v>239341</v>
      </c>
      <c r="S12" s="101">
        <f t="shared" si="8"/>
        <v>8217368</v>
      </c>
      <c r="T12" s="155">
        <f t="shared" si="9"/>
        <v>98608416</v>
      </c>
      <c r="U12" s="193"/>
      <c r="V12" s="153">
        <f t="shared" si="10"/>
        <v>8217368</v>
      </c>
      <c r="W12" s="101">
        <f t="shared" si="11"/>
        <v>246521</v>
      </c>
      <c r="X12" s="101">
        <f t="shared" si="12"/>
        <v>8463889</v>
      </c>
      <c r="Y12" s="98">
        <f t="shared" si="13"/>
        <v>101566668</v>
      </c>
    </row>
    <row r="13" spans="1:25" s="61" customFormat="1" ht="15.75" customHeight="1">
      <c r="A13" s="17" t="s">
        <v>46</v>
      </c>
      <c r="B13" s="246" t="s">
        <v>47</v>
      </c>
      <c r="C13" s="19">
        <v>0.5</v>
      </c>
      <c r="D13" s="195">
        <v>22231000</v>
      </c>
      <c r="E13" s="194">
        <v>20692747</v>
      </c>
      <c r="F13" s="194">
        <v>12028005</v>
      </c>
      <c r="G13" s="258">
        <f>38077677*5.2%+38077677</f>
        <v>40057716.204000004</v>
      </c>
      <c r="H13" s="78"/>
      <c r="I13" s="152">
        <f t="shared" si="3"/>
        <v>23752367.050999999</v>
      </c>
      <c r="J13" s="149">
        <f t="shared" si="4"/>
        <v>21461873.5</v>
      </c>
      <c r="K13" s="150">
        <f t="shared" si="5"/>
        <v>21697726.618132442</v>
      </c>
      <c r="L13" s="151">
        <f t="shared" si="6"/>
        <v>19859826.376324233</v>
      </c>
      <c r="M13" s="57">
        <f t="shared" si="0"/>
        <v>19859826.376324233</v>
      </c>
      <c r="N13" s="167">
        <f t="shared" si="1"/>
        <v>20547815.849421028</v>
      </c>
      <c r="O13" s="98">
        <f t="shared" si="2"/>
        <v>10273908</v>
      </c>
      <c r="P13" s="40"/>
      <c r="Q13" s="104">
        <f t="shared" si="14"/>
        <v>1988498</v>
      </c>
      <c r="R13" s="96">
        <f t="shared" si="7"/>
        <v>59655</v>
      </c>
      <c r="S13" s="200">
        <f t="shared" si="8"/>
        <v>2048153</v>
      </c>
      <c r="T13" s="155">
        <f t="shared" si="9"/>
        <v>24577836</v>
      </c>
      <c r="U13" s="193"/>
      <c r="V13" s="153">
        <f t="shared" si="10"/>
        <v>2048153</v>
      </c>
      <c r="W13" s="101">
        <f t="shared" si="11"/>
        <v>61445</v>
      </c>
      <c r="X13" s="101">
        <f t="shared" si="12"/>
        <v>2109598</v>
      </c>
      <c r="Y13" s="98">
        <f t="shared" si="13"/>
        <v>25315176</v>
      </c>
    </row>
    <row r="14" spans="1:25" s="61" customFormat="1" ht="15.75" customHeight="1">
      <c r="A14" s="17" t="s">
        <v>48</v>
      </c>
      <c r="B14" s="18" t="s">
        <v>49</v>
      </c>
      <c r="C14" s="19">
        <v>1</v>
      </c>
      <c r="D14" s="195">
        <v>295724000</v>
      </c>
      <c r="E14" s="194">
        <v>256004839</v>
      </c>
      <c r="F14" s="194">
        <v>338788808</v>
      </c>
      <c r="G14" s="258">
        <f>291617612*5.2%+291617612</f>
        <v>306781727.824</v>
      </c>
      <c r="H14" s="78"/>
      <c r="I14" s="152">
        <f t="shared" si="3"/>
        <v>299324843.70599997</v>
      </c>
      <c r="J14" s="149">
        <f t="shared" si="4"/>
        <v>301252863.912</v>
      </c>
      <c r="K14" s="150">
        <f t="shared" si="5"/>
        <v>297833347.35014403</v>
      </c>
      <c r="L14" s="151">
        <f t="shared" si="6"/>
        <v>296317246.86215931</v>
      </c>
      <c r="M14" s="57">
        <f t="shared" si="0"/>
        <v>296317246.86215931</v>
      </c>
      <c r="N14" s="167">
        <f t="shared" si="1"/>
        <v>297607590.36972439</v>
      </c>
      <c r="O14" s="98">
        <f t="shared" si="2"/>
        <v>297607590</v>
      </c>
      <c r="P14" s="40"/>
      <c r="Q14" s="104">
        <f t="shared" si="14"/>
        <v>57601469</v>
      </c>
      <c r="R14" s="201">
        <f t="shared" si="7"/>
        <v>1728044</v>
      </c>
      <c r="S14" s="58">
        <f t="shared" si="8"/>
        <v>59329513</v>
      </c>
      <c r="T14" s="202">
        <f t="shared" si="9"/>
        <v>711954156</v>
      </c>
      <c r="U14" s="193"/>
      <c r="V14" s="153">
        <f t="shared" si="10"/>
        <v>59329513</v>
      </c>
      <c r="W14" s="101">
        <f t="shared" si="11"/>
        <v>1779885</v>
      </c>
      <c r="X14" s="101">
        <f t="shared" si="12"/>
        <v>61109398</v>
      </c>
      <c r="Y14" s="98">
        <f t="shared" si="13"/>
        <v>733312776</v>
      </c>
    </row>
    <row r="15" spans="1:25" s="61" customFormat="1" ht="15.75" customHeight="1">
      <c r="A15" s="17" t="s">
        <v>50</v>
      </c>
      <c r="B15" s="18" t="s">
        <v>51</v>
      </c>
      <c r="C15" s="19">
        <v>1</v>
      </c>
      <c r="D15" s="195">
        <v>282282000</v>
      </c>
      <c r="E15" s="194">
        <v>264114693</v>
      </c>
      <c r="F15" s="194">
        <v>342437302</v>
      </c>
      <c r="G15" s="258">
        <f>296377438.5*5.2%+296377438.5</f>
        <v>311789065.30199999</v>
      </c>
      <c r="H15" s="78"/>
      <c r="I15" s="152">
        <f t="shared" si="3"/>
        <v>300155765.07550001</v>
      </c>
      <c r="J15" s="149">
        <f t="shared" si="4"/>
        <v>297035532.65100002</v>
      </c>
      <c r="K15" s="150">
        <f t="shared" si="5"/>
        <v>298696011.62576473</v>
      </c>
      <c r="L15" s="151">
        <f t="shared" si="6"/>
        <v>297257874.92723542</v>
      </c>
      <c r="M15" s="57">
        <f t="shared" si="0"/>
        <v>297035532.65100002</v>
      </c>
      <c r="N15" s="167">
        <f t="shared" si="1"/>
        <v>297412096.9012</v>
      </c>
      <c r="O15" s="98">
        <f t="shared" si="2"/>
        <v>297412097</v>
      </c>
      <c r="P15" s="40"/>
      <c r="Q15" s="104">
        <f t="shared" si="14"/>
        <v>57563632</v>
      </c>
      <c r="R15" s="96">
        <f t="shared" si="7"/>
        <v>1726909</v>
      </c>
      <c r="S15" s="101">
        <f t="shared" si="8"/>
        <v>59290541</v>
      </c>
      <c r="T15" s="155">
        <f t="shared" si="9"/>
        <v>711486492</v>
      </c>
      <c r="U15" s="193"/>
      <c r="V15" s="153">
        <f t="shared" si="10"/>
        <v>59290541</v>
      </c>
      <c r="W15" s="101">
        <f t="shared" si="11"/>
        <v>1778716</v>
      </c>
      <c r="X15" s="101">
        <f t="shared" si="12"/>
        <v>61069257</v>
      </c>
      <c r="Y15" s="98">
        <f t="shared" si="13"/>
        <v>732831084</v>
      </c>
    </row>
    <row r="16" spans="1:25" s="61" customFormat="1" ht="15.75" customHeight="1" thickBot="1">
      <c r="A16" s="203" t="s">
        <v>52</v>
      </c>
      <c r="B16" s="204" t="s">
        <v>53</v>
      </c>
      <c r="C16" s="24">
        <v>1</v>
      </c>
      <c r="D16" s="206">
        <v>10081500</v>
      </c>
      <c r="E16" s="205">
        <v>26336223</v>
      </c>
      <c r="F16" s="205">
        <v>14032673</v>
      </c>
      <c r="G16" s="259">
        <f>19294368.5*5.2%+19294368.5</f>
        <v>20297675.662</v>
      </c>
      <c r="H16" s="78"/>
      <c r="I16" s="152">
        <f t="shared" si="3"/>
        <v>17687017.9155</v>
      </c>
      <c r="J16" s="149">
        <f t="shared" si="4"/>
        <v>17165174.331</v>
      </c>
      <c r="K16" s="150">
        <f t="shared" si="5"/>
        <v>16583123.678500524</v>
      </c>
      <c r="L16" s="151">
        <f t="shared" si="6"/>
        <v>15522461.362637436</v>
      </c>
      <c r="M16" s="57">
        <f t="shared" si="0"/>
        <v>15522461.362637436</v>
      </c>
      <c r="N16" s="213">
        <f t="shared" si="1"/>
        <v>16063136.419482565</v>
      </c>
      <c r="O16" s="214">
        <f t="shared" si="2"/>
        <v>16063136</v>
      </c>
      <c r="P16" s="40"/>
      <c r="Q16" s="215">
        <f t="shared" si="14"/>
        <v>3108994</v>
      </c>
      <c r="R16" s="216">
        <f t="shared" si="7"/>
        <v>93270</v>
      </c>
      <c r="S16" s="101">
        <f t="shared" si="8"/>
        <v>3202264</v>
      </c>
      <c r="T16" s="155">
        <f t="shared" si="9"/>
        <v>38427168</v>
      </c>
      <c r="U16" s="193"/>
      <c r="V16" s="153">
        <f t="shared" si="10"/>
        <v>3202264</v>
      </c>
      <c r="W16" s="101">
        <f t="shared" si="11"/>
        <v>96068</v>
      </c>
      <c r="X16" s="101">
        <f t="shared" si="12"/>
        <v>3298332</v>
      </c>
      <c r="Y16" s="214">
        <f t="shared" si="13"/>
        <v>39579984</v>
      </c>
    </row>
    <row r="17" spans="1:26" s="61" customFormat="1" ht="15.75" customHeight="1" thickBot="1">
      <c r="A17" s="890" t="s">
        <v>54</v>
      </c>
      <c r="B17" s="891"/>
      <c r="C17" s="892"/>
      <c r="D17" s="69"/>
      <c r="E17" s="70"/>
      <c r="F17" s="70"/>
      <c r="G17" s="258"/>
      <c r="H17" s="78"/>
      <c r="I17" s="152"/>
      <c r="J17" s="149"/>
      <c r="K17" s="150"/>
      <c r="L17" s="151"/>
      <c r="M17" s="143"/>
      <c r="N17" s="167"/>
      <c r="O17" s="98"/>
      <c r="P17" s="40"/>
      <c r="Q17" s="141"/>
      <c r="R17" s="142"/>
      <c r="S17" s="101"/>
      <c r="T17" s="155"/>
      <c r="U17" s="193"/>
      <c r="V17" s="153">
        <f t="shared" si="10"/>
        <v>0</v>
      </c>
      <c r="W17" s="101"/>
      <c r="X17" s="101"/>
      <c r="Y17" s="98"/>
    </row>
    <row r="18" spans="1:26" s="61" customFormat="1" ht="60.75" customHeight="1">
      <c r="A18" s="14" t="s">
        <v>55</v>
      </c>
      <c r="B18" s="204" t="s">
        <v>56</v>
      </c>
      <c r="C18" s="217">
        <v>1</v>
      </c>
      <c r="D18" s="146">
        <v>140000000</v>
      </c>
      <c r="E18" s="145">
        <v>82056000</v>
      </c>
      <c r="F18" s="145">
        <v>31020000</v>
      </c>
      <c r="G18" s="257">
        <f>108372917*5.2%+108372917</f>
        <v>114008308.684</v>
      </c>
      <c r="H18" s="78"/>
      <c r="I18" s="152">
        <f t="shared" si="3"/>
        <v>91771077.171000004</v>
      </c>
      <c r="J18" s="149">
        <f t="shared" si="4"/>
        <v>98032154.342000008</v>
      </c>
      <c r="K18" s="150">
        <f t="shared" si="5"/>
        <v>79836992.529385939</v>
      </c>
      <c r="L18" s="151">
        <f t="shared" si="6"/>
        <v>66292980.618712425</v>
      </c>
      <c r="M18" s="57">
        <f>MIN(J18:L18)</f>
        <v>66292980.618712425</v>
      </c>
      <c r="N18" s="168">
        <f>+((MIN(J18:L18)*3)+SMALL(J18:L18,2)+SMALL(J18:L18,3))/5</f>
        <v>75349617.745504647</v>
      </c>
      <c r="O18" s="155">
        <f>ROUND((N18*C18),0)</f>
        <v>75349618</v>
      </c>
      <c r="P18" s="40"/>
      <c r="Q18" s="153">
        <f t="shared" si="14"/>
        <v>14583797</v>
      </c>
      <c r="R18" s="154">
        <f t="shared" si="7"/>
        <v>437514</v>
      </c>
      <c r="S18" s="101">
        <f t="shared" si="8"/>
        <v>15021311</v>
      </c>
      <c r="T18" s="155">
        <f t="shared" si="9"/>
        <v>180255732</v>
      </c>
      <c r="U18" s="193"/>
      <c r="V18" s="153">
        <f t="shared" si="10"/>
        <v>15021311</v>
      </c>
      <c r="W18" s="101">
        <f t="shared" si="11"/>
        <v>450639</v>
      </c>
      <c r="X18" s="101">
        <f t="shared" si="12"/>
        <v>15471950</v>
      </c>
      <c r="Y18" s="155">
        <f t="shared" si="13"/>
        <v>185663400</v>
      </c>
    </row>
    <row r="19" spans="1:26" s="61" customFormat="1" ht="60.75" customHeight="1" thickBot="1">
      <c r="A19" s="203" t="s">
        <v>57</v>
      </c>
      <c r="B19" s="204" t="s">
        <v>58</v>
      </c>
      <c r="C19" s="24">
        <v>1</v>
      </c>
      <c r="D19" s="206">
        <v>50000000</v>
      </c>
      <c r="E19" s="205">
        <v>112248400</v>
      </c>
      <c r="F19" s="205">
        <v>186120000</v>
      </c>
      <c r="G19" s="259">
        <f>36109065*5.2%+36109065</f>
        <v>37986736.380000003</v>
      </c>
      <c r="H19" s="78"/>
      <c r="I19" s="152">
        <f t="shared" ref="I19" si="15">AVERAGE(D19,E19,F19,G19)</f>
        <v>96588784.094999999</v>
      </c>
      <c r="J19" s="149">
        <f t="shared" ref="J19" si="16">MEDIAN(D19,E19,F19,G19)</f>
        <v>81124200</v>
      </c>
      <c r="K19" s="150">
        <f t="shared" ref="K19" si="17">GEOMEAN(D19,E19,F19,G19)</f>
        <v>79367700.461817682</v>
      </c>
      <c r="L19" s="151">
        <f t="shared" ref="L19" si="18">HARMEAN(D19,E19,F19,G19)</f>
        <v>65999337.81334392</v>
      </c>
      <c r="M19" s="57">
        <f>MIN(J19:L19)</f>
        <v>65999337.81334392</v>
      </c>
      <c r="N19" s="213">
        <f>+((MIN(J19:L19)*3)+SMALL(J19:L19,2)+SMALL(J19:L19,3))/5</f>
        <v>71697982.780369893</v>
      </c>
      <c r="O19" s="214">
        <f>ROUND((N19*C19),0)</f>
        <v>71697983</v>
      </c>
      <c r="P19" s="40"/>
      <c r="Q19" s="215">
        <f t="shared" si="14"/>
        <v>13877029</v>
      </c>
      <c r="R19" s="216">
        <f t="shared" si="7"/>
        <v>416311</v>
      </c>
      <c r="S19" s="101">
        <f t="shared" si="8"/>
        <v>14293340</v>
      </c>
      <c r="T19" s="155">
        <f t="shared" si="9"/>
        <v>171520080</v>
      </c>
      <c r="U19" s="193"/>
      <c r="V19" s="153">
        <f t="shared" si="10"/>
        <v>14293340</v>
      </c>
      <c r="W19" s="101">
        <f t="shared" si="11"/>
        <v>428800</v>
      </c>
      <c r="X19" s="101">
        <f t="shared" si="12"/>
        <v>14722140</v>
      </c>
      <c r="Y19" s="214">
        <f t="shared" si="13"/>
        <v>176665680</v>
      </c>
    </row>
    <row r="20" spans="1:26" s="128" customFormat="1" ht="15.75" customHeight="1" thickBot="1">
      <c r="A20" s="890" t="s">
        <v>59</v>
      </c>
      <c r="B20" s="891"/>
      <c r="C20" s="892"/>
      <c r="D20" s="69"/>
      <c r="E20" s="70"/>
      <c r="F20" s="70"/>
      <c r="G20" s="258"/>
      <c r="H20" s="78"/>
      <c r="I20" s="266"/>
      <c r="J20" s="140"/>
      <c r="K20" s="140"/>
      <c r="L20" s="140"/>
      <c r="M20" s="143"/>
      <c r="N20" s="167"/>
      <c r="O20" s="98"/>
      <c r="P20" s="40"/>
      <c r="Q20" s="141"/>
      <c r="R20" s="142"/>
      <c r="S20" s="101"/>
      <c r="T20" s="155"/>
      <c r="U20" s="193"/>
      <c r="V20" s="153">
        <f t="shared" si="10"/>
        <v>0</v>
      </c>
      <c r="W20" s="101"/>
      <c r="X20" s="101"/>
      <c r="Y20" s="98"/>
    </row>
    <row r="21" spans="1:26" s="61" customFormat="1" ht="15.75" customHeight="1">
      <c r="A21" s="218">
        <v>3</v>
      </c>
      <c r="B21" s="204" t="s">
        <v>60</v>
      </c>
      <c r="C21" s="144">
        <v>1</v>
      </c>
      <c r="D21" s="146">
        <v>107070950</v>
      </c>
      <c r="E21" s="145">
        <v>500000000</v>
      </c>
      <c r="F21" s="145">
        <v>51700000</v>
      </c>
      <c r="G21" s="257">
        <f>103281457*5.2%+103281457</f>
        <v>108652092.764</v>
      </c>
      <c r="H21" s="78"/>
      <c r="I21" s="152">
        <f t="shared" ref="I21" si="19">AVERAGE(D21,E21,F21,G21)</f>
        <v>191855760.69099998</v>
      </c>
      <c r="J21" s="149">
        <f t="shared" ref="J21" si="20">MEDIAN(D21,E21,F21,G21)</f>
        <v>107861521.382</v>
      </c>
      <c r="K21" s="150">
        <f t="shared" ref="K21" si="21">GEOMEAN(D21,E21,F21,G21)</f>
        <v>131686900.18276042</v>
      </c>
      <c r="L21" s="151">
        <f t="shared" ref="L21" si="22">HARMEAN(D21,E21,F21,G21)</f>
        <v>100286695.68032388</v>
      </c>
      <c r="M21" s="57">
        <f>MIN(J21:L21)</f>
        <v>100286695.68032388</v>
      </c>
      <c r="N21" s="168">
        <f>+((MIN(J21:L21)*3)+SMALL(J21:L21,2)+SMALL(J21:L21,3))/5</f>
        <v>108081701.72114639</v>
      </c>
      <c r="O21" s="155">
        <f>ROUND((N21*C21),0)</f>
        <v>108081702</v>
      </c>
      <c r="P21" s="40"/>
      <c r="Q21" s="153">
        <f t="shared" si="14"/>
        <v>20919039</v>
      </c>
      <c r="R21" s="154">
        <f t="shared" si="7"/>
        <v>627571</v>
      </c>
      <c r="S21" s="101">
        <f t="shared" si="8"/>
        <v>21546610</v>
      </c>
      <c r="T21" s="155">
        <f t="shared" si="9"/>
        <v>258559320</v>
      </c>
      <c r="U21" s="193"/>
      <c r="V21" s="153">
        <f t="shared" si="10"/>
        <v>21546610</v>
      </c>
      <c r="W21" s="101">
        <f t="shared" si="11"/>
        <v>646398</v>
      </c>
      <c r="X21" s="101">
        <f t="shared" si="12"/>
        <v>22193008</v>
      </c>
      <c r="Y21" s="155">
        <f t="shared" si="13"/>
        <v>266316096</v>
      </c>
    </row>
    <row r="22" spans="1:26" s="128" customFormat="1" ht="27.75" customHeight="1" thickBot="1">
      <c r="A22" s="219"/>
      <c r="B22" s="220"/>
      <c r="C22" s="13"/>
      <c r="D22" s="75"/>
      <c r="E22" s="76"/>
      <c r="F22" s="76"/>
      <c r="G22" s="76"/>
      <c r="H22" s="78"/>
      <c r="I22" s="4"/>
      <c r="J22" s="4"/>
      <c r="K22" s="4"/>
      <c r="L22" s="4"/>
      <c r="N22" s="169"/>
      <c r="O22" s="170">
        <f>ROUND((SUM(O8:O21)),0)</f>
        <v>1146691770</v>
      </c>
      <c r="P22" s="40"/>
      <c r="Q22" s="133">
        <f>SUM(Q8:Q21)</f>
        <v>221940342</v>
      </c>
      <c r="R22" s="134">
        <f>SUM(R7:R21)</f>
        <v>6658211</v>
      </c>
      <c r="S22" s="135">
        <f>SUM(S7:S21)</f>
        <v>228598553</v>
      </c>
      <c r="T22" s="132">
        <f>SUM(T8:T21)</f>
        <v>2743182636</v>
      </c>
      <c r="U22" s="161"/>
      <c r="V22" s="163">
        <f>SUM(V8:V21)</f>
        <v>228598553</v>
      </c>
      <c r="W22" s="221">
        <f>SUM(W8:W21)</f>
        <v>6857956</v>
      </c>
      <c r="X22" s="221">
        <f>SUM(X8:X21)</f>
        <v>235456509</v>
      </c>
      <c r="Y22" s="132">
        <f>SUM(Y8:Y21)</f>
        <v>2825478108</v>
      </c>
    </row>
    <row r="23" spans="1:26" ht="15.75" customHeight="1" thickBot="1">
      <c r="B23" s="4"/>
      <c r="C23" s="4"/>
      <c r="M23" s="83"/>
      <c r="N23" s="165"/>
      <c r="O23" s="166"/>
    </row>
    <row r="24" spans="1:26" ht="35.25" customHeight="1" thickBot="1">
      <c r="A24" s="739" t="s">
        <v>61</v>
      </c>
      <c r="B24" s="740"/>
      <c r="C24" s="741"/>
      <c r="D24" s="250"/>
      <c r="E24" s="250"/>
      <c r="F24" s="250"/>
      <c r="G24" s="260"/>
      <c r="N24" s="690" t="s">
        <v>62</v>
      </c>
      <c r="O24" s="691"/>
      <c r="P24" s="177"/>
      <c r="Q24" s="234"/>
      <c r="R24" s="235"/>
      <c r="S24" s="690" t="s">
        <v>63</v>
      </c>
      <c r="T24" s="691"/>
      <c r="U24" s="236"/>
      <c r="V24" s="234"/>
      <c r="W24" s="234"/>
      <c r="X24" s="690" t="s">
        <v>64</v>
      </c>
      <c r="Y24" s="691"/>
      <c r="Z24" s="268" t="s">
        <v>64</v>
      </c>
    </row>
    <row r="25" spans="1:26" s="3" customFormat="1" ht="23.25" customHeight="1">
      <c r="A25" s="896" t="s">
        <v>65</v>
      </c>
      <c r="B25" s="897"/>
      <c r="C25" s="898"/>
      <c r="D25" s="251">
        <f>SUM(D8:D19)</f>
        <v>1070709500</v>
      </c>
      <c r="E25" s="251">
        <f t="shared" ref="E25:G25" si="23">SUM(E8:E19)</f>
        <v>1024815132</v>
      </c>
      <c r="F25" s="251">
        <f t="shared" si="23"/>
        <v>1185033563</v>
      </c>
      <c r="G25" s="261">
        <f t="shared" si="23"/>
        <v>1134488470.362</v>
      </c>
      <c r="H25" s="162"/>
      <c r="N25" s="222"/>
      <c r="O25" s="261">
        <f>SUM(O8:O19)</f>
        <v>1038610068</v>
      </c>
      <c r="S25" s="222"/>
      <c r="T25" s="223">
        <f>+T8+T9+T10+T11+T12+T13+T14+T15+T16+T18+T19</f>
        <v>2484623316</v>
      </c>
      <c r="U25" s="224"/>
      <c r="X25" s="222"/>
      <c r="Y25" s="223">
        <f>+Y8+Y9+Y10+Y11+Y12+Y13+Y14+Y15+Y16+Y18+Y19</f>
        <v>2559162012</v>
      </c>
      <c r="Z25" s="684">
        <f>+O29+T29+Y29</f>
        <v>7991269493</v>
      </c>
    </row>
    <row r="26" spans="1:26" s="3" customFormat="1" ht="23.25" customHeight="1">
      <c r="A26" s="726" t="s">
        <v>66</v>
      </c>
      <c r="B26" s="904"/>
      <c r="C26" s="905"/>
      <c r="D26" s="252">
        <f>+D21</f>
        <v>107070950</v>
      </c>
      <c r="E26" s="252">
        <f t="shared" ref="E26:G26" si="24">+E21</f>
        <v>500000000</v>
      </c>
      <c r="F26" s="252">
        <f t="shared" si="24"/>
        <v>51700000</v>
      </c>
      <c r="G26" s="262">
        <f t="shared" si="24"/>
        <v>108652092.764</v>
      </c>
      <c r="H26" s="162"/>
      <c r="N26" s="222"/>
      <c r="O26" s="262">
        <f>+O21</f>
        <v>108081702</v>
      </c>
      <c r="S26" s="222"/>
      <c r="T26" s="223">
        <f>+T21</f>
        <v>258559320</v>
      </c>
      <c r="U26" s="224"/>
      <c r="X26" s="222"/>
      <c r="Y26" s="223">
        <f>+Y21</f>
        <v>266316096</v>
      </c>
      <c r="Z26" s="685"/>
    </row>
    <row r="27" spans="1:26" s="3" customFormat="1" ht="23.25" customHeight="1">
      <c r="A27" s="726" t="s">
        <v>67</v>
      </c>
      <c r="B27" s="904"/>
      <c r="C27" s="905"/>
      <c r="D27" s="252">
        <f>SUM(D25:D26)</f>
        <v>1177780450</v>
      </c>
      <c r="E27" s="252">
        <f t="shared" ref="E27:G27" si="25">SUM(E25:E26)</f>
        <v>1524815132</v>
      </c>
      <c r="F27" s="252">
        <f t="shared" si="25"/>
        <v>1236733563</v>
      </c>
      <c r="G27" s="262">
        <f t="shared" si="25"/>
        <v>1243140563.1259999</v>
      </c>
      <c r="H27" s="162"/>
      <c r="N27" s="222"/>
      <c r="O27" s="262">
        <f>SUM(O25:O26)</f>
        <v>1146691770</v>
      </c>
      <c r="S27" s="222"/>
      <c r="T27" s="223">
        <f>SUM(T25:T26)</f>
        <v>2743182636</v>
      </c>
      <c r="U27" s="224"/>
      <c r="X27" s="222"/>
      <c r="Y27" s="223">
        <f>SUM(Y25:Y26)</f>
        <v>2825478108</v>
      </c>
      <c r="Z27" s="685"/>
    </row>
    <row r="28" spans="1:26" s="3" customFormat="1" ht="23.25" customHeight="1" thickBot="1">
      <c r="A28" s="901" t="s">
        <v>68</v>
      </c>
      <c r="B28" s="902"/>
      <c r="C28" s="903"/>
      <c r="D28" s="253">
        <f>ROUNDUP((+D27*19%),0)</f>
        <v>223778286</v>
      </c>
      <c r="E28" s="253">
        <f>ROUNDUP((+E27*19%),0)</f>
        <v>289714876</v>
      </c>
      <c r="F28" s="253">
        <f>ROUNDUP((+F27*19%),0)</f>
        <v>234979377</v>
      </c>
      <c r="G28" s="253">
        <f>ROUNDUP((+G27*19%),0)</f>
        <v>236196707</v>
      </c>
      <c r="H28" s="162"/>
      <c r="N28" s="222"/>
      <c r="O28" s="253">
        <f>ROUNDUP((+O27*19%),0)</f>
        <v>217871437</v>
      </c>
      <c r="S28" s="222"/>
      <c r="T28" s="253">
        <f>ROUNDUP((+T27*19%),0)</f>
        <v>521204701</v>
      </c>
      <c r="U28" s="224"/>
      <c r="X28" s="222"/>
      <c r="Y28" s="253">
        <f>ROUNDUP((+Y27*19%),0)</f>
        <v>536840841</v>
      </c>
      <c r="Z28" s="685"/>
    </row>
    <row r="29" spans="1:26" s="3" customFormat="1" ht="23.25" customHeight="1" thickBot="1">
      <c r="A29" s="698" t="s">
        <v>69</v>
      </c>
      <c r="B29" s="699"/>
      <c r="C29" s="900"/>
      <c r="D29" s="254">
        <f>+D27+D28</f>
        <v>1401558736</v>
      </c>
      <c r="E29" s="254">
        <f t="shared" ref="E29:G29" si="26">+E27+E28</f>
        <v>1814530008</v>
      </c>
      <c r="F29" s="254">
        <f t="shared" si="26"/>
        <v>1471712940</v>
      </c>
      <c r="G29" s="263">
        <f t="shared" si="26"/>
        <v>1479337270.1259999</v>
      </c>
      <c r="H29" s="162"/>
      <c r="J29" s="3" t="s">
        <v>283</v>
      </c>
      <c r="K29" s="120">
        <f>+M31/35*5</f>
        <v>37729858.258064516</v>
      </c>
      <c r="L29" s="3" t="s">
        <v>280</v>
      </c>
      <c r="M29" s="3">
        <v>2025</v>
      </c>
      <c r="N29" s="238">
        <f>+N27+N28</f>
        <v>0</v>
      </c>
      <c r="O29" s="263">
        <f>+O27+O28</f>
        <v>1364563207</v>
      </c>
      <c r="P29" s="240"/>
      <c r="Q29" s="240"/>
      <c r="R29" s="240"/>
      <c r="S29" s="88"/>
      <c r="T29" s="132">
        <f>SUM(T27:T28)</f>
        <v>3264387337</v>
      </c>
      <c r="U29" s="241"/>
      <c r="V29" s="240"/>
      <c r="W29" s="240"/>
      <c r="X29" s="88"/>
      <c r="Y29" s="239">
        <f>SUM(Y27:Y28)</f>
        <v>3362318949</v>
      </c>
      <c r="Z29" s="686"/>
    </row>
    <row r="30" spans="1:26" s="162" customFormat="1" ht="23.25" customHeight="1">
      <c r="A30" s="269"/>
      <c r="B30" s="269"/>
      <c r="C30" s="269"/>
      <c r="D30" s="270"/>
      <c r="E30" s="270"/>
      <c r="F30" s="270"/>
      <c r="G30" s="270"/>
      <c r="K30" s="271"/>
      <c r="N30" s="161"/>
      <c r="O30" s="270"/>
      <c r="S30" s="224"/>
      <c r="T30" s="161"/>
      <c r="U30" s="161"/>
      <c r="X30" s="224"/>
      <c r="Y30" s="161"/>
      <c r="Z30" s="272"/>
    </row>
    <row r="31" spans="1:26" s="3" customFormat="1" ht="30" customHeight="1">
      <c r="A31" s="27"/>
      <c r="C31" s="117"/>
      <c r="D31" s="71"/>
      <c r="E31" s="71"/>
      <c r="F31" s="71"/>
      <c r="G31" s="71"/>
      <c r="H31" s="162"/>
      <c r="J31" s="3" t="s">
        <v>284</v>
      </c>
      <c r="K31" s="120">
        <f>(+M31/35)*30</f>
        <v>226379149.54838708</v>
      </c>
      <c r="L31" s="245" t="s">
        <v>70</v>
      </c>
      <c r="M31" s="131">
        <f>+O29/155*30</f>
        <v>264109007.80645162</v>
      </c>
      <c r="N31" s="226" t="s">
        <v>71</v>
      </c>
      <c r="O31" s="232">
        <f>ROUND((+M31/30*155),0)</f>
        <v>1364563207</v>
      </c>
      <c r="Q31" s="233">
        <v>1386161735</v>
      </c>
      <c r="R31" s="233" t="s">
        <v>72</v>
      </c>
      <c r="U31" s="162"/>
    </row>
    <row r="32" spans="1:26" s="3" customFormat="1" ht="30" customHeight="1">
      <c r="A32" s="27"/>
      <c r="C32" s="121"/>
      <c r="D32" s="71"/>
      <c r="E32" s="71"/>
      <c r="F32" s="71"/>
      <c r="G32" s="71"/>
      <c r="H32" s="162"/>
      <c r="L32" s="3" t="s">
        <v>73</v>
      </c>
      <c r="M32" s="122">
        <f>ROUND((+M31*3%),0)</f>
        <v>7923270</v>
      </c>
      <c r="N32" s="123"/>
      <c r="O32" s="123"/>
      <c r="Q32" s="228">
        <f>+Q31-O31</f>
        <v>21598528</v>
      </c>
      <c r="R32" s="3" t="s">
        <v>74</v>
      </c>
      <c r="U32" s="162"/>
    </row>
    <row r="33" spans="1:21" s="3" customFormat="1" ht="30" customHeight="1">
      <c r="A33" s="27"/>
      <c r="D33" s="71"/>
      <c r="E33" s="71"/>
      <c r="F33" s="71"/>
      <c r="G33" s="71"/>
      <c r="H33" s="162"/>
      <c r="L33" s="245" t="s">
        <v>75</v>
      </c>
      <c r="M33" s="227">
        <f>+T29/12</f>
        <v>272032278.08333331</v>
      </c>
      <c r="N33" s="226" t="s">
        <v>76</v>
      </c>
      <c r="O33" s="227">
        <f>+T29</f>
        <v>3264387337</v>
      </c>
      <c r="Q33" s="131">
        <v>3316056552</v>
      </c>
      <c r="R33" s="131" t="s">
        <v>72</v>
      </c>
      <c r="U33" s="162"/>
    </row>
    <row r="34" spans="1:21" s="3" customFormat="1" ht="30" customHeight="1">
      <c r="H34" s="162"/>
      <c r="J34" s="229"/>
      <c r="L34" s="3" t="s">
        <v>73</v>
      </c>
      <c r="M34" s="122">
        <f>ROUND((+M33*3%),0)</f>
        <v>8160968</v>
      </c>
      <c r="N34" s="123"/>
      <c r="O34" s="123"/>
      <c r="Q34" s="228">
        <f>+Q33-O33</f>
        <v>51669215</v>
      </c>
      <c r="R34" s="3" t="s">
        <v>74</v>
      </c>
    </row>
    <row r="35" spans="1:21" s="3" customFormat="1" ht="30" customHeight="1">
      <c r="H35" s="162"/>
      <c r="L35" s="245" t="s">
        <v>77</v>
      </c>
      <c r="M35" s="227">
        <f>+Y29</f>
        <v>3362318949</v>
      </c>
      <c r="N35" s="226" t="s">
        <v>76</v>
      </c>
      <c r="O35" s="227">
        <f>+Y29</f>
        <v>3362318949</v>
      </c>
      <c r="Q35" s="131">
        <v>3415538196</v>
      </c>
      <c r="R35" s="131" t="s">
        <v>72</v>
      </c>
    </row>
    <row r="36" spans="1:21" s="3" customFormat="1" ht="30" customHeight="1">
      <c r="H36" s="162"/>
      <c r="M36" s="125"/>
      <c r="N36" s="123"/>
      <c r="O36" s="123"/>
      <c r="Q36" s="228">
        <f>+Q35-O35</f>
        <v>53219247</v>
      </c>
      <c r="R36" s="3" t="s">
        <v>74</v>
      </c>
    </row>
    <row r="37" spans="1:21" s="3" customFormat="1" ht="30" customHeight="1">
      <c r="H37" s="162"/>
      <c r="L37" s="695" t="s">
        <v>78</v>
      </c>
      <c r="M37" s="899"/>
      <c r="N37" s="696"/>
      <c r="O37" s="227">
        <f>+O31+O33+O35</f>
        <v>7991269493</v>
      </c>
      <c r="Q37" s="131">
        <f>+Q31+Q33+Q35</f>
        <v>8117756483</v>
      </c>
      <c r="R37" s="131" t="s">
        <v>72</v>
      </c>
    </row>
    <row r="38" spans="1:21" s="3" customFormat="1" ht="30" customHeight="1">
      <c r="H38" s="162"/>
      <c r="Q38" s="228">
        <f>+Q37-O37</f>
        <v>126486990</v>
      </c>
      <c r="R38" s="3" t="s">
        <v>74</v>
      </c>
    </row>
    <row r="39" spans="1:21" s="3" customFormat="1" ht="15.75" customHeight="1">
      <c r="H39" s="162"/>
    </row>
    <row r="40" spans="1:21" s="3" customFormat="1" ht="15.75" customHeight="1">
      <c r="H40" s="162"/>
    </row>
    <row r="44" spans="1:21" ht="15.75" customHeight="1">
      <c r="M44" s="692">
        <v>2024</v>
      </c>
      <c r="N44" s="692"/>
      <c r="O44" s="692"/>
    </row>
    <row r="45" spans="1:21" ht="15.75" customHeight="1">
      <c r="L45" s="129" t="s">
        <v>79</v>
      </c>
      <c r="M45" s="129" t="s">
        <v>80</v>
      </c>
      <c r="N45" s="130" t="s">
        <v>81</v>
      </c>
      <c r="O45" s="130" t="s">
        <v>82</v>
      </c>
    </row>
    <row r="46" spans="1:21" ht="15.75" customHeight="1">
      <c r="L46" s="129" t="s">
        <v>83</v>
      </c>
      <c r="M46" s="230">
        <f>(+O46/164)*14</f>
        <v>115410729.98896343</v>
      </c>
      <c r="N46" s="230">
        <f>+O46/164*30</f>
        <v>247308707.11920732</v>
      </c>
      <c r="O46" s="231">
        <v>1351954265.585</v>
      </c>
    </row>
  </sheetData>
  <mergeCells count="22">
    <mergeCell ref="L37:N37"/>
    <mergeCell ref="M44:O44"/>
    <mergeCell ref="A25:C25"/>
    <mergeCell ref="Z25:Z29"/>
    <mergeCell ref="A26:C26"/>
    <mergeCell ref="A27:C27"/>
    <mergeCell ref="A28:C28"/>
    <mergeCell ref="A29:C29"/>
    <mergeCell ref="V5:Y5"/>
    <mergeCell ref="A7:C7"/>
    <mergeCell ref="A17:C17"/>
    <mergeCell ref="A20:C20"/>
    <mergeCell ref="A24:C24"/>
    <mergeCell ref="N24:O24"/>
    <mergeCell ref="S24:T24"/>
    <mergeCell ref="X24:Y24"/>
    <mergeCell ref="Q5:T5"/>
    <mergeCell ref="N2:O3"/>
    <mergeCell ref="A4:C4"/>
    <mergeCell ref="J4:L4"/>
    <mergeCell ref="A5:C5"/>
    <mergeCell ref="N5:O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Paola Ospina Sierra</dc:creator>
  <cp:keywords/>
  <dc:description/>
  <cp:lastModifiedBy>EILIN JULIANA MURCIA NINO</cp:lastModifiedBy>
  <cp:revision/>
  <dcterms:created xsi:type="dcterms:W3CDTF">2019-12-18T20:27:15Z</dcterms:created>
  <dcterms:modified xsi:type="dcterms:W3CDTF">2025-05-23T15:16:35Z</dcterms:modified>
  <cp:category/>
  <cp:contentStatus/>
</cp:coreProperties>
</file>