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\\servidor\EDUNA\CONTRATACION\EDUNA\01_MUNICIPIOS\07_SANTA ROSA DE OSOS\53_REPARCHEO\02_EDUNA - CONTRATISTA\01_CONTRACTUAL\"/>
    </mc:Choice>
  </mc:AlternateContent>
  <xr:revisionPtr revIDLastSave="0" documentId="13_ncr:1_{254BDBDB-8534-450E-B20F-F2A53D533FB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RESUPUESTO" sheetId="1" r:id="rId1"/>
    <sheet name="MAT RECICLADO" sheetId="4" r:id="rId2"/>
    <sheet name="EMULSION 1" sheetId="10" r:id="rId3"/>
    <sheet name="MANO DE OBRA" sheetId="6" r:id="rId4"/>
    <sheet name="AU" sheetId="8" state="hidden" r:id="rId5"/>
    <sheet name="CALCULO AU" sheetId="9" r:id="rId6"/>
  </sheets>
  <externalReferences>
    <externalReference r:id="rId7"/>
    <externalReference r:id="rId8"/>
  </externalReferences>
  <definedNames>
    <definedName name="mtz_manodeobra">'[1]MANO DE OBRA'!$A$2:$D$8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J31" i="10"/>
  <c r="J37" i="10" s="1"/>
  <c r="H42" i="10"/>
  <c r="J42" i="10" s="1"/>
  <c r="J48" i="10" s="1"/>
  <c r="J14" i="10" s="1"/>
  <c r="F42" i="10"/>
  <c r="H31" i="10"/>
  <c r="J21" i="10"/>
  <c r="J26" i="10"/>
  <c r="C5" i="10"/>
  <c r="C5" i="4"/>
  <c r="G33" i="9"/>
  <c r="F33" i="9"/>
  <c r="F30" i="9"/>
  <c r="G30" i="9"/>
  <c r="H46" i="4"/>
  <c r="F46" i="4" s="1"/>
  <c r="H45" i="4"/>
  <c r="F45" i="4" s="1"/>
  <c r="J10" i="4"/>
  <c r="H10" i="4"/>
  <c r="F35" i="9"/>
  <c r="G35" i="9" s="1"/>
  <c r="F34" i="9"/>
  <c r="G34" i="9" s="1"/>
  <c r="E33" i="9"/>
  <c r="F32" i="9"/>
  <c r="G32" i="9" s="1"/>
  <c r="F31" i="9"/>
  <c r="G31" i="9" s="1"/>
  <c r="G26" i="9"/>
  <c r="G27" i="9" s="1"/>
  <c r="G23" i="9"/>
  <c r="G19" i="9"/>
  <c r="G13" i="9"/>
  <c r="G15" i="9" s="1"/>
  <c r="J16" i="10" l="1"/>
  <c r="J50" i="10" s="1"/>
  <c r="K45" i="4"/>
  <c r="G37" i="9"/>
  <c r="G39" i="9" s="1"/>
  <c r="F39" i="9" s="1"/>
  <c r="G41" i="9" l="1"/>
  <c r="G45" i="9" s="1"/>
  <c r="F45" i="9"/>
  <c r="E6" i="1" s="1"/>
  <c r="H26" i="8" l="1"/>
  <c r="H12" i="8"/>
  <c r="H19" i="8"/>
  <c r="I15" i="8"/>
  <c r="J12" i="8"/>
  <c r="H17" i="8"/>
  <c r="H16" i="8"/>
  <c r="H15" i="8"/>
  <c r="H14" i="8"/>
  <c r="H13" i="8"/>
  <c r="H8" i="8"/>
  <c r="H18" i="8" s="1"/>
  <c r="D4" i="6"/>
  <c r="D6" i="6" s="1"/>
  <c r="D24" i="6"/>
  <c r="D23" i="6"/>
  <c r="D22" i="6"/>
  <c r="K46" i="4"/>
  <c r="B46" i="4"/>
  <c r="B45" i="4"/>
  <c r="K10" i="4"/>
  <c r="D26" i="6" l="1"/>
  <c r="D19" i="6" s="1"/>
  <c r="H21" i="8"/>
  <c r="C22" i="8" s="1"/>
  <c r="H23" i="8"/>
  <c r="F4" i="1"/>
  <c r="K29" i="4"/>
  <c r="K51" i="4"/>
  <c r="K17" i="4" l="1"/>
  <c r="K19" i="4" s="1"/>
  <c r="K53" i="4" s="1"/>
  <c r="E3" i="1" s="1"/>
  <c r="F3" i="1" s="1"/>
  <c r="D9" i="6"/>
  <c r="D17" i="6"/>
  <c r="D16" i="6"/>
  <c r="D15" i="6"/>
  <c r="D14" i="6"/>
  <c r="D13" i="6"/>
  <c r="D12" i="6"/>
  <c r="D11" i="6"/>
  <c r="D18" i="6"/>
  <c r="C24" i="8"/>
  <c r="H22" i="8"/>
  <c r="H24" i="8" s="1"/>
  <c r="F5" i="1" l="1"/>
  <c r="F6" i="1" l="1"/>
  <c r="F7" i="1" s="1"/>
  <c r="F8" i="1" l="1"/>
  <c r="F9" i="1" l="1"/>
  <c r="F10" i="1" s="1"/>
  <c r="F11" i="1" s="1"/>
</calcChain>
</file>

<file path=xl/sharedStrings.xml><?xml version="1.0" encoding="utf-8"?>
<sst xmlns="http://schemas.openxmlformats.org/spreadsheetml/2006/main" count="258" uniqueCount="169">
  <si>
    <t>ITEM</t>
  </si>
  <si>
    <t>DESCRIPCION</t>
  </si>
  <si>
    <t>UN</t>
  </si>
  <si>
    <t>CANT</t>
  </si>
  <si>
    <t>VR UNITARIO</t>
  </si>
  <si>
    <t>VR TOTAL</t>
  </si>
  <si>
    <t>M2</t>
  </si>
  <si>
    <t>2.0</t>
  </si>
  <si>
    <t>3.0</t>
  </si>
  <si>
    <t>Suministro, transporte y riego de imprimacion con emulsion asfaltica.</t>
  </si>
  <si>
    <t>M3</t>
  </si>
  <si>
    <t>DATOS ESPECÍFICOS</t>
  </si>
  <si>
    <t>DESCRIPCIÓN</t>
  </si>
  <si>
    <t>GRUPO DE AJUSTE</t>
  </si>
  <si>
    <t>UNIDAD</t>
  </si>
  <si>
    <t>CANTIDAD</t>
  </si>
  <si>
    <t>Unidad</t>
  </si>
  <si>
    <t>I. EQUIPO</t>
  </si>
  <si>
    <t>TIPO</t>
  </si>
  <si>
    <t>TARIFA/HORA</t>
  </si>
  <si>
    <t>RENDIMIENTO</t>
  </si>
  <si>
    <t>Vr. UNITARIO</t>
  </si>
  <si>
    <t>HERRAMIENTA MENOR (%)</t>
  </si>
  <si>
    <t>SUBTOTAL $</t>
  </si>
  <si>
    <t>II. MATERIALES</t>
  </si>
  <si>
    <t>PRECIO UNIT.</t>
  </si>
  <si>
    <t>III. TRANSPORTES</t>
  </si>
  <si>
    <t>MATERIAL</t>
  </si>
  <si>
    <t>CANTIDAD      (1)</t>
  </si>
  <si>
    <t>DISTANCIA (2)</t>
  </si>
  <si>
    <t>(1) * (2)</t>
  </si>
  <si>
    <t>TARIFA</t>
  </si>
  <si>
    <t>IV. MANO DE OBRA</t>
  </si>
  <si>
    <t>TRABAJADOR</t>
  </si>
  <si>
    <t>JORNAL</t>
  </si>
  <si>
    <t>PRESTACIONES (%)</t>
  </si>
  <si>
    <t>JORNAL TOTAL</t>
  </si>
  <si>
    <t>A0030020</t>
  </si>
  <si>
    <t>A0040010</t>
  </si>
  <si>
    <t>TOTAL COSTO DIRECTO $</t>
  </si>
  <si>
    <t>V. COSTOS INDIRECTOS</t>
  </si>
  <si>
    <t>Descripción</t>
  </si>
  <si>
    <t>UTILIDAD</t>
  </si>
  <si>
    <t>m3</t>
  </si>
  <si>
    <t>C0010150</t>
  </si>
  <si>
    <t>C0010160</t>
  </si>
  <si>
    <t>C0010610</t>
  </si>
  <si>
    <t>C0010730</t>
  </si>
  <si>
    <t>C0010923</t>
  </si>
  <si>
    <t>B0063200</t>
  </si>
  <si>
    <t>B0103491</t>
  </si>
  <si>
    <t>A0030060</t>
  </si>
  <si>
    <t>A0030040</t>
  </si>
  <si>
    <t>SUBTOTAL</t>
  </si>
  <si>
    <t>MANO DE OBRA INCLUIDO FACTOR PRESTACIONAL</t>
  </si>
  <si>
    <t>-</t>
  </si>
  <si>
    <t>día</t>
  </si>
  <si>
    <t>Moneda (Pesos $)</t>
  </si>
  <si>
    <t>A0100150</t>
  </si>
  <si>
    <t>Ayudante</t>
  </si>
  <si>
    <t>A0041004</t>
  </si>
  <si>
    <t>Cuadrilla de Un Oficial y (2) Obreros.</t>
  </si>
  <si>
    <t>A0041006</t>
  </si>
  <si>
    <t>Cuadrilla de un oficial y (4) Obreros.</t>
  </si>
  <si>
    <t>A0041008</t>
  </si>
  <si>
    <t>1 Oficial y 1 Obrero.</t>
  </si>
  <si>
    <t>A0100030</t>
  </si>
  <si>
    <t>Maestro</t>
  </si>
  <si>
    <t>A0030100</t>
  </si>
  <si>
    <t>Obrero (10)</t>
  </si>
  <si>
    <t>Obrero (2)</t>
  </si>
  <si>
    <t>A0030030</t>
  </si>
  <si>
    <t>Obrero (3)</t>
  </si>
  <si>
    <t>Obrero (4)</t>
  </si>
  <si>
    <t>A0030050</t>
  </si>
  <si>
    <t>Obrero (5)</t>
  </si>
  <si>
    <t>Obrero (6)</t>
  </si>
  <si>
    <t>A0030070</t>
  </si>
  <si>
    <t>Obrero (7)</t>
  </si>
  <si>
    <t>A0030080</t>
  </si>
  <si>
    <t>Obrero (8)</t>
  </si>
  <si>
    <t>A0030090</t>
  </si>
  <si>
    <t>Obrero (9)</t>
  </si>
  <si>
    <t>Oficial</t>
  </si>
  <si>
    <t>A0041002</t>
  </si>
  <si>
    <t xml:space="preserve">Oficial  Obrero (3) Cuadrilla de un oficial y 3 Obreros. </t>
  </si>
  <si>
    <t>A0040020</t>
  </si>
  <si>
    <t>Oficial (2)</t>
  </si>
  <si>
    <t>A0040030</t>
  </si>
  <si>
    <t>Oficial (3)</t>
  </si>
  <si>
    <t>A0100050</t>
  </si>
  <si>
    <t>Oficial + 3 Ayudantes (armado e inyección de anclajes)</t>
  </si>
  <si>
    <t>A0090010</t>
  </si>
  <si>
    <t>Topógrafo</t>
  </si>
  <si>
    <t>A0030010</t>
  </si>
  <si>
    <t xml:space="preserve">Obrero </t>
  </si>
  <si>
    <t>Jornal SMMMLV - SMDLV 2025</t>
  </si>
  <si>
    <t>Emulsion asfaltica CRL-1</t>
  </si>
  <si>
    <t>GL</t>
  </si>
  <si>
    <t>TOTAL</t>
  </si>
  <si>
    <t>ADECUACIÓN MANTENIMIENTO Y MEJORAMIENTO DE LA MALLA VIAL Y OBRAS COMPLEMENTARIAS DEL MUNICIPIO DE SANTA ROSA DE OSOS</t>
  </si>
  <si>
    <t>Calculo Administracion y Utilidad</t>
  </si>
  <si>
    <t>ENERO de 2025</t>
  </si>
  <si>
    <t>No.</t>
  </si>
  <si>
    <t>VALOR
MENSUAL</t>
  </si>
  <si>
    <t>% PREST</t>
  </si>
  <si>
    <t>DEDICACIÓN</t>
  </si>
  <si>
    <t>MESES</t>
  </si>
  <si>
    <t>VALOR
PARCIAL</t>
  </si>
  <si>
    <t>PERSONAL PROFESIONAL Y  TÉCNICO</t>
  </si>
  <si>
    <t>Profesional en ingenieria civil</t>
  </si>
  <si>
    <t>ESTAMPILLAS Y RETENCIONES</t>
  </si>
  <si>
    <t>POLIZAS</t>
  </si>
  <si>
    <t>PROADULTO</t>
  </si>
  <si>
    <t>PARA LA JUSTICIA FAMILIAR</t>
  </si>
  <si>
    <t>PRODEPORTES</t>
  </si>
  <si>
    <t>PRO CULTURA</t>
  </si>
  <si>
    <t>SOBRETASA BOMBERIL</t>
  </si>
  <si>
    <t>SEGURIDAD</t>
  </si>
  <si>
    <t>SUBTOTAL DE COSTOS DE ADMINISTRACION</t>
  </si>
  <si>
    <t>COSTO DIRECTO (OBRA CIVIL)</t>
  </si>
  <si>
    <t>COSTO DIRECTO (TOTAL)</t>
  </si>
  <si>
    <t>ADMINISTRACION (OBRA CIVIL)</t>
  </si>
  <si>
    <t>SUBTOTAL A.U.</t>
  </si>
  <si>
    <t>TOTAL COSTO DIRECTO OBRA CIVIL + AU</t>
  </si>
  <si>
    <t>ANALISIS DE AU</t>
  </si>
  <si>
    <t>Costo directo total</t>
  </si>
  <si>
    <t>Costo Total Obra</t>
  </si>
  <si>
    <t>Costos de administración de obra</t>
  </si>
  <si>
    <t>PARTICIPACIÓN</t>
  </si>
  <si>
    <t>VALOR UNITARIO</t>
  </si>
  <si>
    <t>VALOR TOTAL</t>
  </si>
  <si>
    <t>Personal de obra</t>
  </si>
  <si>
    <t>meses</t>
  </si>
  <si>
    <t>Total personal de obra</t>
  </si>
  <si>
    <t>Costos de servicios públicos</t>
  </si>
  <si>
    <t>Total costos de servicios públicos</t>
  </si>
  <si>
    <t>Otros gastos generales</t>
  </si>
  <si>
    <t>Total otros - gastos generales</t>
  </si>
  <si>
    <t>Costos de legalización del contrato</t>
  </si>
  <si>
    <t>Total costos de legalización del contrato</t>
  </si>
  <si>
    <t>Costos de impuestos o carga impositiva</t>
  </si>
  <si>
    <t>6.1</t>
  </si>
  <si>
    <t>Pro Adulto Mayor</t>
  </si>
  <si>
    <t>6.2</t>
  </si>
  <si>
    <t xml:space="preserve">Pro Cultura </t>
  </si>
  <si>
    <t>6.4</t>
  </si>
  <si>
    <t>Justicia Familia</t>
  </si>
  <si>
    <t>6.5</t>
  </si>
  <si>
    <t>Sobretasa Bomberil</t>
  </si>
  <si>
    <t>6.6</t>
  </si>
  <si>
    <t>Pro deportes</t>
  </si>
  <si>
    <t>6.7</t>
  </si>
  <si>
    <t>Fondo seguridad</t>
  </si>
  <si>
    <t>Total costos de impuestos</t>
  </si>
  <si>
    <t>administración</t>
  </si>
  <si>
    <t>utilidad</t>
  </si>
  <si>
    <t>Total Retenciones</t>
  </si>
  <si>
    <t>AU</t>
  </si>
  <si>
    <t>Voqueta</t>
  </si>
  <si>
    <t>HONORARIOS EDUNA</t>
  </si>
  <si>
    <t>IVA SOBRE HONORARIOS</t>
  </si>
  <si>
    <t>TOTAL HONORARIOS EDUNA</t>
  </si>
  <si>
    <t>TOTAL MANTENIMIENTO MALLA VIAL</t>
  </si>
  <si>
    <t>ingeniero civil</t>
  </si>
  <si>
    <t>Transporte, riego y compactacion de material reciclado proveniente de fresado de asfalto para parcheos de vias en espesores varios.</t>
  </si>
  <si>
    <t>Transporte</t>
  </si>
  <si>
    <t>Ayudante entendido</t>
  </si>
  <si>
    <t>MANTENIMIENTO DE VIAS MEDIANTE REPARCHEO EN PUNTOS CRITICOS DEL AREA URBANA DEL MUNICIPIO DE SANTA ROSA DE OSOS,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</si>
</sst>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[$$-240A]\ * #,##0.00_);_([$$-240A]\ * \(#,##0.00\);_([$$-240A]\ * &quot;-&quot;??_);_(@_)"/>
    <numFmt numFmtId="165" formatCode="0.000"/>
    <numFmt numFmtId="166" formatCode="_(&quot;$&quot;\ * #,##0.00_);_(&quot;$&quot;\ * \(#,##0.00\);_(&quot;$&quot;\ * &quot;-&quot;??_);_(@_)"/>
    <numFmt numFmtId="167" formatCode="&quot;$&quot;\ #,##0.00"/>
    <numFmt numFmtId="168" formatCode="#,##0.0"/>
    <numFmt numFmtId="169" formatCode="&quot;$&quot;\ #,##0"/>
    <numFmt numFmtId="170" formatCode="0.0%"/>
    <numFmt numFmtId="171" formatCode="_-&quot;$&quot;* #,##0.00_-;\-&quot;$&quot;* #,##0.00_-;_-&quot;$&quot;* &quot;-&quot;??_-;_-@_-"/>
    <numFmt numFmtId="172" formatCode="_-&quot;$&quot;* #,##0_-;\-&quot;$&quot;* #,##0_-;_-&quot;$&quot;* &quot;-&quot;??_-;_-@_-"/>
    <numFmt numFmtId="173" formatCode="_(&quot;$&quot;* #,##0.00_);_(&quot;$&quot;* \(#,##0.00\);_(&quot;$&quot;* &quot;-&quot;??_);_(@_)"/>
    <numFmt numFmtId="174" formatCode="0.0"/>
    <numFmt numFmtId="175" formatCode="0.00000%"/>
    <numFmt numFmtId="176" formatCode="_-[$$-240A]\ * #,##0.00_-;\-[$$-240A]\ * #,##0.00_-;_-[$$-240A]\ * &quot;-&quot;??_-;_-@_-"/>
    <numFmt numFmtId="177" formatCode="_(&quot;$&quot;\ * #,##0_);_(&quot;$&quot;\ * \(#,##0\);_(&quot;$&quot;\ * &quot;-&quot;??_);_(@_)"/>
    <numFmt numFmtId="178" formatCode="#,##0.0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11"/>
      <name val="Aptos Narrow"/>
      <family val="2"/>
      <scheme val="minor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indexed="8"/>
      <name val="Calibri"/>
      <family val="2"/>
    </font>
    <font>
      <sz val="10"/>
      <name val="Gill Sans MT"/>
      <family val="2"/>
    </font>
    <font>
      <sz val="11"/>
      <name val="Gill Sans MT"/>
      <family val="2"/>
    </font>
    <font>
      <b/>
      <sz val="10"/>
      <name val="Gill Sans MT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8"/>
      <name val="Arial Narrow"/>
      <family val="2"/>
    </font>
    <font>
      <b/>
      <sz val="18"/>
      <color indexed="8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  <font>
      <sz val="10"/>
      <name val="MS Sans Serif"/>
      <family val="2"/>
    </font>
    <font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8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8"/>
      </patternFill>
    </fill>
  </fills>
  <borders count="6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B2B2B2"/>
      </left>
      <right style="thick">
        <color rgb="FFB2B2B2"/>
      </right>
      <top style="thick">
        <color rgb="FFB2B2B2"/>
      </top>
      <bottom style="thick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2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2" fillId="0" borderId="0"/>
  </cellStyleXfs>
  <cellXfs count="375">
    <xf numFmtId="0" fontId="0" fillId="0" borderId="0" xfId="0"/>
    <xf numFmtId="1" fontId="3" fillId="0" borderId="2" xfId="8" applyNumberFormat="1" applyFont="1" applyFill="1" applyBorder="1" applyAlignment="1">
      <alignment horizontal="center"/>
    </xf>
    <xf numFmtId="164" fontId="3" fillId="0" borderId="2" xfId="2" applyNumberFormat="1" applyFont="1" applyFill="1" applyBorder="1"/>
    <xf numFmtId="9" fontId="3" fillId="0" borderId="2" xfId="8" applyFont="1" applyFill="1" applyBorder="1" applyAlignment="1">
      <alignment horizontal="center"/>
    </xf>
    <xf numFmtId="0" fontId="0" fillId="8" borderId="53" xfId="5" applyFont="1" applyFill="1" applyBorder="1" applyAlignment="1" applyProtection="1">
      <alignment horizontal="center" vertical="center"/>
    </xf>
    <xf numFmtId="0" fontId="8" fillId="8" borderId="53" xfId="5" applyFont="1" applyFill="1" applyBorder="1" applyAlignment="1" applyProtection="1">
      <alignment horizontal="center" vertical="center" wrapText="1"/>
    </xf>
    <xf numFmtId="0" fontId="8" fillId="8" borderId="53" xfId="5" applyFont="1" applyFill="1" applyBorder="1" applyAlignment="1" applyProtection="1">
      <alignment wrapText="1"/>
    </xf>
    <xf numFmtId="167" fontId="8" fillId="8" borderId="53" xfId="5" applyNumberFormat="1" applyFont="1" applyFill="1" applyBorder="1" applyAlignment="1" applyProtection="1">
      <alignment horizontal="center"/>
    </xf>
    <xf numFmtId="0" fontId="0" fillId="4" borderId="53" xfId="5" applyFont="1" applyFill="1" applyBorder="1" applyProtection="1"/>
    <xf numFmtId="0" fontId="0" fillId="4" borderId="53" xfId="5" applyFont="1" applyFill="1" applyBorder="1" applyAlignment="1" applyProtection="1">
      <alignment horizontal="center" vertical="center" wrapText="1"/>
    </xf>
    <xf numFmtId="0" fontId="0" fillId="4" borderId="53" xfId="5" applyFont="1" applyFill="1" applyBorder="1" applyAlignment="1" applyProtection="1">
      <alignment wrapText="1"/>
    </xf>
    <xf numFmtId="3" fontId="8" fillId="4" borderId="53" xfId="5" applyNumberFormat="1" applyFont="1" applyFill="1" applyBorder="1" applyProtection="1"/>
    <xf numFmtId="0" fontId="8" fillId="4" borderId="53" xfId="5" applyFont="1" applyFill="1" applyBorder="1" applyProtection="1"/>
    <xf numFmtId="0" fontId="8" fillId="4" borderId="53" xfId="5" applyFont="1" applyFill="1" applyBorder="1" applyAlignment="1" applyProtection="1">
      <alignment horizontal="center" vertical="center" wrapText="1"/>
    </xf>
    <xf numFmtId="0" fontId="8" fillId="4" borderId="53" xfId="5" applyFont="1" applyFill="1" applyBorder="1" applyAlignment="1" applyProtection="1">
      <alignment wrapText="1"/>
    </xf>
    <xf numFmtId="44" fontId="8" fillId="4" borderId="53" xfId="2" applyFont="1" applyFill="1" applyBorder="1" applyProtection="1">
      <protection locked="0"/>
    </xf>
    <xf numFmtId="167" fontId="0" fillId="0" borderId="0" xfId="0" applyNumberFormat="1"/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3" fontId="8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3" fontId="0" fillId="0" borderId="0" xfId="0" applyNumberFormat="1"/>
    <xf numFmtId="0" fontId="3" fillId="0" borderId="0" xfId="15"/>
    <xf numFmtId="0" fontId="11" fillId="0" borderId="0" xfId="15" applyFont="1"/>
    <xf numFmtId="10" fontId="3" fillId="0" borderId="0" xfId="15" applyNumberFormat="1"/>
    <xf numFmtId="0" fontId="10" fillId="0" borderId="21" xfId="15" applyFont="1" applyBorder="1" applyAlignment="1">
      <alignment horizontal="center"/>
    </xf>
    <xf numFmtId="0" fontId="12" fillId="0" borderId="0" xfId="15" applyFont="1" applyAlignment="1">
      <alignment horizontal="center" vertical="center"/>
    </xf>
    <xf numFmtId="0" fontId="10" fillId="0" borderId="22" xfId="15" applyFont="1" applyBorder="1" applyAlignment="1">
      <alignment horizontal="center"/>
    </xf>
    <xf numFmtId="0" fontId="13" fillId="5" borderId="56" xfId="16" applyFont="1" applyFill="1" applyBorder="1" applyAlignment="1">
      <alignment horizontal="center" vertical="center" wrapText="1"/>
    </xf>
    <xf numFmtId="0" fontId="13" fillId="5" borderId="57" xfId="16" applyFont="1" applyFill="1" applyBorder="1" applyAlignment="1">
      <alignment horizontal="center" vertical="center" wrapText="1"/>
    </xf>
    <xf numFmtId="0" fontId="14" fillId="5" borderId="57" xfId="16" applyFont="1" applyFill="1" applyBorder="1" applyAlignment="1">
      <alignment horizontal="center" vertical="center" wrapText="1"/>
    </xf>
    <xf numFmtId="3" fontId="13" fillId="5" borderId="57" xfId="16" applyNumberFormat="1" applyFont="1" applyFill="1" applyBorder="1" applyAlignment="1">
      <alignment horizontal="center" vertical="center" wrapText="1"/>
    </xf>
    <xf numFmtId="1" fontId="13" fillId="5" borderId="57" xfId="16" applyNumberFormat="1" applyFont="1" applyFill="1" applyBorder="1" applyAlignment="1">
      <alignment horizontal="center" vertical="center" wrapText="1"/>
    </xf>
    <xf numFmtId="166" fontId="13" fillId="5" borderId="58" xfId="17" applyFont="1" applyFill="1" applyBorder="1" applyAlignment="1">
      <alignment horizontal="center" vertical="center" wrapText="1"/>
    </xf>
    <xf numFmtId="0" fontId="13" fillId="0" borderId="59" xfId="16" applyFont="1" applyBorder="1" applyAlignment="1">
      <alignment horizontal="center" vertical="center" wrapText="1"/>
    </xf>
    <xf numFmtId="0" fontId="13" fillId="0" borderId="12" xfId="16" applyFont="1" applyBorder="1" applyAlignment="1">
      <alignment horizontal="left" vertical="center" wrapText="1"/>
    </xf>
    <xf numFmtId="0" fontId="13" fillId="0" borderId="12" xfId="16" applyFont="1" applyBorder="1" applyAlignment="1">
      <alignment horizontal="center" vertical="center" wrapText="1"/>
    </xf>
    <xf numFmtId="3" fontId="13" fillId="0" borderId="12" xfId="16" applyNumberFormat="1" applyFont="1" applyBorder="1" applyAlignment="1">
      <alignment horizontal="center" vertical="center" wrapText="1"/>
    </xf>
    <xf numFmtId="1" fontId="13" fillId="0" borderId="12" xfId="16" applyNumberFormat="1" applyFont="1" applyBorder="1" applyAlignment="1">
      <alignment horizontal="center" vertical="center" wrapText="1"/>
    </xf>
    <xf numFmtId="166" fontId="13" fillId="0" borderId="43" xfId="17" applyFont="1" applyFill="1" applyBorder="1" applyAlignment="1">
      <alignment horizontal="center" vertical="center" wrapText="1"/>
    </xf>
    <xf numFmtId="0" fontId="13" fillId="5" borderId="26" xfId="16" applyFont="1" applyFill="1" applyBorder="1" applyAlignment="1">
      <alignment horizontal="center" vertical="center" wrapText="1"/>
    </xf>
    <xf numFmtId="0" fontId="13" fillId="5" borderId="2" xfId="16" applyFont="1" applyFill="1" applyBorder="1" applyAlignment="1">
      <alignment horizontal="left" vertical="center" wrapText="1"/>
    </xf>
    <xf numFmtId="0" fontId="14" fillId="5" borderId="2" xfId="16" applyFont="1" applyFill="1" applyBorder="1" applyAlignment="1">
      <alignment horizontal="center" vertical="center" wrapText="1"/>
    </xf>
    <xf numFmtId="3" fontId="13" fillId="5" borderId="2" xfId="16" applyNumberFormat="1" applyFont="1" applyFill="1" applyBorder="1" applyAlignment="1">
      <alignment horizontal="center" vertical="center" wrapText="1"/>
    </xf>
    <xf numFmtId="0" fontId="13" fillId="5" borderId="2" xfId="16" applyFont="1" applyFill="1" applyBorder="1" applyAlignment="1">
      <alignment horizontal="center" vertical="center" wrapText="1"/>
    </xf>
    <xf numFmtId="1" fontId="13" fillId="5" borderId="2" xfId="16" applyNumberFormat="1" applyFont="1" applyFill="1" applyBorder="1" applyAlignment="1">
      <alignment horizontal="center" vertical="center" wrapText="1"/>
    </xf>
    <xf numFmtId="166" fontId="13" fillId="5" borderId="27" xfId="17" applyFont="1" applyFill="1" applyBorder="1" applyAlignment="1">
      <alignment horizontal="center" vertical="center" wrapText="1"/>
    </xf>
    <xf numFmtId="0" fontId="13" fillId="0" borderId="26" xfId="16" applyFont="1" applyBorder="1" applyAlignment="1">
      <alignment horizontal="right" vertical="center" wrapText="1"/>
    </xf>
    <xf numFmtId="0" fontId="15" fillId="0" borderId="2" xfId="16" applyFont="1" applyBorder="1" applyAlignment="1">
      <alignment horizontal="left" vertical="center" wrapText="1"/>
    </xf>
    <xf numFmtId="0" fontId="15" fillId="0" borderId="2" xfId="16" applyFont="1" applyBorder="1" applyAlignment="1">
      <alignment horizontal="center" vertical="center" wrapText="1"/>
    </xf>
    <xf numFmtId="169" fontId="15" fillId="0" borderId="2" xfId="16" applyNumberFormat="1" applyFont="1" applyBorder="1" applyAlignment="1">
      <alignment horizontal="center" vertical="center" wrapText="1"/>
    </xf>
    <xf numFmtId="165" fontId="15" fillId="0" borderId="2" xfId="18" applyNumberFormat="1" applyFont="1" applyFill="1" applyBorder="1" applyAlignment="1">
      <alignment horizontal="center" vertical="center" wrapText="1"/>
    </xf>
    <xf numFmtId="9" fontId="16" fillId="0" borderId="2" xfId="18" applyFont="1" applyFill="1" applyBorder="1" applyAlignment="1">
      <alignment horizontal="center" vertical="center" wrapText="1"/>
    </xf>
    <xf numFmtId="2" fontId="15" fillId="6" borderId="2" xfId="16" applyNumberFormat="1" applyFont="1" applyFill="1" applyBorder="1" applyAlignment="1">
      <alignment horizontal="center" vertical="center" wrapText="1"/>
    </xf>
    <xf numFmtId="169" fontId="15" fillId="6" borderId="27" xfId="17" applyNumberFormat="1" applyFont="1" applyFill="1" applyBorder="1" applyAlignment="1">
      <alignment horizontal="right" vertical="center" wrapText="1"/>
    </xf>
    <xf numFmtId="169" fontId="3" fillId="0" borderId="0" xfId="15" applyNumberFormat="1" applyAlignment="1">
      <alignment wrapText="1"/>
    </xf>
    <xf numFmtId="9" fontId="15" fillId="0" borderId="2" xfId="18" applyFont="1" applyFill="1" applyBorder="1" applyAlignment="1">
      <alignment horizontal="center" vertical="center" wrapText="1"/>
    </xf>
    <xf numFmtId="169" fontId="13" fillId="5" borderId="27" xfId="17" applyNumberFormat="1" applyFont="1" applyFill="1" applyBorder="1" applyAlignment="1">
      <alignment horizontal="right" vertical="center" wrapText="1"/>
    </xf>
    <xf numFmtId="0" fontId="13" fillId="0" borderId="26" xfId="16" applyFont="1" applyBorder="1" applyAlignment="1">
      <alignment horizontal="center" vertical="center" wrapText="1"/>
    </xf>
    <xf numFmtId="0" fontId="15" fillId="0" borderId="60" xfId="16" applyFont="1" applyBorder="1" applyAlignment="1">
      <alignment horizontal="left" vertical="center" wrapText="1"/>
    </xf>
    <xf numFmtId="9" fontId="14" fillId="0" borderId="2" xfId="18" applyFont="1" applyFill="1" applyBorder="1" applyAlignment="1">
      <alignment horizontal="center" vertical="center" wrapText="1"/>
    </xf>
    <xf numFmtId="0" fontId="13" fillId="0" borderId="2" xfId="16" applyFont="1" applyBorder="1" applyAlignment="1">
      <alignment horizontal="center" vertical="center" wrapText="1"/>
    </xf>
    <xf numFmtId="1" fontId="13" fillId="0" borderId="2" xfId="16" applyNumberFormat="1" applyFont="1" applyBorder="1" applyAlignment="1">
      <alignment horizontal="center" vertical="center" wrapText="1"/>
    </xf>
    <xf numFmtId="3" fontId="13" fillId="0" borderId="2" xfId="16" applyNumberFormat="1" applyFont="1" applyBorder="1" applyAlignment="1">
      <alignment horizontal="center" vertical="center" wrapText="1"/>
    </xf>
    <xf numFmtId="169" fontId="13" fillId="0" borderId="27" xfId="17" applyNumberFormat="1" applyFont="1" applyFill="1" applyBorder="1" applyAlignment="1">
      <alignment horizontal="right" vertical="center" wrapText="1"/>
    </xf>
    <xf numFmtId="0" fontId="13" fillId="0" borderId="2" xfId="16" applyFont="1" applyBorder="1" applyAlignment="1">
      <alignment horizontal="left" vertical="center" wrapText="1"/>
    </xf>
    <xf numFmtId="170" fontId="14" fillId="0" borderId="2" xfId="18" applyNumberFormat="1" applyFont="1" applyFill="1" applyBorder="1" applyAlignment="1">
      <alignment horizontal="center" vertical="center" wrapText="1"/>
    </xf>
    <xf numFmtId="171" fontId="3" fillId="0" borderId="0" xfId="15" applyNumberFormat="1"/>
    <xf numFmtId="44" fontId="3" fillId="0" borderId="0" xfId="15" applyNumberFormat="1"/>
    <xf numFmtId="170" fontId="13" fillId="0" borderId="2" xfId="18" applyNumberFormat="1" applyFont="1" applyFill="1" applyBorder="1" applyAlignment="1">
      <alignment horizontal="center" vertical="center" wrapText="1"/>
    </xf>
    <xf numFmtId="4" fontId="13" fillId="0" borderId="2" xfId="16" applyNumberFormat="1" applyFont="1" applyBorder="1" applyAlignment="1">
      <alignment horizontal="center" vertical="center" wrapText="1"/>
    </xf>
    <xf numFmtId="2" fontId="13" fillId="0" borderId="2" xfId="16" applyNumberFormat="1" applyFont="1" applyBorder="1" applyAlignment="1">
      <alignment horizontal="center" vertical="center" wrapText="1"/>
    </xf>
    <xf numFmtId="172" fontId="3" fillId="0" borderId="0" xfId="15" applyNumberFormat="1"/>
    <xf numFmtId="169" fontId="13" fillId="9" borderId="27" xfId="17" applyNumberFormat="1" applyFont="1" applyFill="1" applyBorder="1" applyAlignment="1">
      <alignment horizontal="right" vertical="center" wrapText="1"/>
    </xf>
    <xf numFmtId="42" fontId="3" fillId="0" borderId="0" xfId="3" applyFont="1"/>
    <xf numFmtId="173" fontId="3" fillId="0" borderId="0" xfId="15" applyNumberFormat="1"/>
    <xf numFmtId="0" fontId="16" fillId="0" borderId="2" xfId="16" applyFont="1" applyBorder="1" applyAlignment="1">
      <alignment horizontal="left" vertical="center" wrapText="1"/>
    </xf>
    <xf numFmtId="0" fontId="16" fillId="0" borderId="2" xfId="16" applyFont="1" applyBorder="1" applyAlignment="1">
      <alignment horizontal="center" vertical="center" wrapText="1"/>
    </xf>
    <xf numFmtId="3" fontId="16" fillId="0" borderId="2" xfId="16" applyNumberFormat="1" applyFont="1" applyBorder="1" applyAlignment="1">
      <alignment horizontal="center" vertical="center" wrapText="1"/>
    </xf>
    <xf numFmtId="4" fontId="16" fillId="0" borderId="2" xfId="16" applyNumberFormat="1" applyFont="1" applyBorder="1" applyAlignment="1">
      <alignment horizontal="center" vertical="center" wrapText="1"/>
    </xf>
    <xf numFmtId="2" fontId="16" fillId="0" borderId="2" xfId="16" applyNumberFormat="1" applyFont="1" applyBorder="1" applyAlignment="1">
      <alignment horizontal="center" vertical="center" wrapText="1"/>
    </xf>
    <xf numFmtId="169" fontId="13" fillId="0" borderId="27" xfId="17" applyNumberFormat="1" applyFont="1" applyFill="1" applyBorder="1" applyAlignment="1">
      <alignment horizontal="right" vertical="center"/>
    </xf>
    <xf numFmtId="174" fontId="3" fillId="0" borderId="0" xfId="15" applyNumberFormat="1"/>
    <xf numFmtId="0" fontId="13" fillId="8" borderId="26" xfId="16" applyFont="1" applyFill="1" applyBorder="1" applyAlignment="1">
      <alignment horizontal="right" vertical="center" wrapText="1"/>
    </xf>
    <xf numFmtId="0" fontId="16" fillId="8" borderId="2" xfId="16" applyFont="1" applyFill="1" applyBorder="1" applyAlignment="1">
      <alignment horizontal="left" vertical="center" wrapText="1"/>
    </xf>
    <xf numFmtId="0" fontId="16" fillId="8" borderId="2" xfId="16" applyFont="1" applyFill="1" applyBorder="1" applyAlignment="1">
      <alignment horizontal="center" vertical="center" wrapText="1"/>
    </xf>
    <xf numFmtId="3" fontId="16" fillId="8" borderId="2" xfId="16" applyNumberFormat="1" applyFont="1" applyFill="1" applyBorder="1" applyAlignment="1">
      <alignment horizontal="center" vertical="center" wrapText="1"/>
    </xf>
    <xf numFmtId="4" fontId="16" fillId="8" borderId="2" xfId="16" applyNumberFormat="1" applyFont="1" applyFill="1" applyBorder="1" applyAlignment="1">
      <alignment horizontal="center" vertical="center" wrapText="1"/>
    </xf>
    <xf numFmtId="2" fontId="16" fillId="8" borderId="2" xfId="16" applyNumberFormat="1" applyFont="1" applyFill="1" applyBorder="1" applyAlignment="1">
      <alignment horizontal="center" vertical="center" wrapText="1"/>
    </xf>
    <xf numFmtId="169" fontId="13" fillId="8" borderId="27" xfId="17" applyNumberFormat="1" applyFont="1" applyFill="1" applyBorder="1" applyAlignment="1">
      <alignment horizontal="right" vertical="center"/>
    </xf>
    <xf numFmtId="10" fontId="16" fillId="0" borderId="2" xfId="18" applyNumberFormat="1" applyFont="1" applyFill="1" applyBorder="1" applyAlignment="1">
      <alignment horizontal="center" vertical="center" wrapText="1"/>
    </xf>
    <xf numFmtId="169" fontId="16" fillId="0" borderId="27" xfId="17" applyNumberFormat="1" applyFont="1" applyFill="1" applyBorder="1" applyAlignment="1">
      <alignment horizontal="right" vertical="center" wrapText="1"/>
    </xf>
    <xf numFmtId="3" fontId="3" fillId="0" borderId="0" xfId="15" applyNumberFormat="1"/>
    <xf numFmtId="175" fontId="3" fillId="0" borderId="0" xfId="15" applyNumberFormat="1"/>
    <xf numFmtId="10" fontId="13" fillId="0" borderId="2" xfId="18" applyNumberFormat="1" applyFont="1" applyFill="1" applyBorder="1" applyAlignment="1">
      <alignment horizontal="center" vertical="center" wrapText="1"/>
    </xf>
    <xf numFmtId="0" fontId="13" fillId="5" borderId="55" xfId="16" applyFont="1" applyFill="1" applyBorder="1" applyAlignment="1">
      <alignment horizontal="center" vertical="center" wrapText="1"/>
    </xf>
    <xf numFmtId="0" fontId="13" fillId="5" borderId="50" xfId="16" applyFont="1" applyFill="1" applyBorder="1" applyAlignment="1">
      <alignment horizontal="left" vertical="center" wrapText="1"/>
    </xf>
    <xf numFmtId="0" fontId="14" fillId="5" borderId="50" xfId="16" applyFont="1" applyFill="1" applyBorder="1" applyAlignment="1">
      <alignment horizontal="center" vertical="center" wrapText="1"/>
    </xf>
    <xf numFmtId="3" fontId="13" fillId="5" borderId="50" xfId="16" applyNumberFormat="1" applyFont="1" applyFill="1" applyBorder="1" applyAlignment="1">
      <alignment horizontal="center" vertical="center" wrapText="1"/>
    </xf>
    <xf numFmtId="0" fontId="13" fillId="5" borderId="50" xfId="16" applyFont="1" applyFill="1" applyBorder="1" applyAlignment="1">
      <alignment horizontal="center" vertical="center" wrapText="1"/>
    </xf>
    <xf numFmtId="169" fontId="13" fillId="5" borderId="52" xfId="17" applyNumberFormat="1" applyFont="1" applyFill="1" applyBorder="1" applyAlignment="1">
      <alignment horizontal="right" vertical="center" wrapText="1"/>
    </xf>
    <xf numFmtId="176" fontId="3" fillId="0" borderId="0" xfId="15" applyNumberFormat="1"/>
    <xf numFmtId="4" fontId="3" fillId="0" borderId="0" xfId="15" applyNumberFormat="1"/>
    <xf numFmtId="169" fontId="16" fillId="0" borderId="43" xfId="17" applyNumberFormat="1" applyFont="1" applyFill="1" applyBorder="1" applyAlignment="1">
      <alignment horizontal="right" vertical="center" wrapText="1"/>
    </xf>
    <xf numFmtId="166" fontId="0" fillId="0" borderId="0" xfId="17" applyFont="1"/>
    <xf numFmtId="0" fontId="3" fillId="0" borderId="0" xfId="19" applyAlignment="1" applyProtection="1">
      <alignment horizontal="justify" vertical="center" wrapText="1"/>
      <protection locked="0"/>
    </xf>
    <xf numFmtId="0" fontId="3" fillId="0" borderId="0" xfId="19"/>
    <xf numFmtId="0" fontId="19" fillId="10" borderId="61" xfId="20" applyFont="1" applyFill="1" applyBorder="1" applyAlignment="1">
      <alignment horizontal="center" vertical="center" wrapText="1"/>
    </xf>
    <xf numFmtId="0" fontId="20" fillId="10" borderId="59" xfId="20" applyFont="1" applyFill="1" applyBorder="1" applyAlignment="1">
      <alignment vertical="center" wrapText="1"/>
    </xf>
    <xf numFmtId="0" fontId="19" fillId="10" borderId="12" xfId="20" applyFont="1" applyFill="1" applyBorder="1" applyAlignment="1">
      <alignment vertical="center" wrapText="1"/>
    </xf>
    <xf numFmtId="0" fontId="19" fillId="11" borderId="12" xfId="20" applyFont="1" applyFill="1" applyBorder="1" applyAlignment="1">
      <alignment vertical="center" wrapText="1"/>
    </xf>
    <xf numFmtId="44" fontId="3" fillId="0" borderId="0" xfId="2" applyFont="1"/>
    <xf numFmtId="0" fontId="19" fillId="0" borderId="62" xfId="20" applyFont="1" applyBorder="1" applyAlignment="1">
      <alignment horizontal="center" vertical="center" wrapText="1"/>
    </xf>
    <xf numFmtId="0" fontId="19" fillId="0" borderId="26" xfId="20" applyFont="1" applyBorder="1" applyAlignment="1">
      <alignment vertical="center" wrapText="1"/>
    </xf>
    <xf numFmtId="0" fontId="19" fillId="0" borderId="2" xfId="20" applyFont="1" applyBorder="1" applyAlignment="1">
      <alignment vertical="center" wrapText="1"/>
    </xf>
    <xf numFmtId="177" fontId="19" fillId="0" borderId="27" xfId="20" applyNumberFormat="1" applyFont="1" applyBorder="1" applyAlignment="1">
      <alignment vertical="center" wrapText="1"/>
    </xf>
    <xf numFmtId="1" fontId="20" fillId="10" borderId="62" xfId="20" applyNumberFormat="1" applyFont="1" applyFill="1" applyBorder="1" applyAlignment="1">
      <alignment horizontal="center" vertical="center" wrapText="1"/>
    </xf>
    <xf numFmtId="0" fontId="20" fillId="10" borderId="26" xfId="20" applyFont="1" applyFill="1" applyBorder="1" applyAlignment="1">
      <alignment vertical="center" wrapText="1"/>
    </xf>
    <xf numFmtId="0" fontId="20" fillId="10" borderId="2" xfId="20" applyFont="1" applyFill="1" applyBorder="1" applyAlignment="1">
      <alignment vertical="center" wrapText="1"/>
    </xf>
    <xf numFmtId="0" fontId="19" fillId="10" borderId="2" xfId="20" applyFont="1" applyFill="1" applyBorder="1" applyAlignment="1">
      <alignment vertical="center" wrapText="1"/>
    </xf>
    <xf numFmtId="177" fontId="20" fillId="11" borderId="43" xfId="21" applyNumberFormat="1" applyFont="1" applyFill="1" applyBorder="1" applyAlignment="1">
      <alignment vertical="center" wrapText="1"/>
    </xf>
    <xf numFmtId="177" fontId="19" fillId="10" borderId="27" xfId="20" applyNumberFormat="1" applyFont="1" applyFill="1" applyBorder="1" applyAlignment="1">
      <alignment vertical="center" wrapText="1"/>
    </xf>
    <xf numFmtId="174" fontId="20" fillId="0" borderId="62" xfId="20" applyNumberFormat="1" applyFont="1" applyBorder="1" applyAlignment="1">
      <alignment horizontal="center" vertical="center" wrapText="1"/>
    </xf>
    <xf numFmtId="174" fontId="20" fillId="0" borderId="26" xfId="20" applyNumberFormat="1" applyFont="1" applyBorder="1" applyAlignment="1">
      <alignment vertical="center" wrapText="1"/>
    </xf>
    <xf numFmtId="0" fontId="20" fillId="0" borderId="2" xfId="20" applyFont="1" applyBorder="1" applyAlignment="1">
      <alignment vertical="center" wrapText="1"/>
    </xf>
    <xf numFmtId="174" fontId="19" fillId="10" borderId="62" xfId="20" applyNumberFormat="1" applyFont="1" applyFill="1" applyBorder="1" applyAlignment="1">
      <alignment horizontal="center" vertical="center" wrapText="1"/>
    </xf>
    <xf numFmtId="0" fontId="20" fillId="10" borderId="26" xfId="20" applyFont="1" applyFill="1" applyBorder="1" applyAlignment="1">
      <alignment horizontal="left" vertical="center" wrapText="1"/>
    </xf>
    <xf numFmtId="0" fontId="20" fillId="10" borderId="2" xfId="20" applyFont="1" applyFill="1" applyBorder="1" applyAlignment="1">
      <alignment horizontal="center" vertical="center" wrapText="1"/>
    </xf>
    <xf numFmtId="0" fontId="20" fillId="11" borderId="2" xfId="20" applyFont="1" applyFill="1" applyBorder="1" applyAlignment="1">
      <alignment horizontal="center" vertical="center" wrapText="1"/>
    </xf>
    <xf numFmtId="177" fontId="20" fillId="10" borderId="27" xfId="20" applyNumberFormat="1" applyFont="1" applyFill="1" applyBorder="1" applyAlignment="1">
      <alignment horizontal="center" vertical="center" wrapText="1"/>
    </xf>
    <xf numFmtId="174" fontId="19" fillId="0" borderId="62" xfId="20" applyNumberFormat="1" applyFont="1" applyBorder="1" applyAlignment="1">
      <alignment horizontal="center" vertical="center" wrapText="1"/>
    </xf>
    <xf numFmtId="174" fontId="19" fillId="0" borderId="26" xfId="20" applyNumberFormat="1" applyFont="1" applyBorder="1" applyAlignment="1">
      <alignment vertical="center" wrapText="1"/>
    </xf>
    <xf numFmtId="0" fontId="20" fillId="0" borderId="2" xfId="20" applyFont="1" applyBorder="1" applyAlignment="1">
      <alignment horizontal="center" vertical="center" wrapText="1"/>
    </xf>
    <xf numFmtId="177" fontId="20" fillId="0" borderId="27" xfId="20" applyNumberFormat="1" applyFont="1" applyBorder="1" applyAlignment="1">
      <alignment horizontal="center" vertical="center" wrapText="1"/>
    </xf>
    <xf numFmtId="1" fontId="20" fillId="12" borderId="62" xfId="20" applyNumberFormat="1" applyFont="1" applyFill="1" applyBorder="1" applyAlignment="1">
      <alignment horizontal="center" vertical="center" wrapText="1"/>
    </xf>
    <xf numFmtId="0" fontId="20" fillId="12" borderId="26" xfId="20" applyFont="1" applyFill="1" applyBorder="1" applyAlignment="1">
      <alignment vertical="center" wrapText="1"/>
    </xf>
    <xf numFmtId="0" fontId="19" fillId="12" borderId="2" xfId="20" applyFont="1" applyFill="1" applyBorder="1" applyAlignment="1">
      <alignment vertical="center" wrapText="1"/>
    </xf>
    <xf numFmtId="177" fontId="19" fillId="12" borderId="27" xfId="20" applyNumberFormat="1" applyFont="1" applyFill="1" applyBorder="1" applyAlignment="1">
      <alignment vertical="center" wrapText="1"/>
    </xf>
    <xf numFmtId="0" fontId="3" fillId="12" borderId="0" xfId="19" applyFill="1"/>
    <xf numFmtId="0" fontId="21" fillId="0" borderId="42" xfId="16" applyFont="1" applyBorder="1" applyAlignment="1">
      <alignment horizontal="left" vertical="top" wrapText="1"/>
    </xf>
    <xf numFmtId="0" fontId="19" fillId="0" borderId="2" xfId="20" applyFont="1" applyBorder="1" applyAlignment="1">
      <alignment horizontal="center" vertical="center" wrapText="1"/>
    </xf>
    <xf numFmtId="3" fontId="19" fillId="0" borderId="2" xfId="22" applyNumberFormat="1" applyFont="1" applyFill="1" applyBorder="1" applyAlignment="1">
      <alignment horizontal="center" vertical="center" wrapText="1"/>
    </xf>
    <xf numFmtId="9" fontId="19" fillId="0" borderId="2" xfId="23" applyFont="1" applyFill="1" applyBorder="1" applyAlignment="1">
      <alignment horizontal="center" vertical="center" wrapText="1"/>
    </xf>
    <xf numFmtId="166" fontId="19" fillId="0" borderId="2" xfId="24" applyFont="1" applyFill="1" applyBorder="1" applyAlignment="1">
      <alignment horizontal="center" vertical="center" wrapText="1"/>
    </xf>
    <xf numFmtId="177" fontId="19" fillId="0" borderId="27" xfId="24" applyNumberFormat="1" applyFont="1" applyFill="1" applyBorder="1" applyAlignment="1">
      <alignment horizontal="center" vertical="center" wrapText="1"/>
    </xf>
    <xf numFmtId="0" fontId="15" fillId="0" borderId="42" xfId="16" applyFont="1" applyBorder="1" applyAlignment="1">
      <alignment horizontal="left" vertical="top" wrapText="1"/>
    </xf>
    <xf numFmtId="0" fontId="19" fillId="10" borderId="2" xfId="20" applyFont="1" applyFill="1" applyBorder="1" applyAlignment="1">
      <alignment horizontal="center" vertical="center" wrapText="1"/>
    </xf>
    <xf numFmtId="4" fontId="19" fillId="10" borderId="2" xfId="20" applyNumberFormat="1" applyFont="1" applyFill="1" applyBorder="1" applyAlignment="1">
      <alignment horizontal="center" vertical="center" wrapText="1"/>
    </xf>
    <xf numFmtId="166" fontId="20" fillId="11" borderId="2" xfId="24" applyFont="1" applyFill="1" applyBorder="1" applyAlignment="1">
      <alignment horizontal="center" vertical="center" wrapText="1"/>
    </xf>
    <xf numFmtId="177" fontId="20" fillId="10" borderId="27" xfId="24" applyNumberFormat="1" applyFont="1" applyFill="1" applyBorder="1" applyAlignment="1">
      <alignment horizontal="center" vertical="center" wrapText="1"/>
    </xf>
    <xf numFmtId="177" fontId="3" fillId="0" borderId="0" xfId="19" applyNumberFormat="1"/>
    <xf numFmtId="177" fontId="19" fillId="12" borderId="27" xfId="20" applyNumberFormat="1" applyFont="1" applyFill="1" applyBorder="1" applyAlignment="1">
      <alignment horizontal="center" vertical="center" wrapText="1"/>
    </xf>
    <xf numFmtId="174" fontId="19" fillId="0" borderId="26" xfId="20" applyNumberFormat="1" applyFont="1" applyBorder="1" applyAlignment="1">
      <alignment horizontal="left" vertical="center" wrapText="1"/>
    </xf>
    <xf numFmtId="4" fontId="19" fillId="0" borderId="2" xfId="22" applyNumberFormat="1" applyFont="1" applyFill="1" applyBorder="1" applyAlignment="1">
      <alignment horizontal="center" vertical="center" wrapText="1"/>
    </xf>
    <xf numFmtId="0" fontId="20" fillId="12" borderId="62" xfId="20" applyFont="1" applyFill="1" applyBorder="1" applyAlignment="1">
      <alignment horizontal="center" vertical="center" wrapText="1"/>
    </xf>
    <xf numFmtId="0" fontId="19" fillId="10" borderId="62" xfId="20" applyFont="1" applyFill="1" applyBorder="1" applyAlignment="1">
      <alignment horizontal="center" vertical="center" wrapText="1"/>
    </xf>
    <xf numFmtId="3" fontId="19" fillId="11" borderId="2" xfId="20" applyNumberFormat="1" applyFont="1" applyFill="1" applyBorder="1" applyAlignment="1">
      <alignment vertical="center" wrapText="1"/>
    </xf>
    <xf numFmtId="3" fontId="19" fillId="0" borderId="2" xfId="20" applyNumberFormat="1" applyFont="1" applyBorder="1" applyAlignment="1">
      <alignment vertical="center" wrapText="1"/>
    </xf>
    <xf numFmtId="3" fontId="19" fillId="12" borderId="2" xfId="20" applyNumberFormat="1" applyFont="1" applyFill="1" applyBorder="1" applyAlignment="1">
      <alignment vertical="center" wrapText="1"/>
    </xf>
    <xf numFmtId="178" fontId="19" fillId="0" borderId="2" xfId="20" applyNumberFormat="1" applyFont="1" applyBorder="1" applyAlignment="1">
      <alignment vertical="center" wrapText="1"/>
    </xf>
    <xf numFmtId="10" fontId="19" fillId="0" borderId="2" xfId="18" applyNumberFormat="1" applyFont="1" applyFill="1" applyBorder="1" applyAlignment="1">
      <alignment horizontal="center" vertical="center" wrapText="1"/>
    </xf>
    <xf numFmtId="177" fontId="19" fillId="0" borderId="2" xfId="24" applyNumberFormat="1" applyFont="1" applyFill="1" applyBorder="1" applyAlignment="1">
      <alignment horizontal="center" vertical="center" wrapText="1"/>
    </xf>
    <xf numFmtId="168" fontId="19" fillId="10" borderId="2" xfId="20" applyNumberFormat="1" applyFont="1" applyFill="1" applyBorder="1" applyAlignment="1">
      <alignment vertical="center" wrapText="1"/>
    </xf>
    <xf numFmtId="168" fontId="19" fillId="0" borderId="2" xfId="20" applyNumberFormat="1" applyFont="1" applyBorder="1" applyAlignment="1">
      <alignment vertical="center" wrapText="1"/>
    </xf>
    <xf numFmtId="0" fontId="19" fillId="12" borderId="62" xfId="20" applyFont="1" applyFill="1" applyBorder="1" applyAlignment="1">
      <alignment horizontal="center" vertical="center" wrapText="1"/>
    </xf>
    <xf numFmtId="168" fontId="19" fillId="12" borderId="2" xfId="20" applyNumberFormat="1" applyFont="1" applyFill="1" applyBorder="1" applyAlignment="1">
      <alignment vertical="center" wrapText="1"/>
    </xf>
    <xf numFmtId="10" fontId="19" fillId="12" borderId="2" xfId="25" applyNumberFormat="1" applyFont="1" applyFill="1" applyBorder="1" applyAlignment="1">
      <alignment vertical="center" wrapText="1"/>
    </xf>
    <xf numFmtId="177" fontId="20" fillId="12" borderId="27" xfId="20" applyNumberFormat="1" applyFont="1" applyFill="1" applyBorder="1" applyAlignment="1">
      <alignment vertical="center" wrapText="1"/>
    </xf>
    <xf numFmtId="177" fontId="3" fillId="0" borderId="0" xfId="19" applyNumberFormat="1" applyAlignment="1">
      <alignment vertical="center"/>
    </xf>
    <xf numFmtId="9" fontId="19" fillId="0" borderId="2" xfId="20" applyNumberFormat="1" applyFont="1" applyBorder="1" applyAlignment="1">
      <alignment vertical="center" wrapText="1"/>
    </xf>
    <xf numFmtId="177" fontId="20" fillId="0" borderId="27" xfId="20" applyNumberFormat="1" applyFont="1" applyBorder="1" applyAlignment="1">
      <alignment vertical="center" wrapText="1"/>
    </xf>
    <xf numFmtId="10" fontId="19" fillId="12" borderId="2" xfId="23" applyNumberFormat="1" applyFont="1" applyFill="1" applyBorder="1" applyAlignment="1">
      <alignment vertical="center" wrapText="1"/>
    </xf>
    <xf numFmtId="0" fontId="20" fillId="0" borderId="26" xfId="20" applyFont="1" applyBorder="1" applyAlignment="1">
      <alignment vertical="center" wrapText="1"/>
    </xf>
    <xf numFmtId="10" fontId="19" fillId="0" borderId="2" xfId="23" applyNumberFormat="1" applyFont="1" applyFill="1" applyBorder="1" applyAlignment="1">
      <alignment vertical="center" wrapText="1"/>
    </xf>
    <xf numFmtId="0" fontId="19" fillId="13" borderId="62" xfId="20" applyFont="1" applyFill="1" applyBorder="1" applyAlignment="1">
      <alignment horizontal="center" vertical="center" wrapText="1"/>
    </xf>
    <xf numFmtId="0" fontId="20" fillId="13" borderId="26" xfId="20" applyFont="1" applyFill="1" applyBorder="1" applyAlignment="1">
      <alignment vertical="center" wrapText="1"/>
    </xf>
    <xf numFmtId="0" fontId="19" fillId="13" borderId="2" xfId="20" applyFont="1" applyFill="1" applyBorder="1" applyAlignment="1">
      <alignment vertical="center" wrapText="1"/>
    </xf>
    <xf numFmtId="10" fontId="20" fillId="14" borderId="2" xfId="26" applyNumberFormat="1" applyFont="1" applyFill="1" applyBorder="1" applyAlignment="1">
      <alignment vertical="center" wrapText="1"/>
    </xf>
    <xf numFmtId="177" fontId="20" fillId="13" borderId="27" xfId="20" applyNumberFormat="1" applyFont="1" applyFill="1" applyBorder="1" applyAlignment="1">
      <alignment vertical="center" wrapText="1"/>
    </xf>
    <xf numFmtId="0" fontId="19" fillId="0" borderId="33" xfId="20" applyFont="1" applyBorder="1" applyAlignment="1">
      <alignment horizontal="center" vertical="center" wrapText="1"/>
    </xf>
    <xf numFmtId="0" fontId="19" fillId="0" borderId="55" xfId="20" applyFont="1" applyBorder="1" applyAlignment="1">
      <alignment vertical="center" wrapText="1"/>
    </xf>
    <xf numFmtId="0" fontId="19" fillId="0" borderId="50" xfId="20" applyFont="1" applyBorder="1" applyAlignment="1">
      <alignment vertical="center" wrapText="1"/>
    </xf>
    <xf numFmtId="3" fontId="19" fillId="0" borderId="50" xfId="20" applyNumberFormat="1" applyFont="1" applyBorder="1" applyAlignment="1">
      <alignment vertical="center" wrapText="1"/>
    </xf>
    <xf numFmtId="177" fontId="19" fillId="0" borderId="52" xfId="20" applyNumberFormat="1" applyFont="1" applyBorder="1" applyAlignment="1">
      <alignment vertical="center" wrapText="1"/>
    </xf>
    <xf numFmtId="0" fontId="3" fillId="0" borderId="21" xfId="0" applyFont="1" applyBorder="1"/>
    <xf numFmtId="0" fontId="3" fillId="0" borderId="0" xfId="0" applyFont="1"/>
    <xf numFmtId="0" fontId="3" fillId="0" borderId="22" xfId="0" applyFont="1" applyBorder="1"/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3" fillId="0" borderId="4" xfId="0" applyFont="1" applyBorder="1"/>
    <xf numFmtId="0" fontId="4" fillId="0" borderId="33" xfId="0" applyFont="1" applyBorder="1"/>
    <xf numFmtId="0" fontId="4" fillId="0" borderId="31" xfId="0" applyFont="1" applyBorder="1" applyAlignment="1">
      <alignment horizontal="center"/>
    </xf>
    <xf numFmtId="0" fontId="4" fillId="0" borderId="35" xfId="0" applyFont="1" applyBorder="1" applyAlignment="1">
      <alignment horizontal="right"/>
    </xf>
    <xf numFmtId="0" fontId="4" fillId="0" borderId="36" xfId="0" applyFont="1" applyBorder="1" applyAlignment="1">
      <alignment horizontal="right"/>
    </xf>
    <xf numFmtId="0" fontId="4" fillId="0" borderId="37" xfId="0" applyFont="1" applyBorder="1"/>
    <xf numFmtId="0" fontId="3" fillId="0" borderId="10" xfId="0" applyFont="1" applyBorder="1"/>
    <xf numFmtId="0" fontId="3" fillId="0" borderId="11" xfId="0" applyFont="1" applyBorder="1"/>
    <xf numFmtId="0" fontId="4" fillId="0" borderId="21" xfId="0" applyFont="1" applyBorder="1"/>
    <xf numFmtId="0" fontId="3" fillId="0" borderId="13" xfId="0" applyFont="1" applyBorder="1"/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3" fillId="0" borderId="41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164" fontId="3" fillId="0" borderId="12" xfId="0" applyNumberFormat="1" applyFont="1" applyBorder="1" applyAlignment="1">
      <alignment horizontal="right"/>
    </xf>
    <xf numFmtId="165" fontId="3" fillId="0" borderId="7" xfId="0" applyNumberFormat="1" applyFont="1" applyBorder="1" applyAlignment="1">
      <alignment horizontal="right"/>
    </xf>
    <xf numFmtId="165" fontId="3" fillId="0" borderId="39" xfId="0" applyNumberFormat="1" applyFont="1" applyBorder="1" applyAlignment="1">
      <alignment horizontal="right"/>
    </xf>
    <xf numFmtId="164" fontId="3" fillId="0" borderId="43" xfId="0" applyNumberFormat="1" applyFont="1" applyBorder="1" applyAlignment="1">
      <alignment horizontal="right"/>
    </xf>
    <xf numFmtId="165" fontId="3" fillId="0" borderId="42" xfId="0" applyNumberFormat="1" applyFont="1" applyBorder="1" applyAlignment="1">
      <alignment horizontal="right"/>
    </xf>
    <xf numFmtId="0" fontId="3" fillId="0" borderId="9" xfId="0" applyFont="1" applyBorder="1"/>
    <xf numFmtId="0" fontId="3" fillId="0" borderId="45" xfId="0" applyFont="1" applyBorder="1"/>
    <xf numFmtId="4" fontId="3" fillId="0" borderId="2" xfId="0" applyNumberFormat="1" applyFont="1" applyBorder="1" applyAlignment="1">
      <alignment horizontal="right"/>
    </xf>
    <xf numFmtId="165" fontId="3" fillId="0" borderId="9" xfId="0" applyNumberFormat="1" applyFont="1" applyBorder="1" applyAlignment="1">
      <alignment horizontal="right"/>
    </xf>
    <xf numFmtId="165" fontId="3" fillId="0" borderId="45" xfId="0" applyNumberFormat="1" applyFont="1" applyBorder="1" applyAlignment="1">
      <alignment horizontal="right"/>
    </xf>
    <xf numFmtId="4" fontId="3" fillId="0" borderId="27" xfId="0" applyNumberFormat="1" applyFont="1" applyBorder="1" applyAlignment="1">
      <alignment horizontal="right"/>
    </xf>
    <xf numFmtId="0" fontId="3" fillId="0" borderId="25" xfId="0" applyFont="1" applyBorder="1" applyAlignment="1">
      <alignment horizontal="center"/>
    </xf>
    <xf numFmtId="2" fontId="3" fillId="0" borderId="2" xfId="0" applyNumberFormat="1" applyFont="1" applyBorder="1"/>
    <xf numFmtId="9" fontId="3" fillId="0" borderId="45" xfId="4" applyFont="1" applyFill="1" applyBorder="1" applyAlignment="1">
      <alignment horizontal="left"/>
    </xf>
    <xf numFmtId="4" fontId="3" fillId="0" borderId="27" xfId="7" applyNumberFormat="1" applyBorder="1"/>
    <xf numFmtId="0" fontId="3" fillId="0" borderId="14" xfId="0" applyFont="1" applyBorder="1"/>
    <xf numFmtId="0" fontId="3" fillId="0" borderId="47" xfId="0" applyFont="1" applyBorder="1" applyAlignment="1">
      <alignment horizontal="center"/>
    </xf>
    <xf numFmtId="4" fontId="3" fillId="0" borderId="15" xfId="0" applyNumberFormat="1" applyFont="1" applyBorder="1"/>
    <xf numFmtId="164" fontId="3" fillId="0" borderId="31" xfId="0" applyNumberFormat="1" applyFont="1" applyBorder="1"/>
    <xf numFmtId="0" fontId="4" fillId="0" borderId="41" xfId="0" applyFont="1" applyBorder="1"/>
    <xf numFmtId="0" fontId="3" fillId="0" borderId="25" xfId="0" applyFont="1" applyBorder="1"/>
    <xf numFmtId="0" fontId="3" fillId="0" borderId="48" xfId="0" applyFont="1" applyBorder="1"/>
    <xf numFmtId="0" fontId="3" fillId="0" borderId="23" xfId="0" applyFont="1" applyBorder="1"/>
    <xf numFmtId="0" fontId="3" fillId="0" borderId="49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5" fontId="3" fillId="0" borderId="12" xfId="0" applyNumberFormat="1" applyFont="1" applyBorder="1" applyAlignment="1">
      <alignment horizontal="right"/>
    </xf>
    <xf numFmtId="44" fontId="3" fillId="0" borderId="39" xfId="2" applyFont="1" applyFill="1" applyBorder="1" applyAlignment="1">
      <alignment horizontal="right"/>
    </xf>
    <xf numFmtId="2" fontId="3" fillId="0" borderId="39" xfId="0" applyNumberFormat="1" applyFont="1" applyBorder="1" applyAlignment="1">
      <alignment horizontal="right"/>
    </xf>
    <xf numFmtId="2" fontId="3" fillId="0" borderId="43" xfId="0" applyNumberFormat="1" applyFont="1" applyBorder="1" applyAlignment="1">
      <alignment horizontal="right"/>
    </xf>
    <xf numFmtId="0" fontId="3" fillId="0" borderId="2" xfId="0" applyFont="1" applyBorder="1"/>
    <xf numFmtId="0" fontId="3" fillId="0" borderId="44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27" xfId="0" applyFont="1" applyBorder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41" xfId="7" applyBorder="1"/>
    <xf numFmtId="2" fontId="3" fillId="0" borderId="25" xfId="0" applyNumberFormat="1" applyFont="1" applyBorder="1"/>
    <xf numFmtId="164" fontId="3" fillId="0" borderId="42" xfId="0" applyNumberFormat="1" applyFont="1" applyBorder="1" applyAlignment="1">
      <alignment horizontal="right"/>
    </xf>
    <xf numFmtId="164" fontId="3" fillId="0" borderId="27" xfId="0" applyNumberFormat="1" applyFont="1" applyBorder="1"/>
    <xf numFmtId="2" fontId="3" fillId="0" borderId="9" xfId="0" applyNumberFormat="1" applyFont="1" applyBorder="1" applyAlignment="1">
      <alignment horizontal="right"/>
    </xf>
    <xf numFmtId="2" fontId="3" fillId="0" borderId="45" xfId="0" applyNumberFormat="1" applyFont="1" applyBorder="1" applyAlignment="1">
      <alignment horizontal="right"/>
    </xf>
    <xf numFmtId="2" fontId="3" fillId="0" borderId="27" xfId="0" applyNumberFormat="1" applyFont="1" applyBorder="1"/>
    <xf numFmtId="0" fontId="3" fillId="0" borderId="34" xfId="0" applyFont="1" applyBorder="1"/>
    <xf numFmtId="0" fontId="3" fillId="0" borderId="35" xfId="0" applyFont="1" applyBorder="1"/>
    <xf numFmtId="0" fontId="3" fillId="0" borderId="50" xfId="0" applyFont="1" applyBorder="1"/>
    <xf numFmtId="2" fontId="3" fillId="0" borderId="47" xfId="0" applyNumberFormat="1" applyFont="1" applyBorder="1" applyAlignment="1">
      <alignment horizontal="right"/>
    </xf>
    <xf numFmtId="0" fontId="3" fillId="0" borderId="52" xfId="0" applyFont="1" applyBorder="1"/>
    <xf numFmtId="164" fontId="3" fillId="0" borderId="51" xfId="0" applyNumberFormat="1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0" borderId="37" xfId="0" applyFont="1" applyBorder="1"/>
    <xf numFmtId="164" fontId="3" fillId="0" borderId="2" xfId="0" applyNumberFormat="1" applyFont="1" applyBorder="1"/>
    <xf numFmtId="0" fontId="3" fillId="0" borderId="7" xfId="0" applyFont="1" applyBorder="1" applyAlignment="1">
      <alignment horizontal="center"/>
    </xf>
    <xf numFmtId="4" fontId="3" fillId="0" borderId="25" xfId="7" applyNumberFormat="1" applyBorder="1"/>
    <xf numFmtId="164" fontId="3" fillId="0" borderId="27" xfId="7" applyNumberFormat="1" applyBorder="1"/>
    <xf numFmtId="164" fontId="0" fillId="0" borderId="0" xfId="0" applyNumberFormat="1"/>
    <xf numFmtId="2" fontId="3" fillId="0" borderId="8" xfId="0" applyNumberFormat="1" applyFont="1" applyBorder="1" applyAlignment="1">
      <alignment horizontal="right"/>
    </xf>
    <xf numFmtId="4" fontId="3" fillId="0" borderId="2" xfId="7" applyNumberFormat="1" applyBorder="1"/>
    <xf numFmtId="2" fontId="3" fillId="0" borderId="25" xfId="0" applyNumberFormat="1" applyFont="1" applyBorder="1" applyAlignment="1">
      <alignment horizontal="right"/>
    </xf>
    <xf numFmtId="0" fontId="3" fillId="0" borderId="50" xfId="0" applyFont="1" applyBorder="1" applyAlignment="1">
      <alignment horizontal="center"/>
    </xf>
    <xf numFmtId="4" fontId="3" fillId="0" borderId="31" xfId="7" applyNumberFormat="1" applyBorder="1"/>
    <xf numFmtId="4" fontId="3" fillId="0" borderId="31" xfId="0" applyNumberFormat="1" applyFont="1" applyBorder="1"/>
    <xf numFmtId="43" fontId="3" fillId="0" borderId="12" xfId="1" applyFont="1" applyBorder="1" applyAlignment="1">
      <alignment horizontal="right"/>
    </xf>
    <xf numFmtId="9" fontId="3" fillId="0" borderId="2" xfId="4" applyFont="1" applyFill="1" applyBorder="1" applyAlignment="1">
      <alignment horizont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2" fillId="0" borderId="2" xfId="0" applyFont="1" applyBorder="1" applyAlignment="1">
      <alignment vertical="center"/>
    </xf>
    <xf numFmtId="43" fontId="0" fillId="0" borderId="0" xfId="0" applyNumberFormat="1" applyAlignment="1">
      <alignment vertical="center"/>
    </xf>
    <xf numFmtId="167" fontId="0" fillId="0" borderId="2" xfId="1" applyNumberFormat="1" applyFon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4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13" fillId="3" borderId="44" xfId="6" applyFont="1" applyFill="1" applyBorder="1" applyAlignment="1">
      <alignment horizontal="center" vertical="center" wrapText="1" shrinkToFit="1"/>
    </xf>
    <xf numFmtId="0" fontId="13" fillId="3" borderId="25" xfId="6" applyFont="1" applyFill="1" applyBorder="1" applyAlignment="1">
      <alignment horizontal="center" vertical="center" wrapText="1" shrinkToFit="1"/>
    </xf>
    <xf numFmtId="0" fontId="13" fillId="3" borderId="42" xfId="6" applyFont="1" applyFill="1" applyBorder="1" applyAlignment="1">
      <alignment horizontal="center" vertical="center" wrapText="1" shrinkToFit="1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3" fillId="0" borderId="41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3" fillId="0" borderId="44" xfId="0" applyFont="1" applyBorder="1"/>
    <xf numFmtId="0" fontId="3" fillId="0" borderId="42" xfId="0" applyFont="1" applyBorder="1"/>
    <xf numFmtId="165" fontId="3" fillId="0" borderId="44" xfId="0" applyNumberFormat="1" applyFont="1" applyBorder="1" applyAlignment="1">
      <alignment horizontal="right"/>
    </xf>
    <xf numFmtId="165" fontId="3" fillId="0" borderId="42" xfId="0" applyNumberFormat="1" applyFont="1" applyBorder="1" applyAlignment="1">
      <alignment horizontal="right"/>
    </xf>
    <xf numFmtId="0" fontId="4" fillId="0" borderId="34" xfId="0" applyFont="1" applyBorder="1" applyAlignment="1">
      <alignment horizontal="center" wrapText="1"/>
    </xf>
    <xf numFmtId="0" fontId="4" fillId="0" borderId="35" xfId="0" applyFont="1" applyBorder="1" applyAlignment="1">
      <alignment horizontal="center" wrapText="1"/>
    </xf>
    <xf numFmtId="0" fontId="4" fillId="0" borderId="36" xfId="0" applyFont="1" applyBorder="1" applyAlignment="1">
      <alignment horizontal="center" wrapText="1"/>
    </xf>
    <xf numFmtId="2" fontId="3" fillId="0" borderId="46" xfId="0" applyNumberFormat="1" applyFont="1" applyBorder="1" applyAlignment="1">
      <alignment horizontal="right"/>
    </xf>
    <xf numFmtId="2" fontId="3" fillId="0" borderId="47" xfId="0" applyNumberFormat="1" applyFont="1" applyBorder="1" applyAlignment="1">
      <alignment horizontal="right"/>
    </xf>
    <xf numFmtId="0" fontId="3" fillId="0" borderId="41" xfId="7" applyBorder="1" applyAlignment="1">
      <alignment horizontal="left"/>
    </xf>
    <xf numFmtId="0" fontId="3" fillId="0" borderId="25" xfId="7" applyBorder="1" applyAlignment="1">
      <alignment horizontal="left"/>
    </xf>
    <xf numFmtId="0" fontId="3" fillId="0" borderId="46" xfId="0" applyFont="1" applyBorder="1"/>
    <xf numFmtId="0" fontId="3" fillId="0" borderId="47" xfId="0" applyFont="1" applyBorder="1"/>
    <xf numFmtId="9" fontId="3" fillId="0" borderId="46" xfId="0" applyNumberFormat="1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4" fillId="0" borderId="16" xfId="0" applyFont="1" applyBorder="1" applyAlignment="1">
      <alignment horizontal="right"/>
    </xf>
    <xf numFmtId="0" fontId="4" fillId="0" borderId="17" xfId="0" applyFont="1" applyBorder="1" applyAlignment="1">
      <alignment horizontal="right"/>
    </xf>
    <xf numFmtId="0" fontId="4" fillId="0" borderId="18" xfId="0" applyFont="1" applyBorder="1" applyAlignment="1">
      <alignment horizontal="right"/>
    </xf>
    <xf numFmtId="0" fontId="3" fillId="0" borderId="41" xfId="0" applyFont="1" applyBorder="1"/>
    <xf numFmtId="0" fontId="3" fillId="0" borderId="25" xfId="0" applyFont="1" applyBorder="1"/>
    <xf numFmtId="0" fontId="3" fillId="0" borderId="44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4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64" fontId="3" fillId="0" borderId="44" xfId="0" applyNumberFormat="1" applyFont="1" applyBorder="1" applyAlignment="1">
      <alignment horizontal="right"/>
    </xf>
    <xf numFmtId="164" fontId="3" fillId="0" borderId="42" xfId="0" applyNumberFormat="1" applyFont="1" applyBorder="1" applyAlignment="1">
      <alignment horizontal="right"/>
    </xf>
    <xf numFmtId="0" fontId="4" fillId="0" borderId="23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24" xfId="0" applyFont="1" applyBorder="1" applyAlignment="1">
      <alignment horizontal="right"/>
    </xf>
    <xf numFmtId="0" fontId="4" fillId="0" borderId="2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4" xfId="0" applyFont="1" applyBorder="1"/>
    <xf numFmtId="0" fontId="3" fillId="0" borderId="35" xfId="0" applyFont="1" applyBorder="1"/>
    <xf numFmtId="0" fontId="3" fillId="0" borderId="50" xfId="0" applyFont="1" applyBorder="1" applyAlignment="1">
      <alignment horizontal="center"/>
    </xf>
    <xf numFmtId="0" fontId="7" fillId="7" borderId="53" xfId="5" applyFont="1" applyFill="1" applyBorder="1" applyAlignment="1" applyProtection="1">
      <alignment horizontal="center" vertical="center"/>
    </xf>
    <xf numFmtId="0" fontId="10" fillId="0" borderId="54" xfId="15" applyFont="1" applyBorder="1" applyAlignment="1">
      <alignment horizontal="center" vertical="center" wrapText="1"/>
    </xf>
    <xf numFmtId="0" fontId="10" fillId="0" borderId="26" xfId="15" applyFont="1" applyBorder="1" applyAlignment="1">
      <alignment horizontal="center" vertical="center" wrapText="1"/>
    </xf>
    <xf numFmtId="0" fontId="4" fillId="0" borderId="2" xfId="15" applyFont="1" applyBorder="1" applyAlignment="1">
      <alignment horizontal="center" vertical="center" wrapText="1"/>
    </xf>
    <xf numFmtId="0" fontId="10" fillId="0" borderId="2" xfId="15" applyFont="1" applyBorder="1" applyAlignment="1">
      <alignment horizontal="center" vertical="center" wrapText="1"/>
    </xf>
    <xf numFmtId="0" fontId="3" fillId="0" borderId="2" xfId="15" applyBorder="1" applyAlignment="1">
      <alignment horizontal="center" vertical="center"/>
    </xf>
    <xf numFmtId="0" fontId="4" fillId="0" borderId="2" xfId="15" applyFont="1" applyBorder="1" applyAlignment="1">
      <alignment horizontal="center" vertical="center"/>
    </xf>
    <xf numFmtId="17" fontId="4" fillId="0" borderId="2" xfId="15" applyNumberFormat="1" applyFont="1" applyBorder="1" applyAlignment="1">
      <alignment horizontal="center" vertical="center"/>
    </xf>
    <xf numFmtId="0" fontId="17" fillId="0" borderId="21" xfId="19" applyFont="1" applyBorder="1" applyAlignment="1" applyProtection="1">
      <alignment horizontal="center" vertical="center" wrapText="1"/>
      <protection locked="0"/>
    </xf>
    <xf numFmtId="0" fontId="17" fillId="0" borderId="0" xfId="19" applyFont="1" applyAlignment="1" applyProtection="1">
      <alignment horizontal="center" vertical="center" wrapText="1"/>
      <protection locked="0"/>
    </xf>
    <xf numFmtId="0" fontId="17" fillId="0" borderId="22" xfId="19" applyFont="1" applyBorder="1" applyAlignment="1" applyProtection="1">
      <alignment horizontal="center" vertical="center" wrapText="1"/>
      <protection locked="0"/>
    </xf>
    <xf numFmtId="0" fontId="17" fillId="0" borderId="23" xfId="19" applyFont="1" applyBorder="1" applyAlignment="1" applyProtection="1">
      <alignment horizontal="center" vertical="center" wrapText="1"/>
      <protection locked="0"/>
    </xf>
    <xf numFmtId="0" fontId="17" fillId="0" borderId="13" xfId="19" applyFont="1" applyBorder="1" applyAlignment="1" applyProtection="1">
      <alignment horizontal="center" vertical="center" wrapText="1"/>
      <protection locked="0"/>
    </xf>
    <xf numFmtId="0" fontId="17" fillId="0" borderId="24" xfId="19" applyFont="1" applyBorder="1" applyAlignment="1" applyProtection="1">
      <alignment horizontal="center" vertical="center" wrapText="1"/>
      <protection locked="0"/>
    </xf>
    <xf numFmtId="0" fontId="18" fillId="10" borderId="16" xfId="19" applyFont="1" applyFill="1" applyBorder="1" applyAlignment="1">
      <alignment horizontal="center" vertical="center" wrapText="1"/>
    </xf>
    <xf numFmtId="0" fontId="18" fillId="10" borderId="17" xfId="19" applyFont="1" applyFill="1" applyBorder="1" applyAlignment="1">
      <alignment horizontal="center" vertical="center" wrapText="1"/>
    </xf>
    <xf numFmtId="0" fontId="18" fillId="10" borderId="18" xfId="19" applyFont="1" applyFill="1" applyBorder="1" applyAlignment="1">
      <alignment horizontal="center" vertical="center" wrapText="1"/>
    </xf>
    <xf numFmtId="0" fontId="23" fillId="0" borderId="19" xfId="19" applyFont="1" applyBorder="1" applyAlignment="1">
      <alignment horizontal="left" wrapText="1"/>
    </xf>
    <xf numFmtId="0" fontId="23" fillId="0" borderId="3" xfId="19" applyFont="1" applyBorder="1" applyAlignment="1">
      <alignment horizontal="left"/>
    </xf>
    <xf numFmtId="0" fontId="23" fillId="0" borderId="6" xfId="19" applyFont="1" applyBorder="1" applyAlignment="1">
      <alignment horizontal="left"/>
    </xf>
    <xf numFmtId="0" fontId="23" fillId="0" borderId="23" xfId="19" applyFont="1" applyBorder="1" applyAlignment="1">
      <alignment horizontal="left"/>
    </xf>
    <xf numFmtId="0" fontId="23" fillId="0" borderId="13" xfId="19" applyFont="1" applyBorder="1" applyAlignment="1">
      <alignment horizontal="left"/>
    </xf>
    <xf numFmtId="0" fontId="23" fillId="0" borderId="24" xfId="19" applyFont="1" applyBorder="1" applyAlignment="1">
      <alignment horizontal="left"/>
    </xf>
    <xf numFmtId="0" fontId="3" fillId="0" borderId="19" xfId="19" applyBorder="1" applyAlignment="1">
      <alignment horizontal="center"/>
    </xf>
    <xf numFmtId="0" fontId="3" fillId="0" borderId="6" xfId="19" applyBorder="1" applyAlignment="1">
      <alignment horizontal="center"/>
    </xf>
    <xf numFmtId="0" fontId="3" fillId="0" borderId="23" xfId="19" applyBorder="1" applyAlignment="1">
      <alignment horizontal="center"/>
    </xf>
    <xf numFmtId="0" fontId="3" fillId="0" borderId="24" xfId="19" applyBorder="1" applyAlignment="1">
      <alignment horizontal="center"/>
    </xf>
  </cellXfs>
  <cellStyles count="27">
    <cellStyle name="Millares" xfId="1" builtinId="3"/>
    <cellStyle name="Millares [0] 2" xfId="13" xr:uid="{00000000-0005-0000-0000-000001000000}"/>
    <cellStyle name="Millares 3 2" xfId="10" xr:uid="{00000000-0005-0000-0000-000002000000}"/>
    <cellStyle name="Millares 4 2" xfId="22" xr:uid="{00000000-0005-0000-0000-000003000000}"/>
    <cellStyle name="Moneda" xfId="2" builtinId="4"/>
    <cellStyle name="Moneda [0]" xfId="3" builtinId="7"/>
    <cellStyle name="Moneda [0] 2" xfId="12" xr:uid="{00000000-0005-0000-0000-000006000000}"/>
    <cellStyle name="Moneda 2 10 2" xfId="24" xr:uid="{00000000-0005-0000-0000-000007000000}"/>
    <cellStyle name="Moneda 2 3" xfId="21" xr:uid="{00000000-0005-0000-0000-000008000000}"/>
    <cellStyle name="Moneda 3" xfId="17" xr:uid="{00000000-0005-0000-0000-000009000000}"/>
    <cellStyle name="Normal" xfId="0" builtinId="0"/>
    <cellStyle name="Normal 10" xfId="19" xr:uid="{00000000-0005-0000-0000-00000B000000}"/>
    <cellStyle name="Normal 14" xfId="7" xr:uid="{00000000-0005-0000-0000-00000C000000}"/>
    <cellStyle name="Normal 14 2" xfId="15" xr:uid="{00000000-0005-0000-0000-00000D000000}"/>
    <cellStyle name="Normal 2" xfId="9" xr:uid="{00000000-0005-0000-0000-00000E000000}"/>
    <cellStyle name="Normal 2_FORMATOS_PARA_ENTREGAR 2" xfId="16" xr:uid="{00000000-0005-0000-0000-00000F000000}"/>
    <cellStyle name="Normal 3 2 2" xfId="11" xr:uid="{00000000-0005-0000-0000-000010000000}"/>
    <cellStyle name="Normal 5 2" xfId="20" xr:uid="{00000000-0005-0000-0000-000011000000}"/>
    <cellStyle name="Normal 5 9" xfId="26" xr:uid="{00000000-0005-0000-0000-000012000000}"/>
    <cellStyle name="Normal_PTO OFICIAL y APU MODELO 2010 (2)" xfId="6" xr:uid="{00000000-0005-0000-0000-000013000000}"/>
    <cellStyle name="Notas" xfId="5" builtinId="10"/>
    <cellStyle name="Porcentaje" xfId="4" builtinId="5"/>
    <cellStyle name="Porcentaje 3 2" xfId="18" xr:uid="{00000000-0005-0000-0000-000016000000}"/>
    <cellStyle name="Porcentaje 4 2 2" xfId="25" xr:uid="{00000000-0005-0000-0000-000017000000}"/>
    <cellStyle name="Porcentaje 5 2" xfId="23" xr:uid="{00000000-0005-0000-0000-000018000000}"/>
    <cellStyle name="Porcentual 10" xfId="14" xr:uid="{00000000-0005-0000-0000-000019000000}"/>
    <cellStyle name="Porcentual 9" xfId="8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144462</xdr:colOff>
      <xdr:row>0</xdr:row>
      <xdr:rowOff>108479</xdr:rowOff>
    </xdr:from>
    <xdr:to>
      <xdr:col>7</xdr:col>
      <xdr:colOff>1058862</xdr:colOff>
      <xdr:row>2</xdr:row>
      <xdr:rowOff>309969</xdr:rowOff>
    </xdr:to>
    <xdr:pic>
      <xdr:nvPicPr>
        <xdr:cNvPr id="2" name="Imagen 13">
          <a:extLst>
            <a:ext uri="{FF2B5EF4-FFF2-40B4-BE49-F238E27FC236}">
              <a16:creationId xmlns:a16="http://schemas.microsoft.com/office/drawing/2014/main" id="{0EE90DEF-43A1-4CD8-840B-CAF77701A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0282" y="108479"/>
          <a:ext cx="914400" cy="925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2</xdr:row>
      <xdr:rowOff>59055</xdr:rowOff>
    </xdr:to>
    <xdr:sp macro="" textlink="">
      <xdr:nvSpPr>
        <xdr:cNvPr id="3" name="AutoShape 236" descr="Secretaría de Educación y Desarrollo Social Donmatías - Inicio ...">
          <a:extLst>
            <a:ext uri="{FF2B5EF4-FFF2-40B4-BE49-F238E27FC236}">
              <a16:creationId xmlns:a16="http://schemas.microsoft.com/office/drawing/2014/main" id="{6ED33AF7-A5B1-484D-8B22-5A4F776F2103}"/>
            </a:ext>
          </a:extLst>
        </xdr:cNvPr>
        <xdr:cNvSpPr>
          <a:spLocks noChangeAspect="1" noChangeArrowheads="1"/>
        </xdr:cNvSpPr>
      </xdr:nvSpPr>
      <xdr:spPr bwMode="auto">
        <a:xfrm>
          <a:off x="10660380" y="662940"/>
          <a:ext cx="304800" cy="302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vienda\$publico\$Publico\CONVENIO%20AGUAS%202009\PAVIMENTOS\revision%20pavimentacio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TA%20ROSA\ESCUELA%20EL%20CANEY\apus_antioquia_2021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"/>
      <sheetName val="MANO DE OBRA"/>
      <sheetName val="CANTIDADES"/>
      <sheetName val="PRESUPUESTO A TODO COSTO "/>
      <sheetName val="4.PARCHEO ASFALTO"/>
      <sheetName val="5.PARCHEO CONCRETO"/>
      <sheetName val="1. DEMOLIC ASFALTO"/>
      <sheetName val="2. DEMOLIC CONCRETO"/>
      <sheetName val="3. EXCAV MANUAL"/>
      <sheetName val="4. CAJEO PARA BASE"/>
      <sheetName val="5. PERFIL SUBRAS"/>
      <sheetName val="1,6LLENO LIMO"/>
      <sheetName val="6 LLENO CON PIEDRA"/>
      <sheetName val="7 LLENOS CON BASE"/>
      <sheetName val="1,8ENTRESUELO ANDENES"/>
      <sheetName val="2.1BASE ESTABILIZ DE LA ZONA"/>
      <sheetName val="8 BASE ESTABILIZADA"/>
      <sheetName val="9 PAVIMENTO RIGIDO"/>
      <sheetName val="2,2CONCRETO 280 MEDELLIN"/>
      <sheetName val="10 REALCE CUELLOS"/>
      <sheetName val="11 SUMIDERO 1X80"/>
      <sheetName val="12 ACERO REFUERZO TELEFONOS"/>
      <sheetName val="13 ACERO DE REFUERZO LOSAS T II"/>
      <sheetName val="3,3SUMIDERO -CARCAMO"/>
      <sheetName val="3,4,MURO CONT ALIG"/>
      <sheetName val="3,5CONCRETOZAPATA MURO"/>
      <sheetName val="3,6ACERO RFZO."/>
      <sheetName val="3,7CORDON TRES CARAS"/>
      <sheetName val="3,8ANDEN CONCRETO"/>
      <sheetName val="3,9 CUNETA CONCRETO"/>
      <sheetName val="14 botada escombros"/>
      <sheetName val="15 CORTE Y SELLADO DE JUNTAS"/>
    </sheetNames>
    <sheetDataSet>
      <sheetData sheetId="0" refreshError="1"/>
      <sheetData sheetId="1" refreshError="1"/>
      <sheetData sheetId="2" refreshError="1">
        <row r="2">
          <cell r="A2" t="str">
            <v>OFICIAL DE PRIMERA OBRA BLANCA</v>
          </cell>
          <cell r="B2" t="str">
            <v>HORA</v>
          </cell>
          <cell r="C2">
            <v>5357</v>
          </cell>
          <cell r="D2">
            <v>1.72</v>
          </cell>
        </row>
        <row r="3">
          <cell r="A3" t="str">
            <v>OFICIAL DE PRIMERA OBRA NEGRA</v>
          </cell>
          <cell r="B3" t="str">
            <v>HORA</v>
          </cell>
          <cell r="C3">
            <v>5357</v>
          </cell>
          <cell r="D3">
            <v>1.72</v>
          </cell>
        </row>
        <row r="4">
          <cell r="A4" t="str">
            <v>COMISION DE TOPOGRAFIA</v>
          </cell>
          <cell r="B4" t="str">
            <v>DIA</v>
          </cell>
          <cell r="C4">
            <v>350000</v>
          </cell>
          <cell r="D4">
            <v>1</v>
          </cell>
        </row>
        <row r="5">
          <cell r="A5" t="str">
            <v>OFICIAL PINTOR</v>
          </cell>
          <cell r="B5" t="str">
            <v>HORA</v>
          </cell>
          <cell r="C5">
            <v>5357</v>
          </cell>
          <cell r="D5">
            <v>1.72</v>
          </cell>
        </row>
        <row r="6">
          <cell r="A6" t="str">
            <v>OFICIAL PLOMERO</v>
          </cell>
          <cell r="B6" t="str">
            <v>HORA</v>
          </cell>
          <cell r="C6">
            <v>5357</v>
          </cell>
          <cell r="D6">
            <v>1.72</v>
          </cell>
        </row>
        <row r="7">
          <cell r="A7" t="str">
            <v>AYUDANTE ENTENDIDO</v>
          </cell>
          <cell r="B7" t="str">
            <v>HORA</v>
          </cell>
          <cell r="C7">
            <v>3571</v>
          </cell>
          <cell r="D7">
            <v>1.72</v>
          </cell>
        </row>
        <row r="8">
          <cell r="A8" t="str">
            <v>AYUDANTE RASO</v>
          </cell>
          <cell r="B8" t="str">
            <v>HORA</v>
          </cell>
          <cell r="C8">
            <v>2678</v>
          </cell>
          <cell r="D8">
            <v>1.72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ACLARACION"/>
      <sheetName val="INDICE"/>
      <sheetName val="MANO DE OBRA"/>
      <sheetName val="EQUIPOS"/>
      <sheetName val="MATERIALES"/>
      <sheetName val="TRANSPORTE"/>
      <sheetName val="MINFRA-MN-IN-10-FR-1"/>
      <sheetName val="200.1"/>
      <sheetName val="200.2"/>
      <sheetName val="201.1"/>
      <sheetName val="201.2"/>
      <sheetName val="201.3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.1"/>
      <sheetName val="223.3.2"/>
      <sheetName val="223.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 "/>
      <sheetName val="420.3"/>
      <sheetName val="421.1"/>
      <sheetName val="421.2"/>
      <sheetName val="421.3"/>
      <sheetName val="421.4"/>
      <sheetName val="430.1.1"/>
      <sheetName val="430.1.2"/>
      <sheetName val="430.2.1"/>
      <sheetName val="430.2.2"/>
      <sheetName val="431.1.1"/>
      <sheetName val="431.1.2"/>
      <sheetName val="431.2.1"/>
      <sheetName val="431.2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10"/>
      <sheetName val="450.11"/>
      <sheetName val="450.12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0.2"/>
      <sheetName val="461.1"/>
      <sheetName val="461.2"/>
      <sheetName val="462.1.1"/>
      <sheetName val="462.1.2"/>
      <sheetName val="462.2.1"/>
      <sheetName val="462.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.1"/>
      <sheetName val="621.1.2"/>
      <sheetName val="621.2"/>
      <sheetName val="621.3"/>
      <sheetName val="621.4"/>
      <sheetName val="621.5"/>
      <sheetName val="621.5.1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2.1"/>
      <sheetName val="632.2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0.2"/>
      <sheetName val="661.1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.1"/>
      <sheetName val="673.1.2"/>
      <sheetName val="673.2"/>
      <sheetName val="673.3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.1"/>
      <sheetName val="690.1.2"/>
      <sheetName val="700.1"/>
      <sheetName val="700.2"/>
      <sheetName val="700.3"/>
      <sheetName val="700.4"/>
      <sheetName val="701.1"/>
      <sheetName val="710.1"/>
      <sheetName val="710.2"/>
      <sheetName val="720.1"/>
      <sheetName val="730.1"/>
      <sheetName val="730.2"/>
      <sheetName val="730.3"/>
      <sheetName val="730.4"/>
      <sheetName val="731.1"/>
      <sheetName val="740.1"/>
      <sheetName val="741.1"/>
      <sheetName val="800.1"/>
      <sheetName val="800.2"/>
      <sheetName val="800.3"/>
      <sheetName val="800.4"/>
      <sheetName val="802.1"/>
      <sheetName val="802.2"/>
      <sheetName val="802.3"/>
      <sheetName val="802.4"/>
      <sheetName val="802.5"/>
      <sheetName val="802.6"/>
      <sheetName val="802.7"/>
      <sheetName val="802.8"/>
      <sheetName val="810.1"/>
      <sheetName val="810.2"/>
      <sheetName val="810.3"/>
      <sheetName val="811.1"/>
      <sheetName val="811.2"/>
      <sheetName val="812.1"/>
      <sheetName val="820.1"/>
      <sheetName val="820.1.2"/>
      <sheetName val="900.1"/>
      <sheetName val="900.2"/>
      <sheetName val="900.3"/>
    </sheetNames>
    <sheetDataSet>
      <sheetData sheetId="0"/>
      <sheetData sheetId="1"/>
      <sheetData sheetId="2"/>
      <sheetData sheetId="3">
        <row r="8">
          <cell r="A8" t="str">
            <v>A0100130</v>
          </cell>
          <cell r="B8" t="str">
            <v>día</v>
          </cell>
          <cell r="C8" t="str">
            <v>Armador</v>
          </cell>
          <cell r="D8">
            <v>58677.433987924393</v>
          </cell>
        </row>
        <row r="9">
          <cell r="A9" t="str">
            <v>A0100150</v>
          </cell>
          <cell r="B9" t="str">
            <v>día</v>
          </cell>
          <cell r="C9" t="str">
            <v>Ayudante</v>
          </cell>
          <cell r="D9">
            <v>62590.494999999995</v>
          </cell>
        </row>
        <row r="10">
          <cell r="A10" t="str">
            <v>A0010010</v>
          </cell>
          <cell r="B10" t="str">
            <v>día</v>
          </cell>
          <cell r="C10" t="str">
            <v>Cadenero</v>
          </cell>
          <cell r="D10">
            <v>69346.058349365194</v>
          </cell>
        </row>
        <row r="11">
          <cell r="A11" t="str">
            <v>A0100181</v>
          </cell>
          <cell r="B11" t="str">
            <v>día</v>
          </cell>
          <cell r="C11" t="str">
            <v>Calculista</v>
          </cell>
          <cell r="D11">
            <v>320058.73084322392</v>
          </cell>
        </row>
        <row r="12">
          <cell r="A12" t="str">
            <v>A0100140</v>
          </cell>
          <cell r="B12" t="str">
            <v>día</v>
          </cell>
          <cell r="C12" t="str">
            <v>Cortador</v>
          </cell>
          <cell r="D12">
            <v>80014.682710805981</v>
          </cell>
        </row>
        <row r="13">
          <cell r="A13" t="str">
            <v>A0100010</v>
          </cell>
          <cell r="B13" t="str">
            <v>día</v>
          </cell>
          <cell r="C13" t="str">
            <v>Cuadrilla de desmontaje (10 personas)</v>
          </cell>
          <cell r="D13">
            <v>586774.33987924387</v>
          </cell>
        </row>
        <row r="14">
          <cell r="A14" t="str">
            <v>A0100180</v>
          </cell>
          <cell r="B14" t="str">
            <v>día</v>
          </cell>
          <cell r="C14" t="str">
            <v>Cuadrilla de fabricación</v>
          </cell>
          <cell r="D14">
            <v>320058.73084322392</v>
          </cell>
        </row>
        <row r="15">
          <cell r="A15" t="str">
            <v>A0041004</v>
          </cell>
          <cell r="B15" t="str">
            <v>día</v>
          </cell>
          <cell r="C15" t="str">
            <v>Cuadrilla de Un Oficial y (2) Obreros.</v>
          </cell>
          <cell r="D15">
            <v>213372.48722881597</v>
          </cell>
        </row>
        <row r="16">
          <cell r="A16" t="str">
            <v>A0041006</v>
          </cell>
          <cell r="B16" t="str">
            <v>día</v>
          </cell>
          <cell r="C16" t="str">
            <v>Cuadrilla de un oficial y (4) Obreros.</v>
          </cell>
          <cell r="D16">
            <v>320058.73084322392</v>
          </cell>
        </row>
        <row r="17">
          <cell r="A17" t="str">
            <v>A0100170</v>
          </cell>
          <cell r="B17" t="str">
            <v>día</v>
          </cell>
          <cell r="C17" t="str">
            <v>Dibujante</v>
          </cell>
          <cell r="D17">
            <v>106686.24361440798</v>
          </cell>
        </row>
        <row r="18">
          <cell r="A18" t="str">
            <v>A0100182</v>
          </cell>
          <cell r="B18" t="str">
            <v>día</v>
          </cell>
          <cell r="C18" t="str">
            <v>Dibujante 2</v>
          </cell>
          <cell r="D18">
            <v>96017.619252967183</v>
          </cell>
        </row>
        <row r="19">
          <cell r="A19" t="str">
            <v>A0100120</v>
          </cell>
          <cell r="B19" t="str">
            <v>u</v>
          </cell>
          <cell r="C19" t="str">
            <v>Estudios, análisis e informes</v>
          </cell>
          <cell r="D19">
            <v>2133724.8722881596</v>
          </cell>
        </row>
        <row r="20">
          <cell r="A20" t="str">
            <v>A0100070</v>
          </cell>
          <cell r="B20" t="str">
            <v>día</v>
          </cell>
          <cell r="C20" t="str">
            <v>Ingeniero de montaje y prueba</v>
          </cell>
          <cell r="D20">
            <v>485912.31941843667</v>
          </cell>
        </row>
        <row r="21">
          <cell r="A21" t="str">
            <v>A0100069</v>
          </cell>
          <cell r="B21" t="str">
            <v>día</v>
          </cell>
          <cell r="C21" t="str">
            <v>Ingeniero de Montaje y Prueba Pilote (1)</v>
          </cell>
          <cell r="D21">
            <v>477235.31371453602</v>
          </cell>
        </row>
        <row r="22">
          <cell r="A22" t="str">
            <v>A0100082</v>
          </cell>
          <cell r="B22" t="str">
            <v>día</v>
          </cell>
          <cell r="C22" t="str">
            <v>Ingeniero Especialista prueba de  integridad</v>
          </cell>
          <cell r="D22">
            <v>544482.10791976599</v>
          </cell>
        </row>
        <row r="23">
          <cell r="A23" t="str">
            <v>A0100071</v>
          </cell>
          <cell r="B23" t="str">
            <v>día</v>
          </cell>
          <cell r="C23" t="str">
            <v xml:space="preserve">Ingeniero Geotecnista </v>
          </cell>
          <cell r="D23">
            <v>605221.14784707059</v>
          </cell>
        </row>
        <row r="24">
          <cell r="A24" t="str">
            <v>A0100020</v>
          </cell>
          <cell r="B24" t="str">
            <v>día</v>
          </cell>
          <cell r="C24" t="str">
            <v>Ingeniero supervisor</v>
          </cell>
          <cell r="D24">
            <v>468558.30801063532</v>
          </cell>
        </row>
        <row r="25">
          <cell r="A25" t="str">
            <v>A0100080</v>
          </cell>
          <cell r="B25" t="str">
            <v>día</v>
          </cell>
          <cell r="C25" t="str">
            <v>Ingeniero supervisor y director de prueba</v>
          </cell>
          <cell r="D25">
            <v>557497.61647561705</v>
          </cell>
        </row>
        <row r="26">
          <cell r="A26" t="str">
            <v>A0100081</v>
          </cell>
          <cell r="B26" t="str">
            <v>día</v>
          </cell>
          <cell r="C26" t="str">
            <v>Ingeniero Supervisor y Director de Prueba Pilote</v>
          </cell>
          <cell r="D26">
            <v>577020.87930939358</v>
          </cell>
        </row>
        <row r="27">
          <cell r="A27" t="str">
            <v>A0100160</v>
          </cell>
          <cell r="B27" t="str">
            <v>día</v>
          </cell>
          <cell r="C27" t="str">
            <v>Inspector</v>
          </cell>
          <cell r="D27">
            <v>145339.84554033595</v>
          </cell>
        </row>
        <row r="28">
          <cell r="A28" t="str">
            <v>A0020010</v>
          </cell>
          <cell r="B28" t="str">
            <v>día</v>
          </cell>
          <cell r="C28" t="str">
            <v>Inspector de fabricación y montaje</v>
          </cell>
          <cell r="D28">
            <v>162693.85694813728</v>
          </cell>
        </row>
        <row r="29">
          <cell r="A29" t="str">
            <v>A0041008</v>
          </cell>
          <cell r="B29" t="str">
            <v>día</v>
          </cell>
          <cell r="C29" t="str">
            <v>1 Oficial y 1 Obrero.</v>
          </cell>
          <cell r="D29">
            <v>169276.73861440798</v>
          </cell>
        </row>
        <row r="30">
          <cell r="A30" t="str">
            <v>A0100030</v>
          </cell>
          <cell r="B30" t="str">
            <v>día</v>
          </cell>
          <cell r="C30" t="str">
            <v>Maestro</v>
          </cell>
          <cell r="D30">
            <v>160029.36542161196</v>
          </cell>
        </row>
        <row r="31">
          <cell r="A31" t="str">
            <v>A0030100</v>
          </cell>
          <cell r="B31" t="str">
            <v>día</v>
          </cell>
          <cell r="C31" t="str">
            <v>Obrero (10)</v>
          </cell>
          <cell r="D31">
            <v>625904.94999999995</v>
          </cell>
        </row>
        <row r="32">
          <cell r="A32" t="str">
            <v>A0030020</v>
          </cell>
          <cell r="B32" t="str">
            <v>día</v>
          </cell>
          <cell r="C32" t="str">
            <v>Obrero (2)</v>
          </cell>
          <cell r="D32">
            <v>125180.98999999999</v>
          </cell>
        </row>
        <row r="33">
          <cell r="A33" t="str">
            <v>A0030030</v>
          </cell>
          <cell r="B33" t="str">
            <v>día</v>
          </cell>
          <cell r="C33" t="str">
            <v>Obrero (3)</v>
          </cell>
          <cell r="D33">
            <v>187771.48499999999</v>
          </cell>
        </row>
        <row r="34">
          <cell r="A34" t="str">
            <v>A0030040</v>
          </cell>
          <cell r="B34" t="str">
            <v>día</v>
          </cell>
          <cell r="C34" t="str">
            <v>Obrero (4)</v>
          </cell>
          <cell r="D34">
            <v>250361.97999999998</v>
          </cell>
        </row>
        <row r="35">
          <cell r="A35" t="str">
            <v>A0030050</v>
          </cell>
          <cell r="B35" t="str">
            <v>día</v>
          </cell>
          <cell r="C35" t="str">
            <v>Obrero (5)</v>
          </cell>
          <cell r="D35">
            <v>312952.47499999998</v>
          </cell>
        </row>
        <row r="36">
          <cell r="A36" t="str">
            <v>A0030060</v>
          </cell>
          <cell r="B36" t="str">
            <v>día</v>
          </cell>
          <cell r="C36" t="str">
            <v>Obrero (6)</v>
          </cell>
          <cell r="D36">
            <v>375542.97</v>
          </cell>
        </row>
        <row r="37">
          <cell r="A37" t="str">
            <v>A0030070</v>
          </cell>
          <cell r="B37" t="str">
            <v>día</v>
          </cell>
          <cell r="C37" t="str">
            <v>Obrero (7)</v>
          </cell>
          <cell r="D37">
            <v>438133.46499999997</v>
          </cell>
        </row>
        <row r="38">
          <cell r="A38" t="str">
            <v>A0030080</v>
          </cell>
          <cell r="B38" t="str">
            <v>día</v>
          </cell>
          <cell r="C38" t="str">
            <v>Obrero (8)</v>
          </cell>
          <cell r="D38">
            <v>500723.95999999996</v>
          </cell>
        </row>
        <row r="39">
          <cell r="A39" t="str">
            <v>A0030090</v>
          </cell>
          <cell r="B39" t="str">
            <v>día</v>
          </cell>
          <cell r="C39" t="str">
            <v>Obrero (9)</v>
          </cell>
          <cell r="D39">
            <v>563314.45499999996</v>
          </cell>
        </row>
        <row r="40">
          <cell r="A40" t="str">
            <v>A0100060</v>
          </cell>
          <cell r="B40" t="str">
            <v>día</v>
          </cell>
          <cell r="C40" t="str">
            <v>Obrero (prueba de carga)</v>
          </cell>
          <cell r="D40">
            <v>58677.433987924393</v>
          </cell>
        </row>
        <row r="41">
          <cell r="A41" t="str">
            <v>A0030120</v>
          </cell>
          <cell r="B41" t="str">
            <v>día</v>
          </cell>
          <cell r="C41" t="str">
            <v>Obreros de incado (2)</v>
          </cell>
          <cell r="D41">
            <v>117354.86797584879</v>
          </cell>
        </row>
        <row r="42">
          <cell r="A42" t="str">
            <v>A0030110</v>
          </cell>
          <cell r="B42" t="str">
            <v>día</v>
          </cell>
          <cell r="C42" t="str">
            <v>Obreros de izado (2)</v>
          </cell>
          <cell r="D42">
            <v>117354.86797584879</v>
          </cell>
        </row>
        <row r="43">
          <cell r="A43" t="str">
            <v>A0040010</v>
          </cell>
          <cell r="B43" t="str">
            <v>día</v>
          </cell>
          <cell r="C43" t="str">
            <v>Oficial</v>
          </cell>
          <cell r="D43">
            <v>106686.24361440798</v>
          </cell>
        </row>
        <row r="44">
          <cell r="A44" t="str">
            <v>A0041002</v>
          </cell>
          <cell r="B44" t="str">
            <v>día</v>
          </cell>
          <cell r="C44" t="str">
            <v xml:space="preserve">Oficial  Obrero (3) Cuadrilla de un oficial y 3 Obreros. </v>
          </cell>
          <cell r="D44">
            <v>266715.60903601995</v>
          </cell>
        </row>
        <row r="45">
          <cell r="A45" t="str">
            <v>A0040020</v>
          </cell>
          <cell r="B45" t="str">
            <v>día</v>
          </cell>
          <cell r="C45" t="str">
            <v>Oficial (2)</v>
          </cell>
          <cell r="D45">
            <v>213372.48722881597</v>
          </cell>
        </row>
        <row r="46">
          <cell r="A46" t="str">
            <v>A0040030</v>
          </cell>
          <cell r="B46" t="str">
            <v>día</v>
          </cell>
          <cell r="C46" t="str">
            <v>Oficial (3)</v>
          </cell>
          <cell r="D46">
            <v>320058.73084322398</v>
          </cell>
        </row>
        <row r="47">
          <cell r="A47" t="str">
            <v>A0100050</v>
          </cell>
          <cell r="B47" t="str">
            <v>día</v>
          </cell>
          <cell r="C47" t="str">
            <v>Oficial + 3 Ayudantes (armado e inyección de anclajes)</v>
          </cell>
          <cell r="D47">
            <v>282718.54557818116</v>
          </cell>
        </row>
        <row r="48">
          <cell r="A48" t="str">
            <v>A0041000</v>
          </cell>
          <cell r="B48" t="str">
            <v>día</v>
          </cell>
          <cell r="C48" t="str">
            <v>Oficial experto en desmontaje</v>
          </cell>
          <cell r="D48">
            <v>117354.86797584879</v>
          </cell>
        </row>
        <row r="49">
          <cell r="A49" t="str">
            <v>A0041001</v>
          </cell>
          <cell r="B49" t="str">
            <v>día</v>
          </cell>
          <cell r="C49" t="str">
            <v>Oficial experto en explosivos</v>
          </cell>
          <cell r="D49">
            <v>128023.49233728957</v>
          </cell>
        </row>
        <row r="50">
          <cell r="A50" t="str">
            <v>A0100092</v>
          </cell>
          <cell r="B50" t="str">
            <v>día</v>
          </cell>
          <cell r="C50" t="str">
            <v>Operador prueba de integridad</v>
          </cell>
          <cell r="D50">
            <v>133357.80451800997</v>
          </cell>
        </row>
        <row r="51">
          <cell r="A51" t="str">
            <v>A0050010</v>
          </cell>
          <cell r="B51" t="str">
            <v>día</v>
          </cell>
          <cell r="C51" t="str">
            <v>Paletero</v>
          </cell>
          <cell r="D51">
            <v>62590.494999999995</v>
          </cell>
        </row>
        <row r="52">
          <cell r="A52" t="str">
            <v>A0050020</v>
          </cell>
          <cell r="B52" t="str">
            <v>día</v>
          </cell>
          <cell r="C52" t="str">
            <v>Paletero (2)</v>
          </cell>
          <cell r="D52">
            <v>125180.98999999999</v>
          </cell>
        </row>
        <row r="53">
          <cell r="A53" t="str">
            <v>A0060010</v>
          </cell>
          <cell r="B53" t="str">
            <v>día</v>
          </cell>
          <cell r="C53" t="str">
            <v>Perforador</v>
          </cell>
          <cell r="D53">
            <v>106686.24361440798</v>
          </cell>
        </row>
        <row r="54">
          <cell r="A54" t="str">
            <v>A0100040</v>
          </cell>
          <cell r="B54" t="str">
            <v>día</v>
          </cell>
          <cell r="C54" t="str">
            <v>Perforador + Ayudante1 + Ayudante2</v>
          </cell>
          <cell r="D54">
            <v>213372.48722881597</v>
          </cell>
        </row>
        <row r="55">
          <cell r="A55" t="str">
            <v>A0040001</v>
          </cell>
          <cell r="B55" t="str">
            <v>día</v>
          </cell>
          <cell r="C55" t="str">
            <v>Personal requerido para el diseño y fabricación de estructura metálica. (incluye un calista, un dibujante y la cuadrilla de Fabricación) De esta ultima no hay detalle de que personal la compone.</v>
          </cell>
          <cell r="D55">
            <v>800146.82710805978</v>
          </cell>
        </row>
        <row r="56">
          <cell r="A56" t="str">
            <v>A0070010</v>
          </cell>
          <cell r="B56" t="str">
            <v>día</v>
          </cell>
          <cell r="C56" t="str">
            <v>Rastrillero</v>
          </cell>
          <cell r="D56">
            <v>80014.682710805981</v>
          </cell>
        </row>
        <row r="57">
          <cell r="A57" t="str">
            <v>A0070020</v>
          </cell>
          <cell r="B57" t="str">
            <v>día</v>
          </cell>
          <cell r="C57" t="str">
            <v>Rastrilleros (2)</v>
          </cell>
          <cell r="D57">
            <v>160029.36542161196</v>
          </cell>
        </row>
        <row r="58">
          <cell r="A58" t="str">
            <v>A0080010</v>
          </cell>
          <cell r="B58" t="str">
            <v>día</v>
          </cell>
          <cell r="C58" t="str">
            <v>Soldador</v>
          </cell>
          <cell r="D58">
            <v>106686.24361440798</v>
          </cell>
        </row>
        <row r="59">
          <cell r="A59" t="str">
            <v>A0010083</v>
          </cell>
          <cell r="B59" t="str">
            <v>día</v>
          </cell>
          <cell r="C59" t="str">
            <v>Soldador (2)</v>
          </cell>
          <cell r="D59">
            <v>213372.48722881597</v>
          </cell>
        </row>
        <row r="60">
          <cell r="A60" t="str">
            <v>A0080012</v>
          </cell>
          <cell r="B60" t="str">
            <v>día</v>
          </cell>
          <cell r="C60" t="str">
            <v>Soldador 1A</v>
          </cell>
          <cell r="D60">
            <v>133357.80451800997</v>
          </cell>
        </row>
        <row r="61">
          <cell r="A61" t="str">
            <v>A0100090</v>
          </cell>
          <cell r="B61" t="str">
            <v>día</v>
          </cell>
          <cell r="C61" t="str">
            <v>Soldador experto en montaje y pruebas</v>
          </cell>
          <cell r="D61">
            <v>160029.36542161196</v>
          </cell>
        </row>
        <row r="62">
          <cell r="A62" t="str">
            <v>A0100091</v>
          </cell>
          <cell r="B62" t="str">
            <v>día</v>
          </cell>
          <cell r="C62" t="str">
            <v>Soldador experto en montaje y pruebas</v>
          </cell>
          <cell r="D62">
            <v>160029.36542161196</v>
          </cell>
        </row>
        <row r="63">
          <cell r="A63" t="str">
            <v>A0090010</v>
          </cell>
          <cell r="B63" t="str">
            <v>día</v>
          </cell>
          <cell r="C63" t="str">
            <v>Topógrafo</v>
          </cell>
          <cell r="D63">
            <v>160029.36542161196</v>
          </cell>
        </row>
        <row r="64">
          <cell r="A64" t="str">
            <v>A0030010</v>
          </cell>
          <cell r="B64" t="str">
            <v>día</v>
          </cell>
          <cell r="C64" t="str">
            <v xml:space="preserve">Obrero </v>
          </cell>
          <cell r="D64">
            <v>62590.494999999995</v>
          </cell>
        </row>
        <row r="65">
          <cell r="A65" t="str">
            <v>A0100100</v>
          </cell>
          <cell r="B65" t="str">
            <v>u</v>
          </cell>
          <cell r="C65" t="str">
            <v>Viáticos ingeniero y director</v>
          </cell>
          <cell r="D65">
            <v>533431.21807203989</v>
          </cell>
        </row>
        <row r="66">
          <cell r="A66" t="str">
            <v>A0100110</v>
          </cell>
          <cell r="B66" t="str">
            <v>u</v>
          </cell>
          <cell r="C66" t="str">
            <v>Viáticos soldadores</v>
          </cell>
          <cell r="D66">
            <v>266715.60903601995</v>
          </cell>
        </row>
        <row r="67">
          <cell r="A67" t="str">
            <v>A0040110</v>
          </cell>
          <cell r="B67" t="str">
            <v>día</v>
          </cell>
          <cell r="C67" t="str">
            <v>Celador</v>
          </cell>
          <cell r="D67">
            <v>62590.494999999995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tabSelected="1" zoomScale="130" zoomScaleNormal="130" workbookViewId="0">
      <selection activeCell="F16" sqref="F16"/>
    </sheetView>
  </sheetViews>
  <sheetFormatPr baseColWidth="10" defaultColWidth="11" defaultRowHeight="14.4" x14ac:dyDescent="0.3"/>
  <cols>
    <col min="1" max="1" width="4.88671875" style="281" bestFit="1" customWidth="1"/>
    <col min="2" max="2" width="44.21875" style="281" customWidth="1"/>
    <col min="3" max="3" width="3.44140625" style="281" bestFit="1" customWidth="1"/>
    <col min="4" max="4" width="11.88671875" style="281" customWidth="1"/>
    <col min="5" max="5" width="11" style="281"/>
    <col min="6" max="6" width="23" style="281" customWidth="1"/>
    <col min="7" max="16384" width="11" style="281"/>
  </cols>
  <sheetData>
    <row r="1" spans="1:6" ht="34.200000000000003" customHeight="1" x14ac:dyDescent="0.3">
      <c r="A1" s="294" t="s">
        <v>168</v>
      </c>
      <c r="B1" s="295"/>
      <c r="C1" s="295"/>
      <c r="D1" s="295"/>
      <c r="E1" s="295"/>
      <c r="F1" s="296"/>
    </row>
    <row r="2" spans="1:6" x14ac:dyDescent="0.3">
      <c r="A2" s="282" t="s">
        <v>0</v>
      </c>
      <c r="B2" s="282" t="s">
        <v>1</v>
      </c>
      <c r="C2" s="282" t="s">
        <v>2</v>
      </c>
      <c r="D2" s="282" t="s">
        <v>3</v>
      </c>
      <c r="E2" s="282" t="s">
        <v>4</v>
      </c>
      <c r="F2" s="282" t="s">
        <v>5</v>
      </c>
    </row>
    <row r="3" spans="1:6" ht="43.2" x14ac:dyDescent="0.3">
      <c r="A3" s="283" t="s">
        <v>7</v>
      </c>
      <c r="B3" s="284" t="s">
        <v>165</v>
      </c>
      <c r="C3" s="290" t="s">
        <v>10</v>
      </c>
      <c r="D3" s="290">
        <v>151</v>
      </c>
      <c r="E3" s="288">
        <f>'MAT RECICLADO'!K53</f>
        <v>26739.969978915091</v>
      </c>
      <c r="F3" s="287">
        <f>D3*E3</f>
        <v>4037735.4668161785</v>
      </c>
    </row>
    <row r="4" spans="1:6" ht="28.8" x14ac:dyDescent="0.3">
      <c r="A4" s="283" t="s">
        <v>8</v>
      </c>
      <c r="B4" s="284" t="s">
        <v>9</v>
      </c>
      <c r="C4" s="290" t="s">
        <v>6</v>
      </c>
      <c r="D4" s="291">
        <v>3830</v>
      </c>
      <c r="E4" s="288">
        <f>'EMULSION 1'!J50</f>
        <v>8691.7124999999996</v>
      </c>
      <c r="F4" s="287">
        <f t="shared" ref="F4" si="0">D4*E4</f>
        <v>33289258.875</v>
      </c>
    </row>
    <row r="5" spans="1:6" x14ac:dyDescent="0.3">
      <c r="A5" s="283"/>
      <c r="B5" s="285" t="s">
        <v>53</v>
      </c>
      <c r="C5" s="290"/>
      <c r="D5" s="290"/>
      <c r="E5" s="288"/>
      <c r="F5" s="288">
        <f>SUM(F3:F4)</f>
        <v>37326994.341816179</v>
      </c>
    </row>
    <row r="6" spans="1:6" x14ac:dyDescent="0.3">
      <c r="A6" s="283"/>
      <c r="B6" s="285" t="s">
        <v>158</v>
      </c>
      <c r="C6" s="290"/>
      <c r="D6" s="290"/>
      <c r="E6" s="292">
        <f>'CALCULO AU'!F45</f>
        <v>0.30812946714636452</v>
      </c>
      <c r="F6" s="288">
        <f>F5*E6</f>
        <v>11501546.876719182</v>
      </c>
    </row>
    <row r="7" spans="1:6" x14ac:dyDescent="0.3">
      <c r="A7" s="283"/>
      <c r="B7" s="285" t="s">
        <v>99</v>
      </c>
      <c r="C7" s="282"/>
      <c r="D7" s="282"/>
      <c r="E7" s="282"/>
      <c r="F7" s="289">
        <f>F5+F6</f>
        <v>48828541.218535364</v>
      </c>
    </row>
    <row r="8" spans="1:6" hidden="1" x14ac:dyDescent="0.3">
      <c r="A8" s="283"/>
      <c r="B8" s="285" t="s">
        <v>160</v>
      </c>
      <c r="C8" s="290"/>
      <c r="D8" s="290"/>
      <c r="E8" s="293">
        <v>0.02</v>
      </c>
      <c r="F8" s="288">
        <f>F7*E8</f>
        <v>976570.82437070727</v>
      </c>
    </row>
    <row r="9" spans="1:6" hidden="1" x14ac:dyDescent="0.3">
      <c r="A9" s="283"/>
      <c r="B9" s="285" t="s">
        <v>161</v>
      </c>
      <c r="C9" s="290"/>
      <c r="D9" s="290"/>
      <c r="E9" s="293">
        <v>0.19</v>
      </c>
      <c r="F9" s="288">
        <f>F8*E9</f>
        <v>185548.45663043438</v>
      </c>
    </row>
    <row r="10" spans="1:6" hidden="1" x14ac:dyDescent="0.3">
      <c r="A10" s="283"/>
      <c r="B10" s="285" t="s">
        <v>162</v>
      </c>
      <c r="C10" s="290"/>
      <c r="D10" s="290"/>
      <c r="E10" s="290"/>
      <c r="F10" s="289">
        <f>F8+F9</f>
        <v>1162119.2810011418</v>
      </c>
    </row>
    <row r="11" spans="1:6" hidden="1" x14ac:dyDescent="0.3">
      <c r="A11" s="283"/>
      <c r="B11" s="285" t="s">
        <v>163</v>
      </c>
      <c r="C11" s="290"/>
      <c r="D11" s="290"/>
      <c r="E11" s="290"/>
      <c r="F11" s="289">
        <f>F7+F10</f>
        <v>49990660.499536507</v>
      </c>
    </row>
    <row r="12" spans="1:6" hidden="1" x14ac:dyDescent="0.3"/>
    <row r="13" spans="1:6" x14ac:dyDescent="0.3">
      <c r="F13" s="286"/>
    </row>
    <row r="14" spans="1:6" x14ac:dyDescent="0.3">
      <c r="F14" s="286"/>
    </row>
  </sheetData>
  <mergeCells count="1">
    <mergeCell ref="A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"/>
  <sheetViews>
    <sheetView topLeftCell="B1" workbookViewId="0">
      <selection activeCell="K59" sqref="K59"/>
    </sheetView>
  </sheetViews>
  <sheetFormatPr baseColWidth="10" defaultColWidth="11.44140625" defaultRowHeight="14.4" x14ac:dyDescent="0.3"/>
  <cols>
    <col min="1" max="1" width="10.33203125" hidden="1" customWidth="1"/>
    <col min="2" max="2" width="13.33203125" customWidth="1"/>
    <col min="6" max="6" width="13" bestFit="1" customWidth="1"/>
    <col min="7" max="7" width="15.44140625" customWidth="1"/>
    <col min="8" max="8" width="14.109375" customWidth="1"/>
    <col min="11" max="11" width="17.44140625" customWidth="1"/>
    <col min="12" max="12" width="12" bestFit="1" customWidth="1"/>
  </cols>
  <sheetData>
    <row r="1" spans="1:11" x14ac:dyDescent="0.3">
      <c r="B1" s="297" t="s">
        <v>11</v>
      </c>
      <c r="C1" s="298"/>
      <c r="D1" s="298"/>
      <c r="E1" s="298"/>
      <c r="F1" s="298"/>
      <c r="G1" s="298"/>
      <c r="H1" s="298"/>
      <c r="I1" s="298"/>
      <c r="J1" s="298"/>
      <c r="K1" s="299"/>
    </row>
    <row r="2" spans="1:11" ht="15" thickBot="1" x14ac:dyDescent="0.35">
      <c r="B2" s="186"/>
      <c r="C2" s="187"/>
      <c r="D2" s="187"/>
      <c r="E2" s="187"/>
      <c r="F2" s="187"/>
      <c r="G2" s="187"/>
      <c r="H2" s="187"/>
      <c r="I2" s="187"/>
      <c r="J2" s="187"/>
      <c r="K2" s="188"/>
    </row>
    <row r="3" spans="1:11" ht="27" thickBot="1" x14ac:dyDescent="0.35">
      <c r="B3" s="189" t="s">
        <v>0</v>
      </c>
      <c r="C3" s="300" t="s">
        <v>12</v>
      </c>
      <c r="D3" s="301"/>
      <c r="E3" s="301"/>
      <c r="F3" s="301"/>
      <c r="G3" s="190"/>
      <c r="H3" s="191" t="s">
        <v>13</v>
      </c>
      <c r="I3" s="302" t="s">
        <v>14</v>
      </c>
      <c r="J3" s="303"/>
      <c r="K3" s="189" t="s">
        <v>15</v>
      </c>
    </row>
    <row r="4" spans="1:11" ht="15" hidden="1" thickBot="1" x14ac:dyDescent="0.35">
      <c r="B4" s="189" t="s">
        <v>0</v>
      </c>
      <c r="C4" s="300" t="s">
        <v>12</v>
      </c>
      <c r="D4" s="301"/>
      <c r="E4" s="301"/>
      <c r="F4" s="301"/>
      <c r="G4" s="190"/>
      <c r="H4" s="193"/>
      <c r="I4" s="302" t="s">
        <v>14</v>
      </c>
      <c r="J4" s="303"/>
      <c r="K4" s="189" t="s">
        <v>15</v>
      </c>
    </row>
    <row r="5" spans="1:11" ht="32.4" customHeight="1" thickBot="1" x14ac:dyDescent="0.35">
      <c r="A5" t="s">
        <v>16</v>
      </c>
      <c r="B5" s="194">
        <v>2</v>
      </c>
      <c r="C5" s="317" t="str">
        <f>PRESUPUESTO!B3</f>
        <v>Transporte, riego y compactacion de material reciclado proveniente de fresado de asfalto para parcheos de vias en espesores varios.</v>
      </c>
      <c r="D5" s="318"/>
      <c r="E5" s="318"/>
      <c r="F5" s="318"/>
      <c r="G5" s="319"/>
      <c r="H5" s="195"/>
      <c r="I5" s="196" t="s">
        <v>43</v>
      </c>
      <c r="J5" s="197"/>
      <c r="K5" s="194"/>
    </row>
    <row r="6" spans="1:11" ht="5.25" customHeight="1" x14ac:dyDescent="0.3">
      <c r="B6" s="186"/>
      <c r="C6" s="187"/>
      <c r="D6" s="187"/>
      <c r="E6" s="187"/>
      <c r="F6" s="187"/>
      <c r="G6" s="187"/>
      <c r="H6" s="187"/>
      <c r="I6" s="187"/>
      <c r="J6" s="187"/>
      <c r="K6" s="188"/>
    </row>
    <row r="7" spans="1:11" x14ac:dyDescent="0.3">
      <c r="B7" s="198" t="s">
        <v>17</v>
      </c>
      <c r="C7" s="199"/>
      <c r="D7" s="199"/>
      <c r="E7" s="199"/>
      <c r="F7" s="199"/>
      <c r="G7" s="199"/>
      <c r="H7" s="199"/>
      <c r="I7" s="199"/>
      <c r="J7" s="199"/>
      <c r="K7" s="200"/>
    </row>
    <row r="8" spans="1:11" ht="15" thickBot="1" x14ac:dyDescent="0.35">
      <c r="B8" s="201"/>
      <c r="C8" s="187"/>
      <c r="D8" s="187"/>
      <c r="E8" s="187"/>
      <c r="F8" s="202"/>
      <c r="G8" s="202"/>
      <c r="H8" s="187"/>
      <c r="I8" s="187"/>
      <c r="J8" s="187"/>
      <c r="K8" s="188"/>
    </row>
    <row r="9" spans="1:11" x14ac:dyDescent="0.3">
      <c r="B9" s="307" t="s">
        <v>12</v>
      </c>
      <c r="C9" s="308"/>
      <c r="D9" s="308"/>
      <c r="E9" s="308"/>
      <c r="F9" s="309" t="s">
        <v>18</v>
      </c>
      <c r="G9" s="310"/>
      <c r="H9" s="208" t="s">
        <v>19</v>
      </c>
      <c r="I9" s="311" t="s">
        <v>20</v>
      </c>
      <c r="J9" s="312"/>
      <c r="K9" s="210" t="s">
        <v>21</v>
      </c>
    </row>
    <row r="10" spans="1:11" x14ac:dyDescent="0.3">
      <c r="A10" s="211" t="s">
        <v>44</v>
      </c>
      <c r="B10" s="304" t="s">
        <v>159</v>
      </c>
      <c r="C10" s="305"/>
      <c r="D10" s="305"/>
      <c r="E10" s="305"/>
      <c r="F10" s="206"/>
      <c r="G10" s="207"/>
      <c r="H10" s="214">
        <f>900000/8</f>
        <v>112500</v>
      </c>
      <c r="I10" s="215"/>
      <c r="J10" s="216">
        <f>40/8</f>
        <v>5</v>
      </c>
      <c r="K10" s="217">
        <f>H10/J10</f>
        <v>22500</v>
      </c>
    </row>
    <row r="11" spans="1:11" x14ac:dyDescent="0.3">
      <c r="A11" s="211" t="s">
        <v>45</v>
      </c>
      <c r="B11" s="212"/>
      <c r="C11" s="213"/>
      <c r="D11" s="213"/>
      <c r="E11" s="213"/>
      <c r="F11" s="206"/>
      <c r="G11" s="207"/>
      <c r="H11" s="214"/>
      <c r="I11" s="215"/>
      <c r="J11" s="216"/>
      <c r="K11" s="217"/>
    </row>
    <row r="12" spans="1:11" x14ac:dyDescent="0.3">
      <c r="A12" s="211" t="s">
        <v>46</v>
      </c>
      <c r="B12" s="212"/>
      <c r="C12" s="213"/>
      <c r="D12" s="213"/>
      <c r="E12" s="213"/>
      <c r="F12" s="206"/>
      <c r="G12" s="207"/>
      <c r="H12" s="214"/>
      <c r="I12" s="215"/>
      <c r="J12" s="216"/>
      <c r="K12" s="217"/>
    </row>
    <row r="13" spans="1:11" x14ac:dyDescent="0.3">
      <c r="A13" s="211" t="s">
        <v>47</v>
      </c>
      <c r="B13" s="304"/>
      <c r="C13" s="305"/>
      <c r="D13" s="305"/>
      <c r="E13" s="305"/>
      <c r="F13" s="206"/>
      <c r="G13" s="207"/>
      <c r="H13" s="214"/>
      <c r="I13" s="215"/>
      <c r="J13" s="216"/>
      <c r="K13" s="217"/>
    </row>
    <row r="14" spans="1:11" x14ac:dyDescent="0.3">
      <c r="A14" t="s">
        <v>48</v>
      </c>
      <c r="B14" s="304"/>
      <c r="C14" s="305"/>
      <c r="D14" s="305"/>
      <c r="E14" s="305"/>
      <c r="F14" s="206"/>
      <c r="G14" s="207"/>
      <c r="H14" s="214"/>
      <c r="I14" s="215"/>
      <c r="J14" s="216"/>
      <c r="K14" s="217"/>
    </row>
    <row r="15" spans="1:11" x14ac:dyDescent="0.3">
      <c r="B15" s="304"/>
      <c r="C15" s="305"/>
      <c r="D15" s="305"/>
      <c r="E15" s="305"/>
      <c r="F15" s="313"/>
      <c r="G15" s="314"/>
      <c r="H15" s="214"/>
      <c r="I15" s="315"/>
      <c r="J15" s="316"/>
      <c r="K15" s="217"/>
    </row>
    <row r="16" spans="1:11" x14ac:dyDescent="0.3">
      <c r="B16" s="304"/>
      <c r="C16" s="305"/>
      <c r="D16" s="305"/>
      <c r="E16" s="306"/>
      <c r="F16" s="219"/>
      <c r="G16" s="220"/>
      <c r="H16" s="221"/>
      <c r="I16" s="222"/>
      <c r="J16" s="223"/>
      <c r="K16" s="224"/>
    </row>
    <row r="17" spans="1:11" x14ac:dyDescent="0.3">
      <c r="B17" s="322" t="s">
        <v>22</v>
      </c>
      <c r="C17" s="323"/>
      <c r="D17" s="323"/>
      <c r="E17" s="225"/>
      <c r="F17" s="219"/>
      <c r="G17" s="220"/>
      <c r="H17" s="226"/>
      <c r="I17" s="222"/>
      <c r="J17" s="227">
        <v>0.1</v>
      </c>
      <c r="K17" s="228">
        <f>K51*J17</f>
        <v>385.45181626500835</v>
      </c>
    </row>
    <row r="18" spans="1:11" ht="15" thickBot="1" x14ac:dyDescent="0.35">
      <c r="B18" s="304"/>
      <c r="C18" s="305"/>
      <c r="D18" s="305"/>
      <c r="E18" s="305"/>
      <c r="F18" s="324"/>
      <c r="G18" s="325"/>
      <c r="H18" s="229"/>
      <c r="I18" s="326"/>
      <c r="J18" s="327"/>
      <c r="K18" s="231"/>
    </row>
    <row r="19" spans="1:11" ht="15" thickBot="1" x14ac:dyDescent="0.35">
      <c r="B19" s="328" t="s">
        <v>23</v>
      </c>
      <c r="C19" s="329"/>
      <c r="D19" s="329"/>
      <c r="E19" s="329"/>
      <c r="F19" s="329"/>
      <c r="G19" s="329"/>
      <c r="H19" s="329"/>
      <c r="I19" s="329"/>
      <c r="J19" s="330"/>
      <c r="K19" s="232">
        <f>SUM(K10:K18)</f>
        <v>22885.451816265009</v>
      </c>
    </row>
    <row r="20" spans="1:11" x14ac:dyDescent="0.3">
      <c r="B20" s="201"/>
      <c r="C20" s="187"/>
      <c r="D20" s="187"/>
      <c r="E20" s="187"/>
      <c r="F20" s="187"/>
      <c r="G20" s="187"/>
      <c r="H20" s="187"/>
      <c r="I20" s="187"/>
      <c r="J20" s="187"/>
      <c r="K20" s="188"/>
    </row>
    <row r="21" spans="1:11" x14ac:dyDescent="0.3">
      <c r="B21" s="233" t="s">
        <v>24</v>
      </c>
      <c r="C21" s="234"/>
      <c r="D21" s="234"/>
      <c r="E21" s="234"/>
      <c r="F21" s="234"/>
      <c r="G21" s="234"/>
      <c r="H21" s="234"/>
      <c r="I21" s="234"/>
      <c r="J21" s="234"/>
      <c r="K21" s="235"/>
    </row>
    <row r="22" spans="1:11" ht="15" thickBot="1" x14ac:dyDescent="0.35">
      <c r="B22" s="236"/>
      <c r="C22" s="202"/>
      <c r="D22" s="202"/>
      <c r="E22" s="202"/>
      <c r="F22" s="202"/>
      <c r="G22" s="187"/>
      <c r="H22" s="187"/>
      <c r="I22" s="187"/>
      <c r="J22" s="187"/>
      <c r="K22" s="188"/>
    </row>
    <row r="23" spans="1:11" x14ac:dyDescent="0.3">
      <c r="B23" s="307" t="s">
        <v>12</v>
      </c>
      <c r="C23" s="308"/>
      <c r="D23" s="308"/>
      <c r="E23" s="308"/>
      <c r="F23" s="312"/>
      <c r="G23" s="209" t="s">
        <v>14</v>
      </c>
      <c r="H23" s="208" t="s">
        <v>15</v>
      </c>
      <c r="I23" s="311" t="s">
        <v>25</v>
      </c>
      <c r="J23" s="312"/>
      <c r="K23" s="210" t="s">
        <v>21</v>
      </c>
    </row>
    <row r="24" spans="1:11" x14ac:dyDescent="0.3">
      <c r="A24" t="s">
        <v>49</v>
      </c>
      <c r="B24" s="237"/>
      <c r="C24" s="238"/>
      <c r="D24" s="238"/>
      <c r="E24" s="238"/>
      <c r="F24" s="207"/>
      <c r="G24" s="239"/>
      <c r="H24" s="240"/>
      <c r="I24" s="206"/>
      <c r="J24" s="241"/>
      <c r="K24" s="217"/>
    </row>
    <row r="25" spans="1:11" x14ac:dyDescent="0.3">
      <c r="A25" t="s">
        <v>50</v>
      </c>
      <c r="B25" s="237"/>
      <c r="C25" s="238"/>
      <c r="D25" s="238"/>
      <c r="E25" s="238"/>
      <c r="F25" s="207"/>
      <c r="G25" s="239"/>
      <c r="H25" s="240"/>
      <c r="I25" s="206"/>
      <c r="J25" s="241"/>
      <c r="K25" s="217"/>
    </row>
    <row r="26" spans="1:11" x14ac:dyDescent="0.3">
      <c r="B26" s="237"/>
      <c r="C26" s="238"/>
      <c r="D26" s="238"/>
      <c r="E26" s="238"/>
      <c r="F26" s="207"/>
      <c r="G26" s="239"/>
      <c r="H26" s="240"/>
      <c r="I26" s="206"/>
      <c r="J26" s="242"/>
      <c r="K26" s="243"/>
    </row>
    <row r="27" spans="1:11" x14ac:dyDescent="0.3">
      <c r="B27" s="237"/>
      <c r="C27" s="238"/>
      <c r="D27" s="238"/>
      <c r="E27" s="238"/>
      <c r="F27" s="207"/>
      <c r="G27" s="239"/>
      <c r="H27" s="240"/>
      <c r="I27" s="206"/>
      <c r="J27" s="242"/>
      <c r="K27" s="243"/>
    </row>
    <row r="28" spans="1:11" ht="15" thickBot="1" x14ac:dyDescent="0.35">
      <c r="B28" s="331"/>
      <c r="C28" s="332"/>
      <c r="D28" s="332"/>
      <c r="E28" s="332"/>
      <c r="F28" s="314"/>
      <c r="G28" s="234"/>
      <c r="H28" s="244"/>
      <c r="I28" s="333"/>
      <c r="J28" s="334"/>
      <c r="K28" s="247"/>
    </row>
    <row r="29" spans="1:11" ht="15" thickBot="1" x14ac:dyDescent="0.35">
      <c r="B29" s="328" t="s">
        <v>23</v>
      </c>
      <c r="C29" s="329"/>
      <c r="D29" s="329"/>
      <c r="E29" s="329"/>
      <c r="F29" s="329"/>
      <c r="G29" s="329"/>
      <c r="H29" s="329"/>
      <c r="I29" s="329"/>
      <c r="J29" s="330"/>
      <c r="K29" s="232">
        <f>SUM(K24:K28)</f>
        <v>0</v>
      </c>
    </row>
    <row r="30" spans="1:11" x14ac:dyDescent="0.3">
      <c r="B30" s="186"/>
      <c r="C30" s="187"/>
      <c r="D30" s="187"/>
      <c r="E30" s="187"/>
      <c r="F30" s="187"/>
      <c r="G30" s="187"/>
      <c r="H30" s="187"/>
      <c r="I30" s="187"/>
      <c r="J30" s="187"/>
      <c r="K30" s="188"/>
    </row>
    <row r="31" spans="1:11" x14ac:dyDescent="0.3">
      <c r="B31" s="233" t="s">
        <v>26</v>
      </c>
      <c r="C31" s="234"/>
      <c r="D31" s="234"/>
      <c r="E31" s="234"/>
      <c r="F31" s="234"/>
      <c r="G31" s="234"/>
      <c r="H31" s="234"/>
      <c r="I31" s="234"/>
      <c r="J31" s="234"/>
      <c r="K31" s="235"/>
    </row>
    <row r="32" spans="1:11" ht="15" thickBot="1" x14ac:dyDescent="0.35">
      <c r="B32" s="186"/>
      <c r="C32" s="187"/>
      <c r="D32" s="187"/>
      <c r="E32" s="187"/>
      <c r="F32" s="187"/>
      <c r="G32" s="187"/>
      <c r="H32" s="187"/>
      <c r="I32" s="187"/>
      <c r="J32" s="187"/>
      <c r="K32" s="188"/>
    </row>
    <row r="33" spans="1:12" ht="26.4" x14ac:dyDescent="0.3">
      <c r="B33" s="203" t="s">
        <v>27</v>
      </c>
      <c r="C33" s="204"/>
      <c r="D33" s="204"/>
      <c r="E33" s="204"/>
      <c r="F33" s="249" t="s">
        <v>28</v>
      </c>
      <c r="G33" s="190" t="s">
        <v>29</v>
      </c>
      <c r="H33" s="248" t="s">
        <v>30</v>
      </c>
      <c r="I33" s="335" t="s">
        <v>31</v>
      </c>
      <c r="J33" s="336"/>
      <c r="K33" s="251" t="s">
        <v>21</v>
      </c>
    </row>
    <row r="34" spans="1:12" x14ac:dyDescent="0.3">
      <c r="B34" s="252"/>
      <c r="C34" s="234"/>
      <c r="D34" s="234"/>
      <c r="E34" s="234"/>
      <c r="F34" s="226"/>
      <c r="G34" s="253"/>
      <c r="H34" s="226"/>
      <c r="I34" s="337"/>
      <c r="J34" s="338"/>
      <c r="K34" s="255"/>
    </row>
    <row r="35" spans="1:12" x14ac:dyDescent="0.3">
      <c r="B35" s="252"/>
      <c r="C35" s="199"/>
      <c r="D35" s="199"/>
      <c r="E35" s="199"/>
      <c r="F35" s="226"/>
      <c r="G35" s="226"/>
      <c r="H35" s="226"/>
      <c r="I35" s="256"/>
      <c r="J35" s="257"/>
      <c r="K35" s="258"/>
    </row>
    <row r="36" spans="1:12" x14ac:dyDescent="0.3">
      <c r="B36" s="252"/>
      <c r="C36" s="199"/>
      <c r="D36" s="199"/>
      <c r="E36" s="199"/>
      <c r="F36" s="226"/>
      <c r="G36" s="226"/>
      <c r="H36" s="226"/>
      <c r="I36" s="256"/>
      <c r="J36" s="257"/>
      <c r="K36" s="258"/>
    </row>
    <row r="37" spans="1:12" x14ac:dyDescent="0.3">
      <c r="B37" s="252"/>
      <c r="C37" s="199"/>
      <c r="D37" s="199"/>
      <c r="E37" s="199"/>
      <c r="F37" s="226"/>
      <c r="G37" s="226"/>
      <c r="H37" s="226"/>
      <c r="I37" s="256"/>
      <c r="J37" s="257"/>
      <c r="K37" s="258"/>
    </row>
    <row r="38" spans="1:12" x14ac:dyDescent="0.3">
      <c r="B38" s="252"/>
      <c r="C38" s="199"/>
      <c r="D38" s="199"/>
      <c r="E38" s="199"/>
      <c r="F38" s="226"/>
      <c r="G38" s="226"/>
      <c r="H38" s="226"/>
      <c r="I38" s="256"/>
      <c r="J38" s="257"/>
      <c r="K38" s="258"/>
    </row>
    <row r="39" spans="1:12" ht="15" thickBot="1" x14ac:dyDescent="0.35">
      <c r="B39" s="259"/>
      <c r="C39" s="260"/>
      <c r="D39" s="260"/>
      <c r="E39" s="260"/>
      <c r="F39" s="261"/>
      <c r="G39" s="261"/>
      <c r="H39" s="261"/>
      <c r="I39" s="320"/>
      <c r="J39" s="321"/>
      <c r="K39" s="263"/>
    </row>
    <row r="40" spans="1:12" ht="15" thickBot="1" x14ac:dyDescent="0.35">
      <c r="B40" s="339" t="s">
        <v>23</v>
      </c>
      <c r="C40" s="340"/>
      <c r="D40" s="340"/>
      <c r="E40" s="340"/>
      <c r="F40" s="340"/>
      <c r="G40" s="340"/>
      <c r="H40" s="340"/>
      <c r="I40" s="340"/>
      <c r="J40" s="341"/>
      <c r="K40" s="264"/>
    </row>
    <row r="41" spans="1:12" x14ac:dyDescent="0.3">
      <c r="B41" s="186"/>
      <c r="C41" s="187"/>
      <c r="D41" s="187"/>
      <c r="E41" s="187"/>
      <c r="F41" s="187"/>
      <c r="G41" s="187"/>
      <c r="H41" s="187"/>
      <c r="I41" s="187"/>
      <c r="J41" s="187"/>
      <c r="K41" s="188"/>
    </row>
    <row r="42" spans="1:12" x14ac:dyDescent="0.3">
      <c r="B42" s="233" t="s">
        <v>32</v>
      </c>
      <c r="C42" s="234"/>
      <c r="D42" s="234"/>
      <c r="E42" s="234"/>
      <c r="F42" s="234"/>
      <c r="G42" s="234"/>
      <c r="H42" s="234"/>
      <c r="I42" s="234"/>
      <c r="J42" s="234"/>
      <c r="K42" s="235"/>
    </row>
    <row r="43" spans="1:12" ht="15" thickBot="1" x14ac:dyDescent="0.35">
      <c r="B43" s="186"/>
      <c r="C43" s="187"/>
      <c r="D43" s="187"/>
      <c r="E43" s="187"/>
      <c r="F43" s="187"/>
      <c r="G43" s="187"/>
      <c r="H43" s="187"/>
      <c r="I43" s="187"/>
      <c r="J43" s="187"/>
      <c r="K43" s="188"/>
    </row>
    <row r="44" spans="1:12" ht="26.4" x14ac:dyDescent="0.3">
      <c r="B44" s="342" t="s">
        <v>33</v>
      </c>
      <c r="C44" s="302"/>
      <c r="D44" s="302"/>
      <c r="E44" s="302"/>
      <c r="F44" s="248" t="s">
        <v>34</v>
      </c>
      <c r="G44" s="190" t="s">
        <v>35</v>
      </c>
      <c r="H44" s="249" t="s">
        <v>36</v>
      </c>
      <c r="I44" s="343" t="s">
        <v>20</v>
      </c>
      <c r="J44" s="344"/>
      <c r="K44" s="266" t="s">
        <v>21</v>
      </c>
    </row>
    <row r="45" spans="1:12" x14ac:dyDescent="0.3">
      <c r="A45" t="s">
        <v>38</v>
      </c>
      <c r="B45" s="267" t="str">
        <f>VLOOKUP(A45,'[2]MANO DE OBRA'!A8:D68,3,FALSE)</f>
        <v>Oficial</v>
      </c>
      <c r="C45" s="199"/>
      <c r="D45" s="199"/>
      <c r="E45" s="199"/>
      <c r="F45" s="268">
        <f>H45/1.85</f>
        <v>57668.239791571883</v>
      </c>
      <c r="G45" s="1">
        <v>185</v>
      </c>
      <c r="H45" s="2">
        <f>'MANO DE OBRA'!D20</f>
        <v>106686.24361440798</v>
      </c>
      <c r="I45" s="269"/>
      <c r="J45" s="270">
        <v>96</v>
      </c>
      <c r="K45" s="271">
        <f>H45/J45</f>
        <v>1111.3150376500832</v>
      </c>
      <c r="L45" s="272"/>
    </row>
    <row r="46" spans="1:12" x14ac:dyDescent="0.3">
      <c r="A46" t="s">
        <v>51</v>
      </c>
      <c r="B46" s="267" t="str">
        <f>VLOOKUP(A46,'[2]MANO DE OBRA'!A8:D69,3,FALSE)</f>
        <v>Obrero (6)</v>
      </c>
      <c r="C46" s="199"/>
      <c r="D46" s="199"/>
      <c r="E46" s="199"/>
      <c r="F46" s="268">
        <f>H46/1.85</f>
        <v>142350</v>
      </c>
      <c r="G46" s="1">
        <v>185</v>
      </c>
      <c r="H46" s="2">
        <f>'MANO DE OBRA'!D13</f>
        <v>263347.5</v>
      </c>
      <c r="I46" s="269"/>
      <c r="J46" s="273">
        <v>96</v>
      </c>
      <c r="K46" s="271">
        <f>H46/J46</f>
        <v>2743.203125</v>
      </c>
    </row>
    <row r="47" spans="1:12" x14ac:dyDescent="0.3">
      <c r="B47" s="267"/>
      <c r="C47" s="199"/>
      <c r="D47" s="199"/>
      <c r="E47" s="199"/>
      <c r="F47" s="226"/>
      <c r="G47" s="3"/>
      <c r="H47" s="274"/>
      <c r="I47" s="269"/>
      <c r="J47" s="275"/>
      <c r="K47" s="228"/>
    </row>
    <row r="48" spans="1:12" x14ac:dyDescent="0.3">
      <c r="B48" s="267"/>
      <c r="C48" s="199"/>
      <c r="D48" s="199"/>
      <c r="E48" s="199"/>
      <c r="F48" s="226"/>
      <c r="G48" s="3"/>
      <c r="H48" s="274"/>
      <c r="I48" s="245"/>
      <c r="J48" s="275"/>
      <c r="K48" s="228"/>
    </row>
    <row r="49" spans="2:11" x14ac:dyDescent="0.3">
      <c r="B49" s="267"/>
      <c r="C49" s="199"/>
      <c r="D49" s="199"/>
      <c r="E49" s="199"/>
      <c r="F49" s="226"/>
      <c r="G49" s="3"/>
      <c r="H49" s="274"/>
      <c r="I49" s="245"/>
      <c r="J49" s="275"/>
      <c r="K49" s="228"/>
    </row>
    <row r="50" spans="2:11" ht="15" thickBot="1" x14ac:dyDescent="0.35">
      <c r="B50" s="345"/>
      <c r="C50" s="346"/>
      <c r="D50" s="346"/>
      <c r="E50" s="346"/>
      <c r="F50" s="261"/>
      <c r="G50" s="261"/>
      <c r="H50" s="261"/>
      <c r="I50" s="347"/>
      <c r="J50" s="347"/>
      <c r="K50" s="247"/>
    </row>
    <row r="51" spans="2:11" ht="15" thickBot="1" x14ac:dyDescent="0.35">
      <c r="B51" s="339" t="s">
        <v>23</v>
      </c>
      <c r="C51" s="340"/>
      <c r="D51" s="340"/>
      <c r="E51" s="340"/>
      <c r="F51" s="340"/>
      <c r="G51" s="340"/>
      <c r="H51" s="340"/>
      <c r="I51" s="340"/>
      <c r="J51" s="341"/>
      <c r="K51" s="277">
        <f>SUM(K45:K50)</f>
        <v>3854.5181626500835</v>
      </c>
    </row>
    <row r="52" spans="2:11" ht="15" thickBot="1" x14ac:dyDescent="0.35">
      <c r="B52" s="186"/>
      <c r="C52" s="187"/>
      <c r="D52" s="187"/>
      <c r="E52" s="187"/>
      <c r="F52" s="187"/>
      <c r="G52" s="187"/>
      <c r="H52" s="187"/>
      <c r="I52" s="187"/>
      <c r="J52" s="187"/>
      <c r="K52" s="188"/>
    </row>
    <row r="53" spans="2:11" ht="15" thickBot="1" x14ac:dyDescent="0.35">
      <c r="B53" s="328" t="s">
        <v>39</v>
      </c>
      <c r="C53" s="329"/>
      <c r="D53" s="329"/>
      <c r="E53" s="329"/>
      <c r="F53" s="329"/>
      <c r="G53" s="329"/>
      <c r="H53" s="329"/>
      <c r="I53" s="329"/>
      <c r="J53" s="330"/>
      <c r="K53" s="278">
        <f>K19+K29+K40+K51</f>
        <v>26739.969978915091</v>
      </c>
    </row>
    <row r="54" spans="2:11" x14ac:dyDescent="0.3">
      <c r="B54" s="186"/>
      <c r="C54" s="187"/>
      <c r="D54" s="187"/>
      <c r="E54" s="187"/>
      <c r="F54" s="187"/>
      <c r="G54" s="187"/>
      <c r="H54" s="187"/>
      <c r="I54" s="187"/>
      <c r="J54" s="187"/>
      <c r="K54" s="188"/>
    </row>
    <row r="55" spans="2:11" x14ac:dyDescent="0.3">
      <c r="B55" s="233" t="s">
        <v>40</v>
      </c>
      <c r="C55" s="234"/>
      <c r="D55" s="234"/>
      <c r="E55" s="234"/>
      <c r="F55" s="234"/>
      <c r="G55" s="234"/>
      <c r="H55" s="234"/>
      <c r="I55" s="234"/>
      <c r="J55" s="234"/>
      <c r="K55" s="235"/>
    </row>
  </sheetData>
  <mergeCells count="36">
    <mergeCell ref="B53:J53"/>
    <mergeCell ref="B40:J40"/>
    <mergeCell ref="B44:E44"/>
    <mergeCell ref="I44:J44"/>
    <mergeCell ref="B50:E50"/>
    <mergeCell ref="I50:J50"/>
    <mergeCell ref="B51:J51"/>
    <mergeCell ref="I39:J39"/>
    <mergeCell ref="B17:D17"/>
    <mergeCell ref="B18:E18"/>
    <mergeCell ref="F18:G18"/>
    <mergeCell ref="I18:J18"/>
    <mergeCell ref="B19:J19"/>
    <mergeCell ref="B23:F23"/>
    <mergeCell ref="I23:J23"/>
    <mergeCell ref="B28:F28"/>
    <mergeCell ref="I28:J28"/>
    <mergeCell ref="B29:J29"/>
    <mergeCell ref="I33:J33"/>
    <mergeCell ref="I34:J34"/>
    <mergeCell ref="B1:K1"/>
    <mergeCell ref="C3:F3"/>
    <mergeCell ref="I3:J3"/>
    <mergeCell ref="B16:E16"/>
    <mergeCell ref="C4:F4"/>
    <mergeCell ref="I4:J4"/>
    <mergeCell ref="B9:E9"/>
    <mergeCell ref="F9:G9"/>
    <mergeCell ref="I9:J9"/>
    <mergeCell ref="B10:E10"/>
    <mergeCell ref="B13:E13"/>
    <mergeCell ref="B14:E14"/>
    <mergeCell ref="B15:E15"/>
    <mergeCell ref="F15:G15"/>
    <mergeCell ref="I15:J15"/>
    <mergeCell ref="C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2"/>
  <sheetViews>
    <sheetView topLeftCell="B1" workbookViewId="0">
      <selection activeCell="N24" sqref="N24"/>
    </sheetView>
  </sheetViews>
  <sheetFormatPr baseColWidth="10" defaultColWidth="11.44140625" defaultRowHeight="14.4" x14ac:dyDescent="0.3"/>
  <cols>
    <col min="1" max="1" width="10.33203125" hidden="1" customWidth="1"/>
    <col min="2" max="2" width="13.33203125" customWidth="1"/>
    <col min="6" max="6" width="13" bestFit="1" customWidth="1"/>
    <col min="7" max="7" width="15.44140625" customWidth="1"/>
    <col min="8" max="8" width="14.109375" customWidth="1"/>
    <col min="10" max="10" width="17.44140625" customWidth="1"/>
    <col min="11" max="11" width="12" bestFit="1" customWidth="1"/>
  </cols>
  <sheetData>
    <row r="1" spans="1:10" x14ac:dyDescent="0.3">
      <c r="B1" s="297" t="s">
        <v>11</v>
      </c>
      <c r="C1" s="298"/>
      <c r="D1" s="298"/>
      <c r="E1" s="298"/>
      <c r="F1" s="298"/>
      <c r="G1" s="298"/>
      <c r="H1" s="298"/>
      <c r="I1" s="298"/>
      <c r="J1" s="299"/>
    </row>
    <row r="2" spans="1:10" ht="15" thickBot="1" x14ac:dyDescent="0.35">
      <c r="B2" s="186"/>
      <c r="C2" s="187"/>
      <c r="D2" s="187"/>
      <c r="E2" s="187"/>
      <c r="F2" s="187"/>
      <c r="G2" s="187"/>
      <c r="H2" s="187"/>
      <c r="I2" s="187"/>
      <c r="J2" s="188"/>
    </row>
    <row r="3" spans="1:10" ht="27" thickBot="1" x14ac:dyDescent="0.35">
      <c r="B3" s="189" t="s">
        <v>0</v>
      </c>
      <c r="C3" s="300" t="s">
        <v>12</v>
      </c>
      <c r="D3" s="301"/>
      <c r="E3" s="301"/>
      <c r="F3" s="301"/>
      <c r="G3" s="190"/>
      <c r="H3" s="191" t="s">
        <v>13</v>
      </c>
      <c r="I3" s="192"/>
      <c r="J3" s="189" t="s">
        <v>15</v>
      </c>
    </row>
    <row r="4" spans="1:10" ht="15" hidden="1" thickBot="1" x14ac:dyDescent="0.35">
      <c r="B4" s="189" t="s">
        <v>0</v>
      </c>
      <c r="C4" s="300" t="s">
        <v>12</v>
      </c>
      <c r="D4" s="301"/>
      <c r="E4" s="301"/>
      <c r="F4" s="301"/>
      <c r="G4" s="190"/>
      <c r="H4" s="193"/>
      <c r="I4" s="192"/>
      <c r="J4" s="189" t="s">
        <v>15</v>
      </c>
    </row>
    <row r="5" spans="1:10" ht="32.4" customHeight="1" thickBot="1" x14ac:dyDescent="0.35">
      <c r="A5" t="s">
        <v>16</v>
      </c>
      <c r="B5" s="194">
        <v>2</v>
      </c>
      <c r="C5" s="317" t="str">
        <f>PRESUPUESTO!B3</f>
        <v>Transporte, riego y compactacion de material reciclado proveniente de fresado de asfalto para parcheos de vias en espesores varios.</v>
      </c>
      <c r="D5" s="318"/>
      <c r="E5" s="318"/>
      <c r="F5" s="318"/>
      <c r="G5" s="319"/>
      <c r="H5" s="195"/>
      <c r="I5" s="197" t="s">
        <v>43</v>
      </c>
      <c r="J5" s="194"/>
    </row>
    <row r="6" spans="1:10" ht="5.25" customHeight="1" x14ac:dyDescent="0.3">
      <c r="B6" s="186"/>
      <c r="C6" s="187"/>
      <c r="D6" s="187"/>
      <c r="E6" s="187"/>
      <c r="F6" s="187"/>
      <c r="G6" s="187"/>
      <c r="H6" s="187"/>
      <c r="I6" s="187"/>
      <c r="J6" s="188"/>
    </row>
    <row r="7" spans="1:10" x14ac:dyDescent="0.3">
      <c r="B7" s="198" t="s">
        <v>17</v>
      </c>
      <c r="C7" s="199"/>
      <c r="D7" s="199"/>
      <c r="E7" s="199"/>
      <c r="F7" s="199"/>
      <c r="G7" s="199"/>
      <c r="H7" s="199"/>
      <c r="I7" s="199"/>
      <c r="J7" s="200"/>
    </row>
    <row r="8" spans="1:10" ht="15" thickBot="1" x14ac:dyDescent="0.35">
      <c r="B8" s="201"/>
      <c r="C8" s="187"/>
      <c r="D8" s="187"/>
      <c r="E8" s="187"/>
      <c r="F8" s="202"/>
      <c r="G8" s="202"/>
      <c r="H8" s="187"/>
      <c r="I8" s="187"/>
      <c r="J8" s="188"/>
    </row>
    <row r="9" spans="1:10" x14ac:dyDescent="0.3">
      <c r="B9" s="307" t="s">
        <v>12</v>
      </c>
      <c r="C9" s="308"/>
      <c r="D9" s="308"/>
      <c r="E9" s="308"/>
      <c r="F9" s="309" t="s">
        <v>18</v>
      </c>
      <c r="G9" s="310"/>
      <c r="H9" s="208" t="s">
        <v>19</v>
      </c>
      <c r="I9" s="205"/>
      <c r="J9" s="210" t="s">
        <v>21</v>
      </c>
    </row>
    <row r="10" spans="1:10" x14ac:dyDescent="0.3">
      <c r="A10" s="211" t="s">
        <v>44</v>
      </c>
      <c r="B10" s="304"/>
      <c r="C10" s="305"/>
      <c r="D10" s="305"/>
      <c r="E10" s="305"/>
      <c r="F10" s="206"/>
      <c r="G10" s="207"/>
      <c r="H10" s="214"/>
      <c r="I10" s="216"/>
      <c r="J10" s="217"/>
    </row>
    <row r="11" spans="1:10" x14ac:dyDescent="0.3">
      <c r="A11" t="s">
        <v>48</v>
      </c>
      <c r="B11" s="304"/>
      <c r="C11" s="305"/>
      <c r="D11" s="305"/>
      <c r="E11" s="305"/>
      <c r="F11" s="206"/>
      <c r="G11" s="207"/>
      <c r="H11" s="214"/>
      <c r="I11" s="216"/>
      <c r="J11" s="217"/>
    </row>
    <row r="12" spans="1:10" x14ac:dyDescent="0.3">
      <c r="B12" s="304"/>
      <c r="C12" s="305"/>
      <c r="D12" s="305"/>
      <c r="E12" s="305"/>
      <c r="F12" s="313"/>
      <c r="G12" s="314"/>
      <c r="H12" s="214"/>
      <c r="I12" s="218"/>
      <c r="J12" s="217"/>
    </row>
    <row r="13" spans="1:10" x14ac:dyDescent="0.3">
      <c r="B13" s="304"/>
      <c r="C13" s="305"/>
      <c r="D13" s="305"/>
      <c r="E13" s="306"/>
      <c r="F13" s="219"/>
      <c r="G13" s="220"/>
      <c r="H13" s="221"/>
      <c r="I13" s="223"/>
      <c r="J13" s="224"/>
    </row>
    <row r="14" spans="1:10" x14ac:dyDescent="0.3">
      <c r="B14" s="322" t="s">
        <v>22</v>
      </c>
      <c r="C14" s="323"/>
      <c r="D14" s="323"/>
      <c r="E14" s="225"/>
      <c r="F14" s="219"/>
      <c r="G14" s="220"/>
      <c r="H14" s="226"/>
      <c r="I14" s="227">
        <v>0.05</v>
      </c>
      <c r="J14" s="228">
        <f>J48*I14</f>
        <v>33.762500000000003</v>
      </c>
    </row>
    <row r="15" spans="1:10" ht="15" thickBot="1" x14ac:dyDescent="0.35">
      <c r="B15" s="304"/>
      <c r="C15" s="305"/>
      <c r="D15" s="305"/>
      <c r="E15" s="305"/>
      <c r="F15" s="324"/>
      <c r="G15" s="325"/>
      <c r="H15" s="229"/>
      <c r="I15" s="230"/>
      <c r="J15" s="231"/>
    </row>
    <row r="16" spans="1:10" ht="15" thickBot="1" x14ac:dyDescent="0.35">
      <c r="B16" s="328" t="s">
        <v>23</v>
      </c>
      <c r="C16" s="329"/>
      <c r="D16" s="329"/>
      <c r="E16" s="329"/>
      <c r="F16" s="329"/>
      <c r="G16" s="329"/>
      <c r="H16" s="329"/>
      <c r="I16" s="330"/>
      <c r="J16" s="232">
        <f>SUM(J10:J15)</f>
        <v>33.762500000000003</v>
      </c>
    </row>
    <row r="17" spans="1:10" x14ac:dyDescent="0.3">
      <c r="B17" s="201"/>
      <c r="C17" s="187"/>
      <c r="D17" s="187"/>
      <c r="E17" s="187"/>
      <c r="F17" s="187"/>
      <c r="G17" s="187"/>
      <c r="H17" s="187"/>
      <c r="I17" s="187"/>
      <c r="J17" s="188"/>
    </row>
    <row r="18" spans="1:10" x14ac:dyDescent="0.3">
      <c r="B18" s="233" t="s">
        <v>24</v>
      </c>
      <c r="C18" s="234"/>
      <c r="D18" s="234"/>
      <c r="E18" s="234"/>
      <c r="F18" s="234"/>
      <c r="G18" s="234"/>
      <c r="H18" s="234"/>
      <c r="I18" s="234"/>
      <c r="J18" s="235"/>
    </row>
    <row r="19" spans="1:10" ht="15" thickBot="1" x14ac:dyDescent="0.35">
      <c r="B19" s="236"/>
      <c r="C19" s="202"/>
      <c r="D19" s="202"/>
      <c r="E19" s="202"/>
      <c r="F19" s="202"/>
      <c r="G19" s="187"/>
      <c r="H19" s="187"/>
      <c r="I19" s="187"/>
      <c r="J19" s="188"/>
    </row>
    <row r="20" spans="1:10" x14ac:dyDescent="0.3">
      <c r="B20" s="307" t="s">
        <v>12</v>
      </c>
      <c r="C20" s="308"/>
      <c r="D20" s="308"/>
      <c r="E20" s="308"/>
      <c r="F20" s="312"/>
      <c r="G20" s="209" t="s">
        <v>14</v>
      </c>
      <c r="H20" s="208" t="s">
        <v>15</v>
      </c>
      <c r="I20" s="205"/>
      <c r="J20" s="210" t="s">
        <v>21</v>
      </c>
    </row>
    <row r="21" spans="1:10" x14ac:dyDescent="0.3">
      <c r="A21" t="s">
        <v>49</v>
      </c>
      <c r="B21" s="237" t="s">
        <v>97</v>
      </c>
      <c r="C21" s="238"/>
      <c r="D21" s="238"/>
      <c r="E21" s="238"/>
      <c r="F21" s="207"/>
      <c r="G21" s="239" t="s">
        <v>98</v>
      </c>
      <c r="H21" s="279">
        <v>14406</v>
      </c>
      <c r="I21" s="216">
        <v>0.45</v>
      </c>
      <c r="J21" s="217">
        <f>H21*I21</f>
        <v>6482.7</v>
      </c>
    </row>
    <row r="22" spans="1:10" x14ac:dyDescent="0.3">
      <c r="A22" t="s">
        <v>50</v>
      </c>
      <c r="B22" s="237"/>
      <c r="C22" s="238"/>
      <c r="D22" s="238"/>
      <c r="E22" s="238"/>
      <c r="F22" s="207"/>
      <c r="G22" s="239"/>
      <c r="H22" s="240"/>
      <c r="I22" s="241"/>
      <c r="J22" s="217"/>
    </row>
    <row r="23" spans="1:10" x14ac:dyDescent="0.3">
      <c r="B23" s="237"/>
      <c r="C23" s="238"/>
      <c r="D23" s="238"/>
      <c r="E23" s="238"/>
      <c r="F23" s="207"/>
      <c r="G23" s="239"/>
      <c r="H23" s="240"/>
      <c r="I23" s="242"/>
      <c r="J23" s="243"/>
    </row>
    <row r="24" spans="1:10" x14ac:dyDescent="0.3">
      <c r="B24" s="237"/>
      <c r="C24" s="238"/>
      <c r="D24" s="238"/>
      <c r="E24" s="238"/>
      <c r="F24" s="207"/>
      <c r="G24" s="239"/>
      <c r="H24" s="240"/>
      <c r="I24" s="242"/>
      <c r="J24" s="243"/>
    </row>
    <row r="25" spans="1:10" ht="15" thickBot="1" x14ac:dyDescent="0.35">
      <c r="B25" s="331"/>
      <c r="C25" s="332"/>
      <c r="D25" s="332"/>
      <c r="E25" s="332"/>
      <c r="F25" s="314"/>
      <c r="G25" s="234"/>
      <c r="H25" s="244"/>
      <c r="I25" s="246"/>
      <c r="J25" s="247"/>
    </row>
    <row r="26" spans="1:10" ht="15" thickBot="1" x14ac:dyDescent="0.35">
      <c r="B26" s="328" t="s">
        <v>23</v>
      </c>
      <c r="C26" s="329"/>
      <c r="D26" s="329"/>
      <c r="E26" s="329"/>
      <c r="F26" s="329"/>
      <c r="G26" s="329"/>
      <c r="H26" s="329"/>
      <c r="I26" s="330"/>
      <c r="J26" s="232">
        <f>SUM(J21:J25)</f>
        <v>6482.7</v>
      </c>
    </row>
    <row r="27" spans="1:10" x14ac:dyDescent="0.3">
      <c r="B27" s="186"/>
      <c r="C27" s="187"/>
      <c r="D27" s="187"/>
      <c r="E27" s="187"/>
      <c r="F27" s="187"/>
      <c r="G27" s="187"/>
      <c r="H27" s="187"/>
      <c r="I27" s="187"/>
      <c r="J27" s="188"/>
    </row>
    <row r="28" spans="1:10" x14ac:dyDescent="0.3">
      <c r="B28" s="233" t="s">
        <v>26</v>
      </c>
      <c r="C28" s="234"/>
      <c r="D28" s="234"/>
      <c r="E28" s="234"/>
      <c r="F28" s="234"/>
      <c r="G28" s="234"/>
      <c r="H28" s="234"/>
      <c r="I28" s="234"/>
      <c r="J28" s="235"/>
    </row>
    <row r="29" spans="1:10" x14ac:dyDescent="0.3">
      <c r="B29" s="186"/>
      <c r="C29" s="187"/>
      <c r="D29" s="187"/>
      <c r="E29" s="187"/>
      <c r="F29" s="187"/>
      <c r="G29" s="187"/>
      <c r="H29" s="187"/>
      <c r="I29" s="187"/>
      <c r="J29" s="188"/>
    </row>
    <row r="30" spans="1:10" ht="26.4" x14ac:dyDescent="0.3">
      <c r="B30" s="203" t="s">
        <v>27</v>
      </c>
      <c r="C30" s="204"/>
      <c r="D30" s="204"/>
      <c r="E30" s="204"/>
      <c r="F30" s="249" t="s">
        <v>28</v>
      </c>
      <c r="G30" s="190" t="s">
        <v>29</v>
      </c>
      <c r="H30" s="248" t="s">
        <v>30</v>
      </c>
      <c r="I30" s="250"/>
      <c r="J30" s="251" t="s">
        <v>21</v>
      </c>
    </row>
    <row r="31" spans="1:10" x14ac:dyDescent="0.3">
      <c r="B31" s="252" t="s">
        <v>166</v>
      </c>
      <c r="C31" s="234"/>
      <c r="D31" s="234"/>
      <c r="E31" s="234"/>
      <c r="F31" s="226">
        <v>1</v>
      </c>
      <c r="G31" s="253">
        <v>30</v>
      </c>
      <c r="H31" s="226">
        <f>F31*G31</f>
        <v>30</v>
      </c>
      <c r="I31" s="254">
        <v>50</v>
      </c>
      <c r="J31" s="255">
        <f>H31*I31</f>
        <v>1500</v>
      </c>
    </row>
    <row r="32" spans="1:10" x14ac:dyDescent="0.3">
      <c r="B32" s="252"/>
      <c r="C32" s="199"/>
      <c r="D32" s="199"/>
      <c r="E32" s="199"/>
      <c r="F32" s="226"/>
      <c r="G32" s="226"/>
      <c r="H32" s="226"/>
      <c r="I32" s="257"/>
      <c r="J32" s="258"/>
    </row>
    <row r="33" spans="1:11" x14ac:dyDescent="0.3">
      <c r="B33" s="252"/>
      <c r="C33" s="199"/>
      <c r="D33" s="199"/>
      <c r="E33" s="199"/>
      <c r="F33" s="226"/>
      <c r="G33" s="226"/>
      <c r="H33" s="226"/>
      <c r="I33" s="257"/>
      <c r="J33" s="258"/>
    </row>
    <row r="34" spans="1:11" x14ac:dyDescent="0.3">
      <c r="B34" s="252"/>
      <c r="C34" s="199"/>
      <c r="D34" s="199"/>
      <c r="E34" s="199"/>
      <c r="F34" s="226"/>
      <c r="G34" s="226"/>
      <c r="H34" s="226"/>
      <c r="I34" s="257"/>
      <c r="J34" s="258"/>
    </row>
    <row r="35" spans="1:11" x14ac:dyDescent="0.3">
      <c r="B35" s="252"/>
      <c r="C35" s="199"/>
      <c r="D35" s="199"/>
      <c r="E35" s="199"/>
      <c r="F35" s="226"/>
      <c r="G35" s="226"/>
      <c r="H35" s="226"/>
      <c r="I35" s="257"/>
      <c r="J35" s="258"/>
    </row>
    <row r="36" spans="1:11" ht="15" thickBot="1" x14ac:dyDescent="0.35">
      <c r="B36" s="259"/>
      <c r="C36" s="260"/>
      <c r="D36" s="260"/>
      <c r="E36" s="260"/>
      <c r="F36" s="261"/>
      <c r="G36" s="261"/>
      <c r="H36" s="261"/>
      <c r="I36" s="262"/>
      <c r="J36" s="263"/>
    </row>
    <row r="37" spans="1:11" ht="15" thickBot="1" x14ac:dyDescent="0.35">
      <c r="B37" s="339" t="s">
        <v>23</v>
      </c>
      <c r="C37" s="340"/>
      <c r="D37" s="340"/>
      <c r="E37" s="340"/>
      <c r="F37" s="340"/>
      <c r="G37" s="340"/>
      <c r="H37" s="340"/>
      <c r="I37" s="341"/>
      <c r="J37" s="264">
        <f>SUM(J31:J36)</f>
        <v>1500</v>
      </c>
    </row>
    <row r="38" spans="1:11" x14ac:dyDescent="0.3">
      <c r="B38" s="186"/>
      <c r="C38" s="187"/>
      <c r="D38" s="187"/>
      <c r="E38" s="187"/>
      <c r="F38" s="187"/>
      <c r="G38" s="187"/>
      <c r="H38" s="187"/>
      <c r="I38" s="187"/>
      <c r="J38" s="188"/>
    </row>
    <row r="39" spans="1:11" x14ac:dyDescent="0.3">
      <c r="B39" s="233" t="s">
        <v>32</v>
      </c>
      <c r="C39" s="234"/>
      <c r="D39" s="234"/>
      <c r="E39" s="234"/>
      <c r="F39" s="234"/>
      <c r="G39" s="234"/>
      <c r="H39" s="234"/>
      <c r="I39" s="234"/>
      <c r="J39" s="235"/>
    </row>
    <row r="40" spans="1:11" ht="15" thickBot="1" x14ac:dyDescent="0.35">
      <c r="B40" s="186"/>
      <c r="C40" s="187"/>
      <c r="D40" s="187"/>
      <c r="E40" s="187"/>
      <c r="F40" s="187"/>
      <c r="G40" s="187"/>
      <c r="H40" s="187"/>
      <c r="I40" s="187"/>
      <c r="J40" s="188"/>
    </row>
    <row r="41" spans="1:11" ht="26.4" x14ac:dyDescent="0.3">
      <c r="B41" s="342" t="s">
        <v>33</v>
      </c>
      <c r="C41" s="302"/>
      <c r="D41" s="302"/>
      <c r="E41" s="302"/>
      <c r="F41" s="248" t="s">
        <v>34</v>
      </c>
      <c r="G41" s="190" t="s">
        <v>35</v>
      </c>
      <c r="H41" s="249" t="s">
        <v>36</v>
      </c>
      <c r="I41" s="265"/>
      <c r="J41" s="266" t="s">
        <v>21</v>
      </c>
    </row>
    <row r="42" spans="1:11" x14ac:dyDescent="0.3">
      <c r="A42" t="s">
        <v>38</v>
      </c>
      <c r="B42" s="267" t="s">
        <v>167</v>
      </c>
      <c r="C42" s="199"/>
      <c r="D42" s="199"/>
      <c r="E42" s="199"/>
      <c r="F42" s="268">
        <f>'MANO DE OBRA'!D6/1.85</f>
        <v>47450</v>
      </c>
      <c r="G42" s="280">
        <v>0.85</v>
      </c>
      <c r="H42" s="2">
        <f>F42*(1+G42)</f>
        <v>87782.5</v>
      </c>
      <c r="I42" s="270">
        <v>130</v>
      </c>
      <c r="J42" s="271">
        <f>H42/I42</f>
        <v>675.25</v>
      </c>
      <c r="K42" s="272"/>
    </row>
    <row r="43" spans="1:11" x14ac:dyDescent="0.3">
      <c r="A43" t="s">
        <v>51</v>
      </c>
      <c r="B43" s="267"/>
      <c r="C43" s="199"/>
      <c r="D43" s="199"/>
      <c r="E43" s="199"/>
      <c r="F43" s="268"/>
      <c r="G43" s="1"/>
      <c r="H43" s="2"/>
      <c r="I43" s="273"/>
      <c r="J43" s="271"/>
    </row>
    <row r="44" spans="1:11" x14ac:dyDescent="0.3">
      <c r="B44" s="267"/>
      <c r="C44" s="199"/>
      <c r="D44" s="199"/>
      <c r="E44" s="199"/>
      <c r="F44" s="226"/>
      <c r="G44" s="3"/>
      <c r="H44" s="274"/>
      <c r="I44" s="275"/>
      <c r="J44" s="228"/>
    </row>
    <row r="45" spans="1:11" x14ac:dyDescent="0.3">
      <c r="B45" s="267"/>
      <c r="C45" s="199"/>
      <c r="D45" s="199"/>
      <c r="E45" s="199"/>
      <c r="F45" s="226"/>
      <c r="G45" s="3"/>
      <c r="H45" s="274"/>
      <c r="I45" s="275"/>
      <c r="J45" s="228"/>
    </row>
    <row r="46" spans="1:11" x14ac:dyDescent="0.3">
      <c r="B46" s="267"/>
      <c r="C46" s="199"/>
      <c r="D46" s="199"/>
      <c r="E46" s="199"/>
      <c r="F46" s="226"/>
      <c r="G46" s="3"/>
      <c r="H46" s="274"/>
      <c r="I46" s="275"/>
      <c r="J46" s="228"/>
    </row>
    <row r="47" spans="1:11" ht="15" thickBot="1" x14ac:dyDescent="0.35">
      <c r="B47" s="345"/>
      <c r="C47" s="346"/>
      <c r="D47" s="346"/>
      <c r="E47" s="346"/>
      <c r="F47" s="261"/>
      <c r="G47" s="261"/>
      <c r="H47" s="261"/>
      <c r="I47" s="276"/>
      <c r="J47" s="247"/>
    </row>
    <row r="48" spans="1:11" ht="15" thickBot="1" x14ac:dyDescent="0.35">
      <c r="B48" s="339" t="s">
        <v>23</v>
      </c>
      <c r="C48" s="340"/>
      <c r="D48" s="340"/>
      <c r="E48" s="340"/>
      <c r="F48" s="340"/>
      <c r="G48" s="340"/>
      <c r="H48" s="340"/>
      <c r="I48" s="341"/>
      <c r="J48" s="277">
        <f>SUM(J42:J47)</f>
        <v>675.25</v>
      </c>
    </row>
    <row r="49" spans="2:10" ht="15" thickBot="1" x14ac:dyDescent="0.35">
      <c r="B49" s="186"/>
      <c r="C49" s="187"/>
      <c r="D49" s="187"/>
      <c r="E49" s="187"/>
      <c r="F49" s="187"/>
      <c r="G49" s="187"/>
      <c r="H49" s="187"/>
      <c r="I49" s="187"/>
      <c r="J49" s="188"/>
    </row>
    <row r="50" spans="2:10" ht="15" thickBot="1" x14ac:dyDescent="0.35">
      <c r="B50" s="328" t="s">
        <v>39</v>
      </c>
      <c r="C50" s="329"/>
      <c r="D50" s="329"/>
      <c r="E50" s="329"/>
      <c r="F50" s="329"/>
      <c r="G50" s="329"/>
      <c r="H50" s="329"/>
      <c r="I50" s="330"/>
      <c r="J50" s="278">
        <f>J16+J26+J37+J48</f>
        <v>8691.7124999999996</v>
      </c>
    </row>
    <row r="51" spans="2:10" x14ac:dyDescent="0.3">
      <c r="B51" s="186"/>
      <c r="C51" s="187"/>
      <c r="D51" s="187"/>
      <c r="E51" s="187"/>
      <c r="F51" s="187"/>
      <c r="G51" s="187"/>
      <c r="H51" s="187"/>
      <c r="I51" s="187"/>
      <c r="J51" s="188"/>
    </row>
    <row r="52" spans="2:10" x14ac:dyDescent="0.3">
      <c r="B52" s="233" t="s">
        <v>40</v>
      </c>
      <c r="C52" s="234"/>
      <c r="D52" s="234"/>
      <c r="E52" s="234"/>
      <c r="F52" s="234"/>
      <c r="G52" s="234"/>
      <c r="H52" s="234"/>
      <c r="I52" s="234"/>
      <c r="J52" s="235"/>
    </row>
  </sheetData>
  <mergeCells count="23">
    <mergeCell ref="B47:E47"/>
    <mergeCell ref="B48:I48"/>
    <mergeCell ref="B50:I50"/>
    <mergeCell ref="B37:I37"/>
    <mergeCell ref="B41:E41"/>
    <mergeCell ref="B16:I16"/>
    <mergeCell ref="B20:F20"/>
    <mergeCell ref="B25:F25"/>
    <mergeCell ref="B26:I26"/>
    <mergeCell ref="B12:E12"/>
    <mergeCell ref="F12:G12"/>
    <mergeCell ref="B13:E13"/>
    <mergeCell ref="B14:D14"/>
    <mergeCell ref="B15:E15"/>
    <mergeCell ref="F15:G15"/>
    <mergeCell ref="B9:E9"/>
    <mergeCell ref="F9:G9"/>
    <mergeCell ref="B10:E10"/>
    <mergeCell ref="B11:E11"/>
    <mergeCell ref="B1:J1"/>
    <mergeCell ref="C3:F3"/>
    <mergeCell ref="C4:F4"/>
    <mergeCell ref="C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8"/>
  <sheetViews>
    <sheetView workbookViewId="0">
      <selection activeCell="D6" sqref="D6"/>
    </sheetView>
  </sheetViews>
  <sheetFormatPr baseColWidth="10" defaultColWidth="9.109375" defaultRowHeight="14.4" x14ac:dyDescent="0.3"/>
  <cols>
    <col min="1" max="1" width="11.44140625" customWidth="1"/>
    <col min="2" max="2" width="9.109375" style="21"/>
    <col min="3" max="3" width="84.44140625" style="22" customWidth="1"/>
    <col min="4" max="4" width="17.88671875" style="23" customWidth="1"/>
    <col min="5" max="5" width="14.6640625" customWidth="1"/>
  </cols>
  <sheetData>
    <row r="1" spans="1:5" ht="15.6" thickTop="1" thickBot="1" x14ac:dyDescent="0.35">
      <c r="A1" s="348" t="s">
        <v>54</v>
      </c>
      <c r="B1" s="348"/>
      <c r="C1" s="348"/>
      <c r="D1" s="348"/>
    </row>
    <row r="2" spans="1:5" ht="15.6" thickTop="1" thickBot="1" x14ac:dyDescent="0.35">
      <c r="A2" s="348"/>
      <c r="B2" s="348"/>
      <c r="C2" s="348"/>
      <c r="D2" s="348"/>
    </row>
    <row r="3" spans="1:5" ht="15.6" thickTop="1" thickBot="1" x14ac:dyDescent="0.35">
      <c r="A3" s="348"/>
      <c r="B3" s="348"/>
      <c r="C3" s="348"/>
      <c r="D3" s="348"/>
    </row>
    <row r="4" spans="1:5" ht="15.6" thickTop="1" thickBot="1" x14ac:dyDescent="0.35">
      <c r="A4" s="4" t="s">
        <v>55</v>
      </c>
      <c r="B4" s="5" t="s">
        <v>56</v>
      </c>
      <c r="C4" s="6" t="s">
        <v>96</v>
      </c>
      <c r="D4" s="7">
        <f>1423500/30</f>
        <v>47450</v>
      </c>
    </row>
    <row r="5" spans="1:5" ht="15.6" thickTop="1" thickBot="1" x14ac:dyDescent="0.35">
      <c r="A5" s="8"/>
      <c r="B5" s="9"/>
      <c r="C5" s="10"/>
      <c r="D5" s="11" t="s">
        <v>57</v>
      </c>
    </row>
    <row r="6" spans="1:5" ht="15.6" thickTop="1" thickBot="1" x14ac:dyDescent="0.35">
      <c r="A6" s="12" t="s">
        <v>58</v>
      </c>
      <c r="B6" s="13" t="s">
        <v>56</v>
      </c>
      <c r="C6" s="14" t="s">
        <v>59</v>
      </c>
      <c r="D6" s="15">
        <f>$D$4*1.85</f>
        <v>87782.5</v>
      </c>
      <c r="E6" s="16"/>
    </row>
    <row r="7" spans="1:5" ht="15.6" thickTop="1" thickBot="1" x14ac:dyDescent="0.35">
      <c r="A7" s="12" t="s">
        <v>60</v>
      </c>
      <c r="B7" s="13" t="s">
        <v>56</v>
      </c>
      <c r="C7" s="14" t="s">
        <v>61</v>
      </c>
      <c r="D7" s="15">
        <v>213372.48722881597</v>
      </c>
    </row>
    <row r="8" spans="1:5" ht="15.6" thickTop="1" thickBot="1" x14ac:dyDescent="0.35">
      <c r="A8" s="12" t="s">
        <v>62</v>
      </c>
      <c r="B8" s="13" t="s">
        <v>56</v>
      </c>
      <c r="C8" s="14" t="s">
        <v>63</v>
      </c>
      <c r="D8" s="15">
        <v>320058.73084322392</v>
      </c>
    </row>
    <row r="9" spans="1:5" ht="16.5" customHeight="1" thickTop="1" thickBot="1" x14ac:dyDescent="0.35">
      <c r="A9" s="12" t="s">
        <v>64</v>
      </c>
      <c r="B9" s="13" t="s">
        <v>56</v>
      </c>
      <c r="C9" s="14" t="s">
        <v>65</v>
      </c>
      <c r="D9" s="15">
        <f>$D$20+$D$26</f>
        <v>194468.74361440798</v>
      </c>
    </row>
    <row r="10" spans="1:5" ht="15.6" thickTop="1" thickBot="1" x14ac:dyDescent="0.35">
      <c r="A10" s="12" t="s">
        <v>66</v>
      </c>
      <c r="B10" s="13" t="s">
        <v>56</v>
      </c>
      <c r="C10" s="14" t="s">
        <v>67</v>
      </c>
      <c r="D10" s="15">
        <v>160029.36542161196</v>
      </c>
    </row>
    <row r="11" spans="1:5" ht="15.6" thickTop="1" thickBot="1" x14ac:dyDescent="0.35">
      <c r="A11" s="12" t="s">
        <v>68</v>
      </c>
      <c r="B11" s="13" t="s">
        <v>56</v>
      </c>
      <c r="C11" s="14" t="s">
        <v>69</v>
      </c>
      <c r="D11" s="15">
        <f>$D$26*10</f>
        <v>877825</v>
      </c>
    </row>
    <row r="12" spans="1:5" ht="15.6" thickTop="1" thickBot="1" x14ac:dyDescent="0.35">
      <c r="A12" s="12" t="s">
        <v>37</v>
      </c>
      <c r="B12" s="13" t="s">
        <v>56</v>
      </c>
      <c r="C12" s="14" t="s">
        <v>70</v>
      </c>
      <c r="D12" s="15">
        <f>$D$26*2</f>
        <v>175565</v>
      </c>
    </row>
    <row r="13" spans="1:5" ht="15.6" thickTop="1" thickBot="1" x14ac:dyDescent="0.35">
      <c r="A13" s="12" t="s">
        <v>71</v>
      </c>
      <c r="B13" s="13" t="s">
        <v>56</v>
      </c>
      <c r="C13" s="14" t="s">
        <v>72</v>
      </c>
      <c r="D13" s="15">
        <f>$D$26*3</f>
        <v>263347.5</v>
      </c>
    </row>
    <row r="14" spans="1:5" ht="15.6" thickTop="1" thickBot="1" x14ac:dyDescent="0.35">
      <c r="A14" s="12" t="s">
        <v>52</v>
      </c>
      <c r="B14" s="13" t="s">
        <v>56</v>
      </c>
      <c r="C14" s="14" t="s">
        <v>73</v>
      </c>
      <c r="D14" s="15">
        <f>$D$26*4</f>
        <v>351130</v>
      </c>
    </row>
    <row r="15" spans="1:5" ht="15.6" thickTop="1" thickBot="1" x14ac:dyDescent="0.35">
      <c r="A15" s="12" t="s">
        <v>74</v>
      </c>
      <c r="B15" s="13" t="s">
        <v>56</v>
      </c>
      <c r="C15" s="14" t="s">
        <v>75</v>
      </c>
      <c r="D15" s="15">
        <f>$D$26*5</f>
        <v>438912.5</v>
      </c>
    </row>
    <row r="16" spans="1:5" ht="15.6" thickTop="1" thickBot="1" x14ac:dyDescent="0.35">
      <c r="A16" s="12" t="s">
        <v>51</v>
      </c>
      <c r="B16" s="13" t="s">
        <v>56</v>
      </c>
      <c r="C16" s="14" t="s">
        <v>76</v>
      </c>
      <c r="D16" s="15">
        <f>$D$26*6</f>
        <v>526695</v>
      </c>
    </row>
    <row r="17" spans="1:5" ht="15.6" thickTop="1" thickBot="1" x14ac:dyDescent="0.35">
      <c r="A17" s="12" t="s">
        <v>77</v>
      </c>
      <c r="B17" s="13" t="s">
        <v>56</v>
      </c>
      <c r="C17" s="14" t="s">
        <v>78</v>
      </c>
      <c r="D17" s="15">
        <f>$D$26*7</f>
        <v>614477.5</v>
      </c>
    </row>
    <row r="18" spans="1:5" ht="15.6" thickTop="1" thickBot="1" x14ac:dyDescent="0.35">
      <c r="A18" s="12" t="s">
        <v>79</v>
      </c>
      <c r="B18" s="13" t="s">
        <v>56</v>
      </c>
      <c r="C18" s="14" t="s">
        <v>80</v>
      </c>
      <c r="D18" s="15">
        <f>$D$26*8</f>
        <v>702260</v>
      </c>
    </row>
    <row r="19" spans="1:5" ht="15.6" thickTop="1" thickBot="1" x14ac:dyDescent="0.35">
      <c r="A19" s="12" t="s">
        <v>81</v>
      </c>
      <c r="B19" s="13" t="s">
        <v>56</v>
      </c>
      <c r="C19" s="14" t="s">
        <v>82</v>
      </c>
      <c r="D19" s="15">
        <f>$D$26*9</f>
        <v>790042.5</v>
      </c>
    </row>
    <row r="20" spans="1:5" ht="15.6" thickTop="1" thickBot="1" x14ac:dyDescent="0.35">
      <c r="A20" s="12" t="s">
        <v>38</v>
      </c>
      <c r="B20" s="13" t="s">
        <v>56</v>
      </c>
      <c r="C20" s="14" t="s">
        <v>83</v>
      </c>
      <c r="D20" s="15">
        <v>106686.24361440798</v>
      </c>
    </row>
    <row r="21" spans="1:5" ht="17.25" customHeight="1" thickTop="1" thickBot="1" x14ac:dyDescent="0.35">
      <c r="A21" s="12" t="s">
        <v>84</v>
      </c>
      <c r="B21" s="13" t="s">
        <v>56</v>
      </c>
      <c r="C21" s="14" t="s">
        <v>85</v>
      </c>
      <c r="D21" s="15">
        <v>266715.60903601995</v>
      </c>
    </row>
    <row r="22" spans="1:5" ht="15.6" thickTop="1" thickBot="1" x14ac:dyDescent="0.35">
      <c r="A22" s="12" t="s">
        <v>86</v>
      </c>
      <c r="B22" s="13" t="s">
        <v>56</v>
      </c>
      <c r="C22" s="14" t="s">
        <v>87</v>
      </c>
      <c r="D22" s="15">
        <f>D20*2</f>
        <v>213372.48722881597</v>
      </c>
    </row>
    <row r="23" spans="1:5" ht="15.6" thickTop="1" thickBot="1" x14ac:dyDescent="0.35">
      <c r="A23" s="12" t="s">
        <v>88</v>
      </c>
      <c r="B23" s="13" t="s">
        <v>56</v>
      </c>
      <c r="C23" s="14" t="s">
        <v>89</v>
      </c>
      <c r="D23" s="15">
        <f>D20*3</f>
        <v>320058.73084322398</v>
      </c>
    </row>
    <row r="24" spans="1:5" ht="15.6" thickTop="1" thickBot="1" x14ac:dyDescent="0.35">
      <c r="A24" s="12" t="s">
        <v>90</v>
      </c>
      <c r="B24" s="13" t="s">
        <v>56</v>
      </c>
      <c r="C24" s="14" t="s">
        <v>91</v>
      </c>
      <c r="D24" s="15" t="e">
        <f>D20+(3*#REF!)</f>
        <v>#REF!</v>
      </c>
    </row>
    <row r="25" spans="1:5" ht="15.6" thickTop="1" thickBot="1" x14ac:dyDescent="0.35">
      <c r="A25" s="12" t="s">
        <v>92</v>
      </c>
      <c r="B25" s="13" t="s">
        <v>56</v>
      </c>
      <c r="C25" s="14" t="s">
        <v>93</v>
      </c>
      <c r="D25" s="15">
        <v>160029.36542161196</v>
      </c>
    </row>
    <row r="26" spans="1:5" ht="17.25" customHeight="1" thickTop="1" thickBot="1" x14ac:dyDescent="0.35">
      <c r="A26" s="12" t="s">
        <v>94</v>
      </c>
      <c r="B26" s="13" t="s">
        <v>56</v>
      </c>
      <c r="C26" s="14" t="s">
        <v>95</v>
      </c>
      <c r="D26" s="15">
        <f>$D$4*1.85</f>
        <v>87782.5</v>
      </c>
      <c r="E26" s="16"/>
    </row>
    <row r="27" spans="1:5" ht="15" thickTop="1" x14ac:dyDescent="0.3">
      <c r="A27" s="17"/>
      <c r="B27" s="18"/>
      <c r="C27" s="19"/>
      <c r="D27" s="20"/>
    </row>
    <row r="28" spans="1:5" x14ac:dyDescent="0.3">
      <c r="A28" s="17"/>
      <c r="B28" s="18"/>
      <c r="C28" s="19"/>
      <c r="D28" s="20"/>
    </row>
  </sheetData>
  <mergeCells count="1">
    <mergeCell ref="A1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8"/>
  <sheetViews>
    <sheetView topLeftCell="A3" workbookViewId="0">
      <selection activeCell="J27" sqref="J27"/>
    </sheetView>
  </sheetViews>
  <sheetFormatPr baseColWidth="10" defaultColWidth="9.109375" defaultRowHeight="14.4" x14ac:dyDescent="0.3"/>
  <cols>
    <col min="1" max="1" width="8.33203125" style="24" customWidth="1"/>
    <col min="2" max="2" width="47.44140625" style="24" customWidth="1"/>
    <col min="3" max="3" width="11.44140625" style="24" customWidth="1"/>
    <col min="4" max="4" width="15.109375" style="24" customWidth="1"/>
    <col min="5" max="5" width="12.44140625" style="24" customWidth="1"/>
    <col min="6" max="6" width="17.109375" style="24" customWidth="1"/>
    <col min="7" max="7" width="11.44140625" style="24" customWidth="1"/>
    <col min="8" max="8" width="16.77734375" style="106" customWidth="1"/>
    <col min="9" max="9" width="20.44140625" style="24" customWidth="1"/>
    <col min="10" max="10" width="18.6640625" style="24" customWidth="1"/>
    <col min="11" max="256" width="11.44140625" style="24" customWidth="1"/>
    <col min="257" max="16384" width="9.109375" style="24"/>
  </cols>
  <sheetData>
    <row r="1" spans="1:10" s="25" customFormat="1" ht="18" x14ac:dyDescent="0.5">
      <c r="A1" s="349"/>
      <c r="B1" s="351" t="s">
        <v>100</v>
      </c>
      <c r="C1" s="351"/>
      <c r="D1" s="351"/>
      <c r="E1" s="351"/>
      <c r="F1" s="351"/>
      <c r="G1" s="351"/>
      <c r="H1" s="352"/>
      <c r="I1" s="24"/>
    </row>
    <row r="2" spans="1:10" s="25" customFormat="1" ht="18" x14ac:dyDescent="0.5">
      <c r="A2" s="350"/>
      <c r="B2" s="353"/>
      <c r="C2" s="353"/>
      <c r="D2" s="353"/>
      <c r="E2" s="353"/>
      <c r="F2" s="353"/>
      <c r="G2" s="353"/>
      <c r="H2" s="352"/>
      <c r="I2" s="24"/>
    </row>
    <row r="3" spans="1:10" s="25" customFormat="1" ht="18" x14ac:dyDescent="0.5">
      <c r="A3" s="350"/>
      <c r="B3" s="354" t="s">
        <v>101</v>
      </c>
      <c r="C3" s="354"/>
      <c r="D3" s="354"/>
      <c r="E3" s="355" t="s">
        <v>102</v>
      </c>
      <c r="F3" s="355"/>
      <c r="G3" s="355"/>
      <c r="H3" s="352"/>
      <c r="I3" s="26"/>
    </row>
    <row r="4" spans="1:10" s="25" customFormat="1" ht="18.600000000000001" thickBot="1" x14ac:dyDescent="0.55000000000000004">
      <c r="A4" s="27"/>
      <c r="B4" s="28"/>
      <c r="C4" s="28"/>
      <c r="D4" s="28"/>
      <c r="E4" s="28"/>
      <c r="F4" s="28"/>
      <c r="G4" s="28"/>
      <c r="H4" s="29"/>
      <c r="I4" s="24"/>
    </row>
    <row r="5" spans="1:10" ht="28.2" thickBot="1" x14ac:dyDescent="0.3">
      <c r="A5" s="30" t="s">
        <v>103</v>
      </c>
      <c r="B5" s="31" t="s">
        <v>1</v>
      </c>
      <c r="C5" s="32" t="s">
        <v>3</v>
      </c>
      <c r="D5" s="33" t="s">
        <v>104</v>
      </c>
      <c r="E5" s="31" t="s">
        <v>105</v>
      </c>
      <c r="F5" s="31" t="s">
        <v>106</v>
      </c>
      <c r="G5" s="34" t="s">
        <v>107</v>
      </c>
      <c r="H5" s="35" t="s">
        <v>108</v>
      </c>
      <c r="I5" s="26"/>
    </row>
    <row r="6" spans="1:10" ht="13.8" x14ac:dyDescent="0.25">
      <c r="A6" s="36"/>
      <c r="B6" s="37"/>
      <c r="C6" s="38"/>
      <c r="D6" s="39"/>
      <c r="E6" s="38"/>
      <c r="F6" s="38"/>
      <c r="G6" s="40"/>
      <c r="H6" s="41"/>
    </row>
    <row r="7" spans="1:10" ht="13.8" x14ac:dyDescent="0.25">
      <c r="A7" s="42">
        <v>1</v>
      </c>
      <c r="B7" s="43" t="s">
        <v>109</v>
      </c>
      <c r="C7" s="44"/>
      <c r="D7" s="45"/>
      <c r="E7" s="46"/>
      <c r="F7" s="46"/>
      <c r="G7" s="47"/>
      <c r="H7" s="48"/>
    </row>
    <row r="8" spans="1:10" ht="13.8" x14ac:dyDescent="0.25">
      <c r="A8" s="49"/>
      <c r="B8" s="50" t="s">
        <v>110</v>
      </c>
      <c r="C8" s="51">
        <v>1</v>
      </c>
      <c r="D8" s="52">
        <v>3000000</v>
      </c>
      <c r="E8" s="53">
        <v>1.583</v>
      </c>
      <c r="F8" s="54">
        <v>0.5</v>
      </c>
      <c r="G8" s="55">
        <v>1</v>
      </c>
      <c r="H8" s="56">
        <f>C8*D8*E8*F8*G8</f>
        <v>2374500</v>
      </c>
      <c r="I8" s="57"/>
    </row>
    <row r="9" spans="1:10" ht="13.8" x14ac:dyDescent="0.25">
      <c r="A9" s="49"/>
      <c r="B9" s="50"/>
      <c r="C9" s="51"/>
      <c r="D9" s="52"/>
      <c r="E9" s="53"/>
      <c r="F9" s="58"/>
      <c r="G9" s="55"/>
      <c r="H9" s="56"/>
    </row>
    <row r="10" spans="1:10" ht="13.8" x14ac:dyDescent="0.25">
      <c r="A10" s="42">
        <v>2</v>
      </c>
      <c r="B10" s="43" t="s">
        <v>111</v>
      </c>
      <c r="C10" s="44"/>
      <c r="D10" s="46"/>
      <c r="E10" s="46"/>
      <c r="F10" s="47"/>
      <c r="G10" s="45"/>
      <c r="H10" s="59"/>
    </row>
    <row r="11" spans="1:10" ht="13.8" x14ac:dyDescent="0.25">
      <c r="A11" s="60"/>
      <c r="B11" s="61" t="s">
        <v>112</v>
      </c>
      <c r="C11" s="62"/>
      <c r="D11" s="63"/>
      <c r="E11" s="63"/>
      <c r="F11" s="64"/>
      <c r="G11" s="65"/>
      <c r="H11" s="66">
        <v>500000</v>
      </c>
    </row>
    <row r="12" spans="1:10" ht="13.8" x14ac:dyDescent="0.25">
      <c r="A12" s="60"/>
      <c r="B12" s="67" t="s">
        <v>113</v>
      </c>
      <c r="C12" s="68">
        <v>0.04</v>
      </c>
      <c r="D12" s="63"/>
      <c r="E12" s="63"/>
      <c r="F12" s="64"/>
      <c r="G12" s="65"/>
      <c r="H12" s="66">
        <f>$I$12*C12</f>
        <v>2000000</v>
      </c>
      <c r="I12" s="69">
        <v>50000000</v>
      </c>
      <c r="J12" s="70">
        <f>I12/1.32</f>
        <v>37878787.878787875</v>
      </c>
    </row>
    <row r="13" spans="1:10" ht="13.8" x14ac:dyDescent="0.25">
      <c r="A13" s="60"/>
      <c r="B13" s="67" t="s">
        <v>114</v>
      </c>
      <c r="C13" s="68">
        <v>0.02</v>
      </c>
      <c r="D13" s="63"/>
      <c r="E13" s="63"/>
      <c r="F13" s="64"/>
      <c r="G13" s="65"/>
      <c r="H13" s="66">
        <f t="shared" ref="H13:H17" si="0">$I$12*C13</f>
        <v>1000000</v>
      </c>
      <c r="I13" s="69"/>
    </row>
    <row r="14" spans="1:10" ht="13.8" x14ac:dyDescent="0.25">
      <c r="A14" s="60"/>
      <c r="B14" s="67" t="s">
        <v>115</v>
      </c>
      <c r="C14" s="68">
        <v>1.4999999999999999E-2</v>
      </c>
      <c r="D14" s="63"/>
      <c r="E14" s="63"/>
      <c r="F14" s="64"/>
      <c r="G14" s="65"/>
      <c r="H14" s="66">
        <f t="shared" si="0"/>
        <v>750000</v>
      </c>
      <c r="I14" s="69"/>
    </row>
    <row r="15" spans="1:10" ht="13.8" x14ac:dyDescent="0.25">
      <c r="A15" s="60"/>
      <c r="B15" s="67" t="s">
        <v>116</v>
      </c>
      <c r="C15" s="68">
        <v>0.02</v>
      </c>
      <c r="D15" s="63"/>
      <c r="E15" s="63"/>
      <c r="F15" s="64"/>
      <c r="G15" s="65"/>
      <c r="H15" s="66">
        <f t="shared" si="0"/>
        <v>1000000</v>
      </c>
      <c r="I15" s="69">
        <f>I12/1.3437</f>
        <v>37210686.909280345</v>
      </c>
    </row>
    <row r="16" spans="1:10" ht="13.8" x14ac:dyDescent="0.25">
      <c r="A16" s="60"/>
      <c r="B16" s="67" t="s">
        <v>117</v>
      </c>
      <c r="C16" s="68">
        <v>0.02</v>
      </c>
      <c r="D16" s="63"/>
      <c r="E16" s="63"/>
      <c r="F16" s="64"/>
      <c r="G16" s="65"/>
      <c r="H16" s="66">
        <f t="shared" si="0"/>
        <v>1000000</v>
      </c>
      <c r="I16" s="69"/>
    </row>
    <row r="17" spans="1:11" ht="13.8" x14ac:dyDescent="0.25">
      <c r="A17" s="49"/>
      <c r="B17" s="67" t="s">
        <v>118</v>
      </c>
      <c r="C17" s="71">
        <v>0.05</v>
      </c>
      <c r="D17" s="65"/>
      <c r="E17" s="72"/>
      <c r="F17" s="72"/>
      <c r="G17" s="73"/>
      <c r="H17" s="66">
        <f t="shared" si="0"/>
        <v>2500000</v>
      </c>
      <c r="I17" s="69"/>
      <c r="J17" s="74"/>
    </row>
    <row r="18" spans="1:11" ht="13.8" x14ac:dyDescent="0.25">
      <c r="A18" s="42"/>
      <c r="B18" s="43" t="s">
        <v>119</v>
      </c>
      <c r="C18" s="44"/>
      <c r="D18" s="45"/>
      <c r="E18" s="46"/>
      <c r="F18" s="46"/>
      <c r="G18" s="47"/>
      <c r="H18" s="75">
        <f>ROUND(SUM(H6:H17),0)</f>
        <v>11124500</v>
      </c>
      <c r="I18" s="76"/>
      <c r="J18" s="77"/>
    </row>
    <row r="19" spans="1:11" ht="13.8" x14ac:dyDescent="0.25">
      <c r="A19" s="49"/>
      <c r="B19" s="78" t="s">
        <v>120</v>
      </c>
      <c r="C19" s="79"/>
      <c r="D19" s="80"/>
      <c r="E19" s="81"/>
      <c r="F19" s="81"/>
      <c r="G19" s="82"/>
      <c r="H19" s="83">
        <f>I15</f>
        <v>37210686.909280345</v>
      </c>
      <c r="I19" s="84"/>
      <c r="J19" s="74"/>
    </row>
    <row r="20" spans="1:11" ht="13.8" x14ac:dyDescent="0.25">
      <c r="A20" s="49"/>
      <c r="B20" s="78"/>
      <c r="C20" s="79"/>
      <c r="D20" s="80"/>
      <c r="E20" s="81"/>
      <c r="F20" s="81"/>
      <c r="G20" s="82"/>
      <c r="H20" s="83"/>
      <c r="I20" s="84"/>
      <c r="J20" s="74"/>
    </row>
    <row r="21" spans="1:11" ht="13.8" x14ac:dyDescent="0.25">
      <c r="A21" s="85"/>
      <c r="B21" s="86" t="s">
        <v>121</v>
      </c>
      <c r="C21" s="87"/>
      <c r="D21" s="88"/>
      <c r="E21" s="89"/>
      <c r="F21" s="89"/>
      <c r="G21" s="90"/>
      <c r="H21" s="91">
        <f>+H19+H20</f>
        <v>37210686.909280345</v>
      </c>
      <c r="I21" s="84"/>
      <c r="J21" s="74"/>
    </row>
    <row r="22" spans="1:11" ht="13.8" x14ac:dyDescent="0.25">
      <c r="A22" s="49"/>
      <c r="B22" s="67" t="s">
        <v>122</v>
      </c>
      <c r="C22" s="92">
        <f>H18/H21</f>
        <v>0.29895981300000002</v>
      </c>
      <c r="D22" s="80"/>
      <c r="E22" s="81"/>
      <c r="F22" s="81"/>
      <c r="G22" s="82"/>
      <c r="H22" s="93">
        <f>H18*C22</f>
        <v>3325778.4397185002</v>
      </c>
      <c r="I22" s="84"/>
      <c r="J22" s="74"/>
      <c r="K22" s="94"/>
    </row>
    <row r="23" spans="1:11" ht="13.8" x14ac:dyDescent="0.25">
      <c r="A23" s="49"/>
      <c r="B23" s="67" t="s">
        <v>42</v>
      </c>
      <c r="C23" s="92">
        <v>0.05</v>
      </c>
      <c r="D23" s="80"/>
      <c r="E23" s="81"/>
      <c r="F23" s="81"/>
      <c r="G23" s="82"/>
      <c r="H23" s="93">
        <f>ROUNDDOWN(H19*C23,0)</f>
        <v>1860534</v>
      </c>
      <c r="I23" s="84"/>
      <c r="J23" s="95"/>
    </row>
    <row r="24" spans="1:11" ht="13.8" x14ac:dyDescent="0.25">
      <c r="A24" s="49"/>
      <c r="B24" s="67" t="s">
        <v>123</v>
      </c>
      <c r="C24" s="96">
        <f>SUM(C22:C23)</f>
        <v>0.34895981300000001</v>
      </c>
      <c r="D24" s="65"/>
      <c r="E24" s="72"/>
      <c r="F24" s="72"/>
      <c r="G24" s="73"/>
      <c r="H24" s="66">
        <f>H22+H23</f>
        <v>5186312.4397184998</v>
      </c>
      <c r="I24" s="69"/>
      <c r="J24" s="94"/>
    </row>
    <row r="25" spans="1:11" ht="13.8" x14ac:dyDescent="0.25">
      <c r="A25" s="49"/>
      <c r="B25" s="67"/>
      <c r="C25" s="63"/>
      <c r="D25" s="65"/>
      <c r="E25" s="72"/>
      <c r="F25" s="72"/>
      <c r="G25" s="73"/>
      <c r="H25" s="66"/>
      <c r="J25" s="94"/>
    </row>
    <row r="26" spans="1:11" thickBot="1" x14ac:dyDescent="0.3">
      <c r="A26" s="97"/>
      <c r="B26" s="98" t="s">
        <v>124</v>
      </c>
      <c r="C26" s="99"/>
      <c r="D26" s="100"/>
      <c r="E26" s="101"/>
      <c r="F26" s="101"/>
      <c r="G26" s="101"/>
      <c r="H26" s="102">
        <f>H19+H20+H24</f>
        <v>42396999.348998845</v>
      </c>
      <c r="I26" s="103"/>
      <c r="J26" s="104"/>
    </row>
    <row r="27" spans="1:11" ht="13.8" x14ac:dyDescent="0.25">
      <c r="A27" s="49"/>
      <c r="B27" s="67"/>
      <c r="C27" s="92"/>
      <c r="D27" s="80"/>
      <c r="E27" s="81"/>
      <c r="F27" s="81"/>
      <c r="G27" s="82"/>
      <c r="H27" s="105"/>
      <c r="I27" s="74"/>
      <c r="J27" s="104"/>
    </row>
    <row r="28" spans="1:11" x14ac:dyDescent="0.3">
      <c r="I28" s="74"/>
    </row>
  </sheetData>
  <mergeCells count="6">
    <mergeCell ref="A1:A3"/>
    <mergeCell ref="B1:G1"/>
    <mergeCell ref="H1:H3"/>
    <mergeCell ref="B2:G2"/>
    <mergeCell ref="B3:D3"/>
    <mergeCell ref="E3:G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8"/>
  <sheetViews>
    <sheetView workbookViewId="0">
      <selection activeCell="A47" sqref="A47:E48"/>
    </sheetView>
  </sheetViews>
  <sheetFormatPr baseColWidth="10" defaultColWidth="11.44140625" defaultRowHeight="13.2" x14ac:dyDescent="0.25"/>
  <cols>
    <col min="1" max="1" width="8.33203125" style="108" customWidth="1"/>
    <col min="2" max="2" width="52.88671875" style="108" customWidth="1"/>
    <col min="3" max="3" width="12" style="108" customWidth="1"/>
    <col min="4" max="4" width="11.44140625" style="108"/>
    <col min="5" max="5" width="15.33203125" style="108" customWidth="1"/>
    <col min="6" max="6" width="18.109375" style="108" customWidth="1"/>
    <col min="7" max="7" width="21.33203125" style="108" customWidth="1"/>
    <col min="8" max="8" width="16" style="108" bestFit="1" customWidth="1"/>
    <col min="9" max="10" width="13.88671875" style="108" bestFit="1" customWidth="1"/>
    <col min="11" max="16384" width="11.44140625" style="108"/>
  </cols>
  <sheetData>
    <row r="1" spans="1:10" s="107" customFormat="1" ht="12.75" customHeight="1" x14ac:dyDescent="0.3">
      <c r="A1" s="356"/>
      <c r="B1" s="357"/>
      <c r="C1" s="357"/>
      <c r="D1" s="357"/>
      <c r="E1" s="357"/>
      <c r="F1" s="357"/>
      <c r="G1" s="358"/>
    </row>
    <row r="2" spans="1:10" s="107" customFormat="1" ht="4.95" customHeight="1" thickBot="1" x14ac:dyDescent="0.35">
      <c r="A2" s="359"/>
      <c r="B2" s="360"/>
      <c r="C2" s="360"/>
      <c r="D2" s="360"/>
      <c r="E2" s="360"/>
      <c r="F2" s="360"/>
      <c r="G2" s="361"/>
    </row>
    <row r="3" spans="1:10" ht="21.75" customHeight="1" thickBot="1" x14ac:dyDescent="0.3">
      <c r="A3" s="362" t="s">
        <v>125</v>
      </c>
      <c r="B3" s="363"/>
      <c r="C3" s="363"/>
      <c r="D3" s="363"/>
      <c r="E3" s="363"/>
      <c r="F3" s="363"/>
      <c r="G3" s="364"/>
    </row>
    <row r="4" spans="1:10" ht="13.8" x14ac:dyDescent="0.25">
      <c r="A4" s="109"/>
      <c r="B4" s="110" t="s">
        <v>126</v>
      </c>
      <c r="C4" s="111"/>
      <c r="D4" s="111"/>
      <c r="E4" s="111"/>
      <c r="F4" s="112"/>
      <c r="G4" s="70">
        <v>48832551.539999999</v>
      </c>
      <c r="H4" s="113"/>
    </row>
    <row r="5" spans="1:10" ht="13.8" x14ac:dyDescent="0.25">
      <c r="A5" s="114"/>
      <c r="B5" s="115"/>
      <c r="C5" s="116"/>
      <c r="D5" s="116"/>
      <c r="E5" s="116"/>
      <c r="F5" s="116"/>
      <c r="G5" s="117"/>
    </row>
    <row r="6" spans="1:10" ht="13.8" x14ac:dyDescent="0.25">
      <c r="A6" s="118"/>
      <c r="B6" s="119" t="s">
        <v>127</v>
      </c>
      <c r="C6" s="120"/>
      <c r="D6" s="120"/>
      <c r="E6" s="120"/>
      <c r="F6" s="121"/>
      <c r="G6" s="122">
        <v>49994766.259999998</v>
      </c>
    </row>
    <row r="7" spans="1:10" ht="13.8" x14ac:dyDescent="0.25">
      <c r="A7" s="114"/>
      <c r="B7" s="115"/>
      <c r="C7" s="116"/>
      <c r="D7" s="116"/>
      <c r="E7" s="116"/>
      <c r="F7" s="116"/>
      <c r="G7" s="117"/>
    </row>
    <row r="8" spans="1:10" ht="13.8" x14ac:dyDescent="0.25">
      <c r="A8" s="118"/>
      <c r="B8" s="119" t="s">
        <v>128</v>
      </c>
      <c r="C8" s="120"/>
      <c r="D8" s="120"/>
      <c r="E8" s="120"/>
      <c r="F8" s="121"/>
      <c r="G8" s="123"/>
    </row>
    <row r="9" spans="1:10" ht="13.8" x14ac:dyDescent="0.25">
      <c r="A9" s="124"/>
      <c r="B9" s="125"/>
      <c r="C9" s="126"/>
      <c r="D9" s="126"/>
      <c r="E9" s="126"/>
      <c r="F9" s="116"/>
      <c r="G9" s="117"/>
    </row>
    <row r="10" spans="1:10" ht="13.8" x14ac:dyDescent="0.25">
      <c r="A10" s="127"/>
      <c r="B10" s="128" t="s">
        <v>41</v>
      </c>
      <c r="C10" s="129" t="s">
        <v>14</v>
      </c>
      <c r="D10" s="129" t="s">
        <v>15</v>
      </c>
      <c r="E10" s="129" t="s">
        <v>129</v>
      </c>
      <c r="F10" s="130" t="s">
        <v>130</v>
      </c>
      <c r="G10" s="131" t="s">
        <v>131</v>
      </c>
    </row>
    <row r="11" spans="1:10" ht="13.8" x14ac:dyDescent="0.25">
      <c r="A11" s="132"/>
      <c r="B11" s="133"/>
      <c r="C11" s="134"/>
      <c r="D11" s="134"/>
      <c r="E11" s="134"/>
      <c r="F11" s="134"/>
      <c r="G11" s="135"/>
    </row>
    <row r="12" spans="1:10" ht="13.8" x14ac:dyDescent="0.25">
      <c r="A12" s="136">
        <v>1</v>
      </c>
      <c r="B12" s="137" t="s">
        <v>132</v>
      </c>
      <c r="C12" s="138"/>
      <c r="D12" s="138"/>
      <c r="E12" s="138"/>
      <c r="F12" s="138"/>
      <c r="G12" s="139"/>
      <c r="J12" s="140"/>
    </row>
    <row r="13" spans="1:10" ht="13.8" x14ac:dyDescent="0.25">
      <c r="A13" s="132"/>
      <c r="B13" s="141" t="s">
        <v>164</v>
      </c>
      <c r="C13" s="142" t="s">
        <v>133</v>
      </c>
      <c r="D13" s="143">
        <v>1</v>
      </c>
      <c r="E13" s="144">
        <v>1</v>
      </c>
      <c r="F13" s="145">
        <v>5000000</v>
      </c>
      <c r="G13" s="146">
        <f>D13*E13*F13</f>
        <v>5000000</v>
      </c>
    </row>
    <row r="14" spans="1:10" ht="13.8" x14ac:dyDescent="0.25">
      <c r="A14" s="132"/>
      <c r="B14" s="147"/>
      <c r="C14" s="142"/>
      <c r="D14" s="143"/>
      <c r="E14" s="144"/>
      <c r="F14" s="145"/>
      <c r="G14" s="146"/>
    </row>
    <row r="15" spans="1:10" ht="13.8" x14ac:dyDescent="0.25">
      <c r="A15" s="127"/>
      <c r="B15" s="119" t="s">
        <v>134</v>
      </c>
      <c r="C15" s="148"/>
      <c r="D15" s="149"/>
      <c r="E15" s="149"/>
      <c r="F15" s="150"/>
      <c r="G15" s="151">
        <f>SUM(G13:G14)</f>
        <v>5000000</v>
      </c>
      <c r="J15" s="152"/>
    </row>
    <row r="16" spans="1:10" ht="18" customHeight="1" x14ac:dyDescent="0.25">
      <c r="A16" s="132"/>
      <c r="B16" s="133"/>
      <c r="C16" s="116"/>
      <c r="D16" s="116"/>
      <c r="E16" s="116"/>
      <c r="F16" s="116"/>
      <c r="G16" s="117"/>
    </row>
    <row r="17" spans="1:9" ht="18" customHeight="1" x14ac:dyDescent="0.25">
      <c r="A17" s="136">
        <v>2</v>
      </c>
      <c r="B17" s="137" t="s">
        <v>135</v>
      </c>
      <c r="C17" s="138"/>
      <c r="D17" s="138"/>
      <c r="E17" s="138"/>
      <c r="F17" s="138"/>
      <c r="G17" s="153"/>
    </row>
    <row r="18" spans="1:9" ht="13.8" x14ac:dyDescent="0.25">
      <c r="A18" s="132"/>
      <c r="B18" s="154"/>
      <c r="C18" s="142"/>
      <c r="D18" s="143"/>
      <c r="E18" s="155"/>
      <c r="F18" s="145"/>
      <c r="G18" s="146"/>
    </row>
    <row r="19" spans="1:9" ht="13.8" x14ac:dyDescent="0.25">
      <c r="A19" s="127"/>
      <c r="B19" s="119" t="s">
        <v>136</v>
      </c>
      <c r="C19" s="148"/>
      <c r="D19" s="149"/>
      <c r="E19" s="149"/>
      <c r="F19" s="150"/>
      <c r="G19" s="151">
        <f>SUM(G18:G18)</f>
        <v>0</v>
      </c>
    </row>
    <row r="20" spans="1:9" ht="13.8" x14ac:dyDescent="0.25">
      <c r="A20" s="132"/>
      <c r="B20" s="133"/>
      <c r="C20" s="116"/>
      <c r="D20" s="116"/>
      <c r="E20" s="116"/>
      <c r="F20" s="116"/>
      <c r="G20" s="117"/>
    </row>
    <row r="21" spans="1:9" ht="13.8" x14ac:dyDescent="0.25">
      <c r="A21" s="156">
        <v>3</v>
      </c>
      <c r="B21" s="137" t="s">
        <v>137</v>
      </c>
      <c r="C21" s="138"/>
      <c r="D21" s="138"/>
      <c r="E21" s="138"/>
      <c r="F21" s="138"/>
      <c r="G21" s="139"/>
    </row>
    <row r="22" spans="1:9" ht="13.8" x14ac:dyDescent="0.25">
      <c r="A22" s="132"/>
      <c r="B22" s="154"/>
      <c r="C22" s="142"/>
      <c r="D22" s="143"/>
      <c r="E22" s="155"/>
      <c r="F22" s="145"/>
      <c r="G22" s="146"/>
      <c r="I22" s="152"/>
    </row>
    <row r="23" spans="1:9" ht="13.8" x14ac:dyDescent="0.25">
      <c r="A23" s="157"/>
      <c r="B23" s="119" t="s">
        <v>138</v>
      </c>
      <c r="C23" s="121"/>
      <c r="D23" s="121"/>
      <c r="E23" s="121"/>
      <c r="F23" s="158"/>
      <c r="G23" s="151">
        <f>SUM(G22:G22)</f>
        <v>0</v>
      </c>
    </row>
    <row r="24" spans="1:9" ht="13.8" x14ac:dyDescent="0.25">
      <c r="A24" s="114"/>
      <c r="B24" s="115"/>
      <c r="C24" s="116"/>
      <c r="D24" s="116"/>
      <c r="E24" s="116"/>
      <c r="F24" s="159"/>
      <c r="G24" s="117"/>
    </row>
    <row r="25" spans="1:9" ht="13.8" x14ac:dyDescent="0.25">
      <c r="A25" s="136">
        <v>4</v>
      </c>
      <c r="B25" s="137" t="s">
        <v>139</v>
      </c>
      <c r="C25" s="138"/>
      <c r="D25" s="138"/>
      <c r="E25" s="138"/>
      <c r="F25" s="160"/>
      <c r="G25" s="139"/>
    </row>
    <row r="26" spans="1:9" ht="12.75" customHeight="1" x14ac:dyDescent="0.25">
      <c r="A26" s="132"/>
      <c r="B26" s="154" t="s">
        <v>112</v>
      </c>
      <c r="C26" s="142"/>
      <c r="D26" s="142"/>
      <c r="E26" s="142"/>
      <c r="F26" s="161">
        <v>5.5183331244477727E-3</v>
      </c>
      <c r="G26" s="117">
        <f>+F26*G6</f>
        <v>275887.77470158186</v>
      </c>
      <c r="I26" s="152"/>
    </row>
    <row r="27" spans="1:9" ht="13.8" x14ac:dyDescent="0.25">
      <c r="A27" s="157"/>
      <c r="B27" s="119" t="s">
        <v>140</v>
      </c>
      <c r="C27" s="121"/>
      <c r="D27" s="121"/>
      <c r="E27" s="121"/>
      <c r="F27" s="158"/>
      <c r="G27" s="151">
        <f>SUM(G26:G26)</f>
        <v>275887.77470158186</v>
      </c>
    </row>
    <row r="28" spans="1:9" ht="13.8" x14ac:dyDescent="0.25">
      <c r="A28" s="114"/>
      <c r="B28" s="115"/>
      <c r="C28" s="116"/>
      <c r="D28" s="116"/>
      <c r="E28" s="116"/>
      <c r="F28" s="159"/>
      <c r="G28" s="117"/>
    </row>
    <row r="29" spans="1:9" ht="13.8" x14ac:dyDescent="0.25">
      <c r="A29" s="156">
        <v>5</v>
      </c>
      <c r="B29" s="137" t="s">
        <v>141</v>
      </c>
      <c r="C29" s="138"/>
      <c r="D29" s="138"/>
      <c r="E29" s="138"/>
      <c r="F29" s="160"/>
      <c r="G29" s="139"/>
    </row>
    <row r="30" spans="1:9" ht="13.8" x14ac:dyDescent="0.25">
      <c r="A30" s="114" t="s">
        <v>142</v>
      </c>
      <c r="B30" s="154" t="s">
        <v>143</v>
      </c>
      <c r="C30" s="142"/>
      <c r="D30" s="142">
        <v>1</v>
      </c>
      <c r="E30" s="162">
        <v>0.04</v>
      </c>
      <c r="F30" s="163">
        <f>$G$6</f>
        <v>49994766.259999998</v>
      </c>
      <c r="G30" s="146">
        <f>F30*E30</f>
        <v>1999790.6503999999</v>
      </c>
    </row>
    <row r="31" spans="1:9" ht="13.8" x14ac:dyDescent="0.25">
      <c r="A31" s="114" t="s">
        <v>144</v>
      </c>
      <c r="B31" s="154" t="s">
        <v>145</v>
      </c>
      <c r="C31" s="142"/>
      <c r="D31" s="142">
        <v>1</v>
      </c>
      <c r="E31" s="162">
        <v>0.02</v>
      </c>
      <c r="F31" s="163">
        <f t="shared" ref="F31:F35" si="0">$G$6</f>
        <v>49994766.259999998</v>
      </c>
      <c r="G31" s="146">
        <f t="shared" ref="G31:G35" si="1">F31*E31</f>
        <v>999895.32519999996</v>
      </c>
    </row>
    <row r="32" spans="1:9" ht="13.8" x14ac:dyDescent="0.25">
      <c r="A32" s="114" t="s">
        <v>146</v>
      </c>
      <c r="B32" s="154" t="s">
        <v>147</v>
      </c>
      <c r="C32" s="142"/>
      <c r="D32" s="142">
        <v>1</v>
      </c>
      <c r="E32" s="162">
        <v>0.02</v>
      </c>
      <c r="F32" s="163">
        <f t="shared" si="0"/>
        <v>49994766.259999998</v>
      </c>
      <c r="G32" s="146">
        <f t="shared" si="1"/>
        <v>999895.32519999996</v>
      </c>
    </row>
    <row r="33" spans="1:9" ht="13.8" x14ac:dyDescent="0.25">
      <c r="A33" s="114" t="s">
        <v>148</v>
      </c>
      <c r="B33" s="154" t="s">
        <v>149</v>
      </c>
      <c r="C33" s="142"/>
      <c r="D33" s="142">
        <v>1</v>
      </c>
      <c r="E33" s="162">
        <f>2%</f>
        <v>0.02</v>
      </c>
      <c r="F33" s="163">
        <f>$G$6</f>
        <v>49994766.259999998</v>
      </c>
      <c r="G33" s="146">
        <f>F33*E33*0.08</f>
        <v>79991.626015999995</v>
      </c>
    </row>
    <row r="34" spans="1:9" ht="13.8" x14ac:dyDescent="0.25">
      <c r="A34" s="114" t="s">
        <v>150</v>
      </c>
      <c r="B34" s="154" t="s">
        <v>151</v>
      </c>
      <c r="C34" s="142"/>
      <c r="D34" s="142">
        <v>1</v>
      </c>
      <c r="E34" s="162">
        <v>1.4999999999999999E-2</v>
      </c>
      <c r="F34" s="163">
        <f t="shared" si="0"/>
        <v>49994766.259999998</v>
      </c>
      <c r="G34" s="146">
        <f t="shared" si="1"/>
        <v>749921.49389999988</v>
      </c>
    </row>
    <row r="35" spans="1:9" ht="13.8" x14ac:dyDescent="0.25">
      <c r="A35" s="114" t="s">
        <v>152</v>
      </c>
      <c r="B35" s="154" t="s">
        <v>153</v>
      </c>
      <c r="C35" s="142"/>
      <c r="D35" s="142">
        <v>1</v>
      </c>
      <c r="E35" s="162">
        <v>0.05</v>
      </c>
      <c r="F35" s="163">
        <f t="shared" si="0"/>
        <v>49994766.259999998</v>
      </c>
      <c r="G35" s="146">
        <f t="shared" si="1"/>
        <v>2499738.3130000001</v>
      </c>
    </row>
    <row r="36" spans="1:9" ht="13.8" x14ac:dyDescent="0.25">
      <c r="A36" s="114"/>
      <c r="B36" s="154"/>
      <c r="C36" s="142"/>
      <c r="D36" s="142"/>
      <c r="E36" s="162"/>
      <c r="F36" s="163"/>
      <c r="G36" s="146"/>
    </row>
    <row r="37" spans="1:9" ht="13.8" x14ac:dyDescent="0.25">
      <c r="A37" s="157"/>
      <c r="B37" s="119" t="s">
        <v>154</v>
      </c>
      <c r="C37" s="121"/>
      <c r="D37" s="164"/>
      <c r="E37" s="121"/>
      <c r="F37" s="158"/>
      <c r="G37" s="151">
        <f>SUM(G30:G35)</f>
        <v>7329232.7337159999</v>
      </c>
    </row>
    <row r="38" spans="1:9" ht="13.8" x14ac:dyDescent="0.25">
      <c r="A38" s="114"/>
      <c r="B38" s="115"/>
      <c r="C38" s="116"/>
      <c r="D38" s="165"/>
      <c r="E38" s="116"/>
      <c r="F38" s="159"/>
      <c r="G38" s="117"/>
    </row>
    <row r="39" spans="1:9" ht="13.8" x14ac:dyDescent="0.25">
      <c r="A39" s="166"/>
      <c r="B39" s="137" t="s">
        <v>155</v>
      </c>
      <c r="C39" s="138"/>
      <c r="D39" s="167"/>
      <c r="E39" s="138"/>
      <c r="F39" s="168">
        <f>G39/G4</f>
        <v>0.25812946714636453</v>
      </c>
      <c r="G39" s="169">
        <f>G37+G27+G23+G19+G15</f>
        <v>12605120.508417582</v>
      </c>
      <c r="H39" s="113"/>
      <c r="I39" s="170"/>
    </row>
    <row r="40" spans="1:9" ht="13.8" x14ac:dyDescent="0.25">
      <c r="A40" s="114"/>
      <c r="B40" s="115"/>
      <c r="C40" s="116"/>
      <c r="D40" s="165"/>
      <c r="E40" s="116"/>
      <c r="F40" s="159"/>
      <c r="G40" s="117"/>
    </row>
    <row r="41" spans="1:9" ht="13.8" x14ac:dyDescent="0.25">
      <c r="A41" s="166"/>
      <c r="B41" s="137" t="s">
        <v>156</v>
      </c>
      <c r="C41" s="138"/>
      <c r="D41" s="167"/>
      <c r="E41" s="138"/>
      <c r="F41" s="168">
        <v>0.05</v>
      </c>
      <c r="G41" s="169">
        <f>G39</f>
        <v>12605120.508417582</v>
      </c>
      <c r="I41" s="152"/>
    </row>
    <row r="42" spans="1:9" ht="13.8" x14ac:dyDescent="0.25">
      <c r="A42" s="114"/>
      <c r="B42" s="115"/>
      <c r="C42" s="116"/>
      <c r="D42" s="165"/>
      <c r="E42" s="116"/>
      <c r="F42" s="171"/>
      <c r="G42" s="172"/>
    </row>
    <row r="43" spans="1:9" ht="13.8" x14ac:dyDescent="0.25">
      <c r="A43" s="166"/>
      <c r="B43" s="137"/>
      <c r="C43" s="138"/>
      <c r="D43" s="167"/>
      <c r="E43" s="138"/>
      <c r="F43" s="173"/>
      <c r="G43" s="169"/>
    </row>
    <row r="44" spans="1:9" ht="13.8" x14ac:dyDescent="0.25">
      <c r="A44" s="114"/>
      <c r="B44" s="174"/>
      <c r="C44" s="116"/>
      <c r="D44" s="165"/>
      <c r="E44" s="116"/>
      <c r="F44" s="175"/>
      <c r="G44" s="172"/>
    </row>
    <row r="45" spans="1:9" ht="13.8" x14ac:dyDescent="0.25">
      <c r="A45" s="176"/>
      <c r="B45" s="177" t="s">
        <v>157</v>
      </c>
      <c r="C45" s="178"/>
      <c r="D45" s="178"/>
      <c r="E45" s="178"/>
      <c r="F45" s="179">
        <f>SUM(F38:F44)</f>
        <v>0.30812946714636452</v>
      </c>
      <c r="G45" s="180">
        <f>SUM(G39:G44)</f>
        <v>25210241.016835164</v>
      </c>
      <c r="I45" s="152"/>
    </row>
    <row r="46" spans="1:9" ht="14.4" thickBot="1" x14ac:dyDescent="0.3">
      <c r="A46" s="181"/>
      <c r="B46" s="182"/>
      <c r="C46" s="183"/>
      <c r="D46" s="183"/>
      <c r="E46" s="183"/>
      <c r="F46" s="184"/>
      <c r="G46" s="185"/>
    </row>
    <row r="47" spans="1:9" x14ac:dyDescent="0.25">
      <c r="A47" s="365"/>
      <c r="B47" s="366"/>
      <c r="C47" s="366"/>
      <c r="D47" s="366"/>
      <c r="E47" s="367"/>
      <c r="F47" s="371"/>
      <c r="G47" s="372"/>
    </row>
    <row r="48" spans="1:9" ht="59.25" customHeight="1" thickBot="1" x14ac:dyDescent="0.3">
      <c r="A48" s="368"/>
      <c r="B48" s="369"/>
      <c r="C48" s="369"/>
      <c r="D48" s="369"/>
      <c r="E48" s="370"/>
      <c r="F48" s="373"/>
      <c r="G48" s="374"/>
    </row>
  </sheetData>
  <mergeCells count="4">
    <mergeCell ref="A1:G2"/>
    <mergeCell ref="A3:G3"/>
    <mergeCell ref="A47:E48"/>
    <mergeCell ref="F47:G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PRESUPUESTO</vt:lpstr>
      <vt:lpstr>MAT RECICLADO</vt:lpstr>
      <vt:lpstr>EMULSION 1</vt:lpstr>
      <vt:lpstr>MANO DE OBRA</vt:lpstr>
      <vt:lpstr>AU</vt:lpstr>
      <vt:lpstr>CALCULO 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PINEDA</dc:creator>
  <cp:lastModifiedBy>Andrés Felipe Múnera Taborda</cp:lastModifiedBy>
  <cp:lastPrinted>2025-05-15T21:32:35Z</cp:lastPrinted>
  <dcterms:created xsi:type="dcterms:W3CDTF">2025-01-22T15:51:21Z</dcterms:created>
  <dcterms:modified xsi:type="dcterms:W3CDTF">2025-05-28T14:04:59Z</dcterms:modified>
</cp:coreProperties>
</file>