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c-jagudeloj\Desktop\CANCILERIA PROCESOS 2025\3. SASI 2025\SASI-003-2025 CISCO\"/>
    </mc:Choice>
  </mc:AlternateContent>
  <xr:revisionPtr revIDLastSave="0" documentId="13_ncr:1_{985CF6A2-4CE1-4F6E-89DF-4DC0D5C7CF5B}" xr6:coauthVersionLast="47" xr6:coauthVersionMax="47" xr10:uidLastSave="{00000000-0000-0000-0000-000000000000}"/>
  <bookViews>
    <workbookView xWindow="-120" yWindow="-120" windowWidth="29040" windowHeight="15840" activeTab="1" xr2:uid="{5BD17B30-E2CC-41FB-B369-F3F192F95D24}"/>
  </bookViews>
  <sheets>
    <sheet name="GENERAL" sheetId="2" r:id="rId1"/>
    <sheet name="PPTO OFICIAL ITEM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" i="1" l="1"/>
  <c r="I22" i="1"/>
  <c r="G22" i="1"/>
  <c r="H22" i="1" s="1"/>
  <c r="I21" i="1"/>
  <c r="G21" i="1"/>
  <c r="H21" i="1" s="1"/>
  <c r="I20" i="1"/>
  <c r="G20" i="1"/>
  <c r="H20" i="1" s="1"/>
  <c r="I19" i="1"/>
  <c r="G19" i="1"/>
  <c r="H19" i="1" s="1"/>
  <c r="I18" i="1"/>
  <c r="G18" i="1"/>
  <c r="H18" i="1" s="1"/>
  <c r="I16" i="1"/>
  <c r="G16" i="1"/>
  <c r="H16" i="1" s="1"/>
  <c r="K11" i="1"/>
  <c r="L11" i="1" s="1"/>
  <c r="I11" i="1"/>
  <c r="H11" i="1"/>
  <c r="D11" i="1"/>
  <c r="J10" i="1"/>
  <c r="K10" i="1" s="1"/>
  <c r="G10" i="1"/>
  <c r="H10" i="1" s="1"/>
  <c r="I10" i="1" s="1"/>
  <c r="E10" i="1"/>
  <c r="D10" i="1"/>
  <c r="F10" i="1" s="1"/>
  <c r="L9" i="1"/>
  <c r="K9" i="1"/>
  <c r="H9" i="1"/>
  <c r="I9" i="1" s="1"/>
  <c r="E9" i="1"/>
  <c r="F9" i="1" s="1"/>
  <c r="K8" i="1"/>
  <c r="L8" i="1" s="1"/>
  <c r="Q8" i="1" s="1"/>
  <c r="I8" i="1"/>
  <c r="P8" i="1" s="1"/>
  <c r="H8" i="1"/>
  <c r="F8" i="1"/>
  <c r="E8" i="1"/>
  <c r="K7" i="1"/>
  <c r="L7" i="1" s="1"/>
  <c r="I7" i="1"/>
  <c r="H7" i="1"/>
  <c r="E7" i="1"/>
  <c r="F7" i="1" s="1"/>
  <c r="J5" i="1"/>
  <c r="I5" i="1"/>
  <c r="I12" i="1" s="1"/>
  <c r="H5" i="1"/>
  <c r="G5" i="1"/>
  <c r="D5" i="1"/>
  <c r="E5" i="1" s="1"/>
  <c r="Q7" i="1" l="1"/>
  <c r="P7" i="1"/>
  <c r="O7" i="1"/>
  <c r="N7" i="1"/>
  <c r="M7" i="1"/>
  <c r="F11" i="1"/>
  <c r="Q9" i="1"/>
  <c r="P9" i="1"/>
  <c r="M9" i="1"/>
  <c r="O9" i="1"/>
  <c r="N9" i="1"/>
  <c r="K5" i="1"/>
  <c r="L5" i="1" s="1"/>
  <c r="M8" i="1"/>
  <c r="L10" i="1"/>
  <c r="Q10" i="1" s="1"/>
  <c r="N8" i="1"/>
  <c r="O8" i="1"/>
  <c r="F5" i="1"/>
  <c r="E11" i="1"/>
  <c r="L12" i="1" l="1"/>
  <c r="O5" i="1"/>
  <c r="Q11" i="1"/>
  <c r="P11" i="1"/>
  <c r="O11" i="1"/>
  <c r="N11" i="1"/>
  <c r="M11" i="1"/>
  <c r="O10" i="1"/>
  <c r="N5" i="1"/>
  <c r="F12" i="1"/>
  <c r="Q5" i="1"/>
  <c r="Q13" i="1" s="1"/>
  <c r="P5" i="1"/>
  <c r="M5" i="1"/>
  <c r="M10" i="1"/>
  <c r="N10" i="1"/>
  <c r="P10" i="1"/>
  <c r="E4" i="2"/>
  <c r="D4" i="2"/>
  <c r="G3" i="2" l="1"/>
  <c r="G4" i="2" s="1"/>
  <c r="F3" i="2"/>
  <c r="F4" i="2" s="1"/>
  <c r="C4" i="2"/>
  <c r="I3" i="2"/>
  <c r="I4" i="2" s="1"/>
  <c r="H3" i="2"/>
  <c r="H4" i="2" s="1"/>
  <c r="C6" i="2" s="1"/>
  <c r="J3" i="2"/>
  <c r="J4" i="2" s="1"/>
</calcChain>
</file>

<file path=xl/sharedStrings.xml><?xml version="1.0" encoding="utf-8"?>
<sst xmlns="http://schemas.openxmlformats.org/spreadsheetml/2006/main" count="65" uniqueCount="45">
  <si>
    <t>EMPRESA 1</t>
  </si>
  <si>
    <t>EMPRESA 2</t>
  </si>
  <si>
    <t>RANGOS CON IVA</t>
  </si>
  <si>
    <t>MEDIDAS ESTADISTICAS CON IVA</t>
  </si>
  <si>
    <t>CANTIDAD</t>
  </si>
  <si>
    <t>IVA</t>
  </si>
  <si>
    <t xml:space="preserve">RANGO INFERIOR </t>
  </si>
  <si>
    <t>RANGO SUPERIOR</t>
  </si>
  <si>
    <t>MEDIA ARITMETICA</t>
  </si>
  <si>
    <t>DESVIACIÓN ESTANDAR</t>
  </si>
  <si>
    <t>MEDIANA</t>
  </si>
  <si>
    <t>MANTENIMIENTO PREVENTIVO INCLUIDO SUMINISTROS Y MANO DE OBRA</t>
  </si>
  <si>
    <t>BOGOTÁ</t>
  </si>
  <si>
    <t>ITEM</t>
  </si>
  <si>
    <t>EMPRESA 3</t>
  </si>
  <si>
    <t>VALOR UNITARIO</t>
  </si>
  <si>
    <t>VALOR TOTAL INCLUIDO IVA</t>
  </si>
  <si>
    <t>ITEMS</t>
  </si>
  <si>
    <t>RANGO INFERIOR</t>
  </si>
  <si>
    <t>TOTAL</t>
  </si>
  <si>
    <t>Valor Total Promedio (POE)</t>
  </si>
  <si>
    <t>Mantenimiento correctivo equipos de red activa, Inalámbrica y seguridad</t>
  </si>
  <si>
    <t>Contrato de Garantía y Soporte de los Equipos Activos de Red y de Seguridad</t>
  </si>
  <si>
    <t>VALOR TOTAL Renovación de soporte, garantía y mantenimiento de la plataforma cisco del ministerio de relaciones exteriores</t>
  </si>
  <si>
    <t>MODELO</t>
  </si>
  <si>
    <t>UNIDAD DE MEDIDA</t>
  </si>
  <si>
    <t xml:space="preserve">CANTIDADES
</t>
  </si>
  <si>
    <t>VALOR UNITARIO INCLUIDO IVA</t>
  </si>
  <si>
    <t xml:space="preserve">VALOR TOTAL INCLUIDO IVA </t>
  </si>
  <si>
    <t>Mes</t>
  </si>
  <si>
    <t>Recurso Humano Permanente para el Soporte:</t>
  </si>
  <si>
    <t>Coordinador y gestor del servicio</t>
  </si>
  <si>
    <t>Ingeniero de redes en sitio o remoto</t>
  </si>
  <si>
    <t>Ingeniero de seguridad en sitio o remoto</t>
  </si>
  <si>
    <t>VALORES TOTALES INCLUIDO IVA</t>
  </si>
  <si>
    <t>Soporte, Administración, Monitoreo de Plataformas de Seguridad Avanzada (Capa de Seguridad Perimetral y Control de Acceso) de la Entidad y Optimización de la Red LAN, Capa de CORE, Red Inalámbrica y Capa de Seguridad Perimetral.  (Incluye Ingenieros de Soporte por incidencia)</t>
  </si>
  <si>
    <t>GL</t>
  </si>
  <si>
    <t>Año</t>
  </si>
  <si>
    <t>PRESUPUESTO OFICIAL</t>
  </si>
  <si>
    <t>Soporte, Administración, Monitoreo de Plataformas de Seguridad Avanzada (Capa de Seguridad Perimetral y Control de Acceso) de la Entidad y Optimización de la Red LAN, Capa de CORE, Red Inalámbrica y Capa de Seguridad Perimetral, Mensual</t>
  </si>
  <si>
    <t xml:space="preserve">Recurso Humano Permanente para el Soporte
</t>
  </si>
  <si>
    <t xml:space="preserve"> Coordinador y gestor del servicio</t>
  </si>
  <si>
    <t>geniero de redes en sitio o remoto</t>
  </si>
  <si>
    <t>VALOR UNITARIO ANTES DE IVA</t>
  </si>
  <si>
    <t>VALOR IVA
19%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</si>
</sst>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240A]\ * #,##0_-;\-[$$-240A]\ * #,##0_-;_-[$$-240A]\ * &quot;-&quot;_-;_-@_-"/>
    <numFmt numFmtId="165" formatCode="_-* #,##0.00\ _€_-;\-* #,##0.00\ _€_-;_-* &quot;-&quot;??\ _€_-;_-@_-"/>
    <numFmt numFmtId="166" formatCode="_-* #,##0.00\ &quot;€&quot;_-;\-* #,##0.00\ &quot;€&quot;_-;_-* &quot;-&quot;??\ &quot;€&quot;_-;_-@_-"/>
    <numFmt numFmtId="167" formatCode="_(&quot;$&quot;\ * #,##0.00_);_(&quot;$&quot;\ * \(#,##0.00\);_(&quot;$&quot;\ * &quot;-&quot;??_);_(@_)"/>
    <numFmt numFmtId="168" formatCode="_-[$$-240A]\ * #,##0_-;\-[$$-240A]\ * #,##0_-;_-[$$-240A]\ * &quot;-&quot;?_-;_-@_-"/>
    <numFmt numFmtId="169" formatCode="[$$-240A]#,##0;[Red]\([$$-240A]#,##0\)"/>
    <numFmt numFmtId="170" formatCode="_-&quot;$&quot;\ * #,##0_-;\-&quot;$&quot;\ * #,##0_-;_-&quot;$&quot;\ 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b/>
      <sz val="9"/>
      <color rgb="FF000000"/>
      <name val="Calibri"/>
      <family val="2"/>
    </font>
    <font>
      <sz val="8"/>
      <color rgb="FF000000"/>
      <name val="Arial"/>
      <family val="2"/>
    </font>
    <font>
      <sz val="11"/>
      <color theme="1"/>
      <name val="Arial Narrow"/>
      <family val="2"/>
    </font>
    <font>
      <sz val="10"/>
      <name val="Arial"/>
      <family val="2"/>
    </font>
    <font>
      <u val="singleAccounting"/>
      <sz val="11"/>
      <color rgb="FFFF0000"/>
      <name val="Aptos Narrow"/>
      <family val="2"/>
      <scheme val="minor"/>
    </font>
    <font>
      <u val="singleAccounting"/>
      <sz val="11"/>
      <color theme="1"/>
      <name val="Aptos Narrow"/>
      <family val="2"/>
      <scheme val="minor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"/>
      <family val="2"/>
    </font>
    <font>
      <sz val="10"/>
      <color theme="1"/>
      <name val="Arial"/>
      <family val="2"/>
    </font>
    <font>
      <sz val="11"/>
      <name val="Aptos Narrow"/>
      <family val="2"/>
      <scheme val="minor"/>
    </font>
    <font>
      <b/>
      <sz val="10"/>
      <name val="Arial"/>
      <family val="2"/>
    </font>
    <font>
      <b/>
      <sz val="14"/>
      <color theme="1"/>
      <name val="Aptos Narrow"/>
      <family val="2"/>
      <scheme val="minor"/>
    </font>
    <font>
      <b/>
      <sz val="12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2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4" fillId="4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0" fillId="5" borderId="4" xfId="0" applyFill="1" applyBorder="1" applyAlignment="1">
      <alignment horizontal="center" vertical="center" wrapText="1"/>
    </xf>
    <xf numFmtId="164" fontId="8" fillId="6" borderId="4" xfId="0" applyNumberFormat="1" applyFont="1" applyFill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164" fontId="0" fillId="7" borderId="4" xfId="0" applyNumberForma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164" fontId="9" fillId="6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12" fillId="12" borderId="4" xfId="0" applyFont="1" applyFill="1" applyBorder="1" applyAlignment="1">
      <alignment horizontal="center" vertical="center"/>
    </xf>
    <xf numFmtId="0" fontId="12" fillId="12" borderId="4" xfId="0" applyFont="1" applyFill="1" applyBorder="1" applyAlignment="1">
      <alignment horizontal="center" vertical="center" wrapText="1"/>
    </xf>
    <xf numFmtId="169" fontId="14" fillId="13" borderId="4" xfId="0" applyNumberFormat="1" applyFont="1" applyFill="1" applyBorder="1" applyAlignment="1">
      <alignment vertical="center"/>
    </xf>
    <xf numFmtId="169" fontId="14" fillId="0" borderId="4" xfId="0" applyNumberFormat="1" applyFont="1" applyBorder="1" applyAlignment="1" applyProtection="1">
      <alignment vertical="center"/>
      <protection locked="0"/>
    </xf>
    <xf numFmtId="170" fontId="14" fillId="0" borderId="4" xfId="10" applyNumberFormat="1" applyFont="1" applyFill="1" applyBorder="1" applyAlignment="1" applyProtection="1">
      <alignment horizontal="center" vertical="center"/>
      <protection locked="0"/>
    </xf>
    <xf numFmtId="170" fontId="0" fillId="0" borderId="0" xfId="0" applyNumberFormat="1" applyAlignment="1">
      <alignment horizontal="center" vertical="center"/>
    </xf>
    <xf numFmtId="0" fontId="10" fillId="9" borderId="8" xfId="0" applyFont="1" applyFill="1" applyBorder="1" applyAlignment="1">
      <alignment horizontal="center" vertical="center" wrapText="1"/>
    </xf>
    <xf numFmtId="0" fontId="10" fillId="11" borderId="8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justify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3" fillId="5" borderId="2" xfId="0" applyFont="1" applyFill="1" applyBorder="1" applyAlignment="1">
      <alignment horizontal="left" vertical="center" wrapText="1"/>
    </xf>
    <xf numFmtId="0" fontId="16" fillId="5" borderId="12" xfId="0" applyFont="1" applyFill="1" applyBorder="1" applyAlignment="1">
      <alignment horizontal="center" vertical="center"/>
    </xf>
    <xf numFmtId="0" fontId="16" fillId="5" borderId="13" xfId="0" applyFont="1" applyFill="1" applyBorder="1" applyAlignment="1">
      <alignment horizontal="center" vertical="center"/>
    </xf>
    <xf numFmtId="0" fontId="16" fillId="5" borderId="1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1" fillId="10" borderId="10" xfId="0" applyFont="1" applyFill="1" applyBorder="1" applyAlignment="1">
      <alignment horizontal="center" vertical="center" wrapText="1"/>
    </xf>
    <xf numFmtId="0" fontId="11" fillId="10" borderId="9" xfId="0" applyFont="1" applyFill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/>
    </xf>
    <xf numFmtId="164" fontId="2" fillId="8" borderId="0" xfId="0" applyNumberFormat="1" applyFont="1" applyFill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  <xf numFmtId="0" fontId="10" fillId="11" borderId="17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170" fontId="14" fillId="13" borderId="19" xfId="10" applyNumberFormat="1" applyFont="1" applyFill="1" applyBorder="1" applyAlignment="1">
      <alignment vertical="center"/>
    </xf>
    <xf numFmtId="0" fontId="12" fillId="0" borderId="20" xfId="0" applyFont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left" vertical="center" wrapText="1"/>
    </xf>
    <xf numFmtId="0" fontId="12" fillId="0" borderId="22" xfId="0" applyFont="1" applyBorder="1" applyAlignment="1">
      <alignment horizontal="center" vertical="center" wrapText="1"/>
    </xf>
    <xf numFmtId="170" fontId="0" fillId="0" borderId="19" xfId="10" applyNumberFormat="1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169" fontId="17" fillId="0" borderId="26" xfId="0" applyNumberFormat="1" applyFont="1" applyBorder="1" applyAlignment="1">
      <alignment vertical="center"/>
    </xf>
  </cellXfs>
  <cellStyles count="11">
    <cellStyle name="Millares 2" xfId="2" xr:uid="{FAF69628-0D72-4009-ACC1-A0DA3A5E5E79}"/>
    <cellStyle name="Moneda" xfId="10" builtinId="4"/>
    <cellStyle name="Moneda [0] 2" xfId="1" xr:uid="{E5D9DA43-B012-414B-9D4C-07A7C1D7798C}"/>
    <cellStyle name="Moneda 10" xfId="9" xr:uid="{F13485C3-68D9-4B87-B07E-0318679F5EA0}"/>
    <cellStyle name="Moneda 2" xfId="3" xr:uid="{32E238F6-9C8E-40BC-8786-88899ED3E607}"/>
    <cellStyle name="Moneda 3" xfId="8" xr:uid="{DD5E0550-6901-4842-99C9-585596F8C7B0}"/>
    <cellStyle name="Normal" xfId="0" builtinId="0"/>
    <cellStyle name="Normal 11" xfId="4" xr:uid="{86928743-9026-4A8E-BA31-05707A03B3B4}"/>
    <cellStyle name="Normal 2" xfId="5" xr:uid="{0F38F627-0CB4-4937-929B-657125782BCF}"/>
    <cellStyle name="Normal 2 2" xfId="6" xr:uid="{0824414F-97EE-40E9-BCF6-43651A7DB144}"/>
    <cellStyle name="Normal 3" xfId="7" xr:uid="{931CB336-F6B1-41DC-BAB5-4B02AF2B0ED6}"/>
  </cellStyles>
  <dxfs count="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CE70B-EC35-4D18-ABD6-84F4F5A1F472}">
  <dimension ref="B2:J7"/>
  <sheetViews>
    <sheetView topLeftCell="C1" zoomScaleNormal="100" workbookViewId="0">
      <selection activeCell="I11" sqref="I11"/>
    </sheetView>
  </sheetViews>
  <sheetFormatPr baseColWidth="10" defaultRowHeight="15" x14ac:dyDescent="0.25"/>
  <cols>
    <col min="2" max="2" width="54.42578125" customWidth="1"/>
    <col min="3" max="3" width="31.5703125" customWidth="1"/>
    <col min="4" max="4" width="26.85546875" customWidth="1"/>
    <col min="5" max="5" width="25.140625" customWidth="1"/>
    <col min="6" max="6" width="21.140625" customWidth="1"/>
    <col min="7" max="7" width="18.140625" customWidth="1"/>
    <col min="8" max="8" width="20" customWidth="1"/>
    <col min="9" max="9" width="21.5703125" bestFit="1" customWidth="1"/>
    <col min="10" max="10" width="17.7109375" customWidth="1"/>
  </cols>
  <sheetData>
    <row r="2" spans="2:10" x14ac:dyDescent="0.25">
      <c r="B2" s="11" t="s">
        <v>17</v>
      </c>
      <c r="C2" s="11" t="s">
        <v>0</v>
      </c>
      <c r="D2" s="11" t="s">
        <v>1</v>
      </c>
      <c r="E2" s="11" t="s">
        <v>14</v>
      </c>
      <c r="F2" s="11" t="s">
        <v>18</v>
      </c>
      <c r="G2" s="11" t="s">
        <v>7</v>
      </c>
      <c r="H2" s="11" t="s">
        <v>8</v>
      </c>
      <c r="I2" s="11" t="s">
        <v>9</v>
      </c>
      <c r="J2" s="11" t="s">
        <v>10</v>
      </c>
    </row>
    <row r="3" spans="2:10" ht="45" x14ac:dyDescent="0.25">
      <c r="B3" s="12" t="s">
        <v>23</v>
      </c>
      <c r="C3" s="8">
        <v>1179842160</v>
      </c>
      <c r="D3" s="14">
        <v>1151333330</v>
      </c>
      <c r="E3" s="8">
        <v>1177000440</v>
      </c>
      <c r="F3" s="15">
        <f>MEDIAN(C3,D3,E3)-STDEVA(C3,D3,E3)</f>
        <v>1161296781.7410707</v>
      </c>
      <c r="G3" s="15">
        <f>MEDIAN(C3,D3,E3)+STDEVA(C3,D3,E3)</f>
        <v>1192704098.2589293</v>
      </c>
      <c r="H3" s="8">
        <f>ROUND(AVERAGE(C3,E3),0)</f>
        <v>1178421300</v>
      </c>
      <c r="I3" s="8">
        <f>STDEVA(C3,E3)</f>
        <v>2009399.4822334358</v>
      </c>
      <c r="J3" s="8">
        <f>MEDIAN(C3,E3)</f>
        <v>1178421300</v>
      </c>
    </row>
    <row r="4" spans="2:10" x14ac:dyDescent="0.25">
      <c r="B4" s="12" t="s">
        <v>19</v>
      </c>
      <c r="C4" s="8">
        <f t="shared" ref="C4:J4" si="0">SUM(C3:C3)</f>
        <v>1179842160</v>
      </c>
      <c r="D4" s="8">
        <f t="shared" si="0"/>
        <v>1151333330</v>
      </c>
      <c r="E4" s="8">
        <f t="shared" si="0"/>
        <v>1177000440</v>
      </c>
      <c r="F4" s="8">
        <f t="shared" si="0"/>
        <v>1161296781.7410707</v>
      </c>
      <c r="G4" s="8">
        <f t="shared" si="0"/>
        <v>1192704098.2589293</v>
      </c>
      <c r="H4" s="8">
        <f t="shared" si="0"/>
        <v>1178421300</v>
      </c>
      <c r="I4" s="8">
        <f t="shared" si="0"/>
        <v>2009399.4822334358</v>
      </c>
      <c r="J4" s="8">
        <f t="shared" si="0"/>
        <v>1178421300</v>
      </c>
    </row>
    <row r="6" spans="2:10" ht="28.5" customHeight="1" x14ac:dyDescent="0.25">
      <c r="B6" s="12" t="s">
        <v>20</v>
      </c>
      <c r="C6" s="16">
        <f>H4</f>
        <v>1178421300</v>
      </c>
    </row>
    <row r="7" spans="2:10" x14ac:dyDescent="0.25">
      <c r="F7" s="20"/>
    </row>
  </sheetData>
  <conditionalFormatting sqref="C3:E3">
    <cfRule type="cellIs" dxfId="8" priority="1" operator="between">
      <formula>$F$3</formula>
      <formula>$G$3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65F55-92BF-4F5B-9008-9CAE71241932}">
  <dimension ref="A1:T23"/>
  <sheetViews>
    <sheetView tabSelected="1" view="pageBreakPreview" topLeftCell="B6" zoomScale="80" zoomScaleNormal="85" zoomScaleSheetLayoutView="80" workbookViewId="0">
      <selection activeCell="X6" sqref="X6"/>
    </sheetView>
  </sheetViews>
  <sheetFormatPr baseColWidth="10" defaultRowHeight="15" x14ac:dyDescent="0.25"/>
  <cols>
    <col min="1" max="1" width="11.42578125" style="5"/>
    <col min="2" max="2" width="31.85546875" style="5" customWidth="1"/>
    <col min="3" max="3" width="14.140625" style="5" customWidth="1"/>
    <col min="4" max="5" width="15.7109375" style="5" bestFit="1" customWidth="1"/>
    <col min="6" max="6" width="17.42578125" style="5" bestFit="1" customWidth="1"/>
    <col min="7" max="7" width="16.42578125" style="5" customWidth="1"/>
    <col min="8" max="8" width="19.28515625" style="5" customWidth="1"/>
    <col min="9" max="9" width="15.7109375" style="5" bestFit="1" customWidth="1"/>
    <col min="10" max="10" width="16.140625" style="5" bestFit="1" customWidth="1"/>
    <col min="11" max="12" width="17.5703125" style="5" customWidth="1"/>
    <col min="13" max="14" width="14" style="5" bestFit="1" customWidth="1"/>
    <col min="15" max="15" width="16.7109375" style="5" hidden="1" customWidth="1"/>
    <col min="16" max="16" width="14" style="5" hidden="1" customWidth="1"/>
    <col min="17" max="17" width="22.28515625" style="5" customWidth="1"/>
    <col min="18" max="19" width="13" style="5" bestFit="1" customWidth="1"/>
    <col min="20" max="20" width="11.42578125" style="5"/>
  </cols>
  <sheetData>
    <row r="1" spans="1:20" ht="47.25" customHeight="1" x14ac:dyDescent="0.25">
      <c r="A1" s="50"/>
      <c r="B1" s="51"/>
      <c r="C1" s="51"/>
      <c r="D1" s="43" t="s">
        <v>0</v>
      </c>
      <c r="E1" s="44"/>
      <c r="F1" s="45"/>
      <c r="G1" s="43" t="s">
        <v>1</v>
      </c>
      <c r="H1" s="44"/>
      <c r="I1" s="45"/>
      <c r="J1" s="43" t="s">
        <v>14</v>
      </c>
      <c r="K1" s="44"/>
      <c r="L1" s="45"/>
      <c r="M1" s="52" t="s">
        <v>2</v>
      </c>
      <c r="N1" s="52"/>
      <c r="O1" s="52" t="s">
        <v>3</v>
      </c>
      <c r="P1" s="52"/>
      <c r="Q1" s="52"/>
    </row>
    <row r="2" spans="1:20" ht="35.25" customHeight="1" x14ac:dyDescent="0.25">
      <c r="A2" s="2">
        <v>1</v>
      </c>
      <c r="B2" s="2" t="s">
        <v>13</v>
      </c>
      <c r="C2" s="3" t="s">
        <v>4</v>
      </c>
      <c r="D2" s="3" t="s">
        <v>15</v>
      </c>
      <c r="E2" s="3" t="s">
        <v>5</v>
      </c>
      <c r="F2" s="3" t="s">
        <v>16</v>
      </c>
      <c r="G2" s="3" t="s">
        <v>15</v>
      </c>
      <c r="H2" s="3" t="s">
        <v>5</v>
      </c>
      <c r="I2" s="3" t="s">
        <v>16</v>
      </c>
      <c r="J2" s="3" t="s">
        <v>15</v>
      </c>
      <c r="K2" s="3" t="s">
        <v>5</v>
      </c>
      <c r="L2" s="3" t="s">
        <v>16</v>
      </c>
      <c r="M2" s="1" t="s">
        <v>6</v>
      </c>
      <c r="N2" s="1" t="s">
        <v>7</v>
      </c>
      <c r="O2" s="1" t="s">
        <v>8</v>
      </c>
      <c r="P2" s="1" t="s">
        <v>9</v>
      </c>
      <c r="Q2" s="1" t="s">
        <v>10</v>
      </c>
    </row>
    <row r="3" spans="1:20" x14ac:dyDescent="0.25">
      <c r="A3" s="46" t="s">
        <v>11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8"/>
    </row>
    <row r="4" spans="1:20" ht="15.75" thickBot="1" x14ac:dyDescent="0.3">
      <c r="A4" s="46" t="s">
        <v>12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9"/>
    </row>
    <row r="5" spans="1:20" ht="115.5" x14ac:dyDescent="0.25">
      <c r="A5" s="17">
        <v>1</v>
      </c>
      <c r="B5" s="4" t="s">
        <v>39</v>
      </c>
      <c r="C5" s="10">
        <v>1</v>
      </c>
      <c r="D5" s="9">
        <f>14276000*6</f>
        <v>85656000</v>
      </c>
      <c r="E5" s="9">
        <f>D5*19%</f>
        <v>16274640</v>
      </c>
      <c r="F5" s="13">
        <f>D5+E5</f>
        <v>101930640</v>
      </c>
      <c r="G5" s="9">
        <f>13914000*6</f>
        <v>83484000</v>
      </c>
      <c r="H5" s="8">
        <f>G5*19%</f>
        <v>15861960</v>
      </c>
      <c r="I5" s="19">
        <f>SUM(G5+H5)</f>
        <v>99345960</v>
      </c>
      <c r="J5" s="9">
        <f>14206000*6</f>
        <v>85236000</v>
      </c>
      <c r="K5" s="9">
        <f>J5*19%</f>
        <v>16194840</v>
      </c>
      <c r="L5" s="18">
        <f>J5+K5</f>
        <v>101430840</v>
      </c>
      <c r="M5" s="8">
        <f>MEDIAN(F5,I5,L5)-STDEVA(F5,I5,L5)</f>
        <v>100059885.62701744</v>
      </c>
      <c r="N5" s="8">
        <f>MEDIAN(F5,I5,L5)+STDEVA(F5,I5,L5)</f>
        <v>102801794.37298256</v>
      </c>
      <c r="O5" s="8">
        <f>ROUND(AVERAGE(I5,L5),0)</f>
        <v>100388400</v>
      </c>
      <c r="P5" s="21">
        <f>STDEVA(F5,L5)</f>
        <v>353411.96923703648</v>
      </c>
      <c r="Q5" s="22">
        <f>MEDIAN(F5,L5)</f>
        <v>101680740</v>
      </c>
      <c r="R5" s="7"/>
      <c r="S5" s="7"/>
    </row>
    <row r="6" spans="1:20" ht="49.5" x14ac:dyDescent="0.25">
      <c r="A6" s="17">
        <v>2</v>
      </c>
      <c r="B6" s="4" t="s">
        <v>40</v>
      </c>
      <c r="C6" s="6"/>
      <c r="D6" s="9"/>
      <c r="E6" s="9"/>
      <c r="F6" s="18"/>
      <c r="G6" s="9"/>
      <c r="H6" s="8"/>
      <c r="I6" s="19"/>
      <c r="J6" s="9"/>
      <c r="K6" s="9"/>
      <c r="L6" s="18"/>
      <c r="M6" s="8"/>
      <c r="N6" s="8"/>
      <c r="O6" s="8"/>
      <c r="P6" s="21"/>
      <c r="Q6" s="23"/>
    </row>
    <row r="7" spans="1:20" ht="17.25" x14ac:dyDescent="0.25">
      <c r="A7" s="17">
        <v>2.1</v>
      </c>
      <c r="B7" s="4" t="s">
        <v>41</v>
      </c>
      <c r="C7" s="6">
        <v>1</v>
      </c>
      <c r="D7" s="9">
        <v>93072000</v>
      </c>
      <c r="E7" s="9">
        <f t="shared" ref="E7:E11" si="0">D7*19%</f>
        <v>17683680</v>
      </c>
      <c r="F7" s="18">
        <f t="shared" ref="F7:F11" si="1">D7+E7</f>
        <v>110755680</v>
      </c>
      <c r="G7" s="9">
        <v>90624000</v>
      </c>
      <c r="H7" s="8">
        <f t="shared" ref="H7:H11" si="2">G7*19%</f>
        <v>17218560</v>
      </c>
      <c r="I7" s="19">
        <f t="shared" ref="I7:I11" si="3">SUM(G7+H7)</f>
        <v>107842560</v>
      </c>
      <c r="J7" s="9">
        <v>92616000</v>
      </c>
      <c r="K7" s="9">
        <f t="shared" ref="K7:K11" si="4">J7*19%</f>
        <v>17597040</v>
      </c>
      <c r="L7" s="18">
        <f t="shared" ref="L7:L11" si="5">J7+K7</f>
        <v>110213040</v>
      </c>
      <c r="M7" s="8">
        <f t="shared" ref="M7:M11" si="6">MEDIAN(F7,I7,L7)-STDEVA(F7,I7,L7)</f>
        <v>108663851.94737372</v>
      </c>
      <c r="N7" s="8">
        <f t="shared" ref="N7:N11" si="7">MEDIAN(F7,I7,L7)+STDEVA(F7,I7,L7)</f>
        <v>111762228.05262628</v>
      </c>
      <c r="O7" s="8">
        <f t="shared" ref="O7:O9" si="8">ROUND(AVERAGE(F7,I7,L7),0)</f>
        <v>109603760</v>
      </c>
      <c r="P7" s="21">
        <f t="shared" ref="P7:P9" si="9">STDEVA(F7,I7,L7)</f>
        <v>1549188.0526262783</v>
      </c>
      <c r="Q7" s="23">
        <f t="shared" ref="Q7:Q9" si="10">MEDIAN(F7,L7)</f>
        <v>110484360</v>
      </c>
    </row>
    <row r="8" spans="1:20" ht="17.25" x14ac:dyDescent="0.25">
      <c r="A8" s="17">
        <v>2.2000000000000002</v>
      </c>
      <c r="B8" s="4" t="s">
        <v>42</v>
      </c>
      <c r="C8" s="6">
        <v>1</v>
      </c>
      <c r="D8" s="9">
        <v>126588000</v>
      </c>
      <c r="E8" s="9">
        <f t="shared" si="0"/>
        <v>24051720</v>
      </c>
      <c r="F8" s="18">
        <f t="shared" si="1"/>
        <v>150639720</v>
      </c>
      <c r="G8" s="9">
        <v>123138000</v>
      </c>
      <c r="H8" s="8">
        <f t="shared" si="2"/>
        <v>23396220</v>
      </c>
      <c r="I8" s="19">
        <f t="shared" si="3"/>
        <v>146534220</v>
      </c>
      <c r="J8" s="9">
        <v>125970000</v>
      </c>
      <c r="K8" s="9">
        <f t="shared" si="4"/>
        <v>23934300</v>
      </c>
      <c r="L8" s="18">
        <f t="shared" si="5"/>
        <v>149904300</v>
      </c>
      <c r="M8" s="8">
        <f t="shared" si="6"/>
        <v>147715182.52055764</v>
      </c>
      <c r="N8" s="8">
        <f t="shared" si="7"/>
        <v>152093417.47944236</v>
      </c>
      <c r="O8" s="8">
        <f t="shared" si="8"/>
        <v>149026080</v>
      </c>
      <c r="P8" s="21">
        <f t="shared" si="9"/>
        <v>2189117.4794423436</v>
      </c>
      <c r="Q8" s="23">
        <f t="shared" si="10"/>
        <v>150272010</v>
      </c>
    </row>
    <row r="9" spans="1:20" ht="33" x14ac:dyDescent="0.25">
      <c r="A9" s="17">
        <v>2.2999999999999998</v>
      </c>
      <c r="B9" s="4" t="s">
        <v>33</v>
      </c>
      <c r="C9" s="6">
        <v>1</v>
      </c>
      <c r="D9" s="9">
        <v>143442000</v>
      </c>
      <c r="E9" s="9">
        <f t="shared" si="0"/>
        <v>27253980</v>
      </c>
      <c r="F9" s="18">
        <f t="shared" si="1"/>
        <v>170695980</v>
      </c>
      <c r="G9" s="9">
        <v>139398000</v>
      </c>
      <c r="H9" s="8">
        <f t="shared" si="2"/>
        <v>26485620</v>
      </c>
      <c r="I9" s="19">
        <f t="shared" si="3"/>
        <v>165883620</v>
      </c>
      <c r="J9" s="9">
        <v>142746000</v>
      </c>
      <c r="K9" s="9">
        <f t="shared" si="4"/>
        <v>27121740</v>
      </c>
      <c r="L9" s="18">
        <f t="shared" si="5"/>
        <v>169867740</v>
      </c>
      <c r="M9" s="8">
        <f t="shared" si="6"/>
        <v>167294868.63251969</v>
      </c>
      <c r="N9" s="8">
        <f t="shared" si="7"/>
        <v>172440611.36748031</v>
      </c>
      <c r="O9" s="8">
        <f t="shared" si="8"/>
        <v>168815780</v>
      </c>
      <c r="P9" s="21">
        <f t="shared" si="9"/>
        <v>2572871.3674803101</v>
      </c>
      <c r="Q9" s="23">
        <f t="shared" si="10"/>
        <v>170281860</v>
      </c>
    </row>
    <row r="10" spans="1:20" ht="33" x14ac:dyDescent="0.25">
      <c r="A10" s="17">
        <v>3</v>
      </c>
      <c r="B10" s="4" t="s">
        <v>21</v>
      </c>
      <c r="C10" s="6">
        <v>1</v>
      </c>
      <c r="D10" s="9">
        <f>5678000*6</f>
        <v>34068000</v>
      </c>
      <c r="E10" s="9">
        <f t="shared" si="0"/>
        <v>6472920</v>
      </c>
      <c r="F10" s="18">
        <f t="shared" si="1"/>
        <v>40540920</v>
      </c>
      <c r="G10" s="9">
        <f>5529000*6</f>
        <v>33174000</v>
      </c>
      <c r="H10" s="8">
        <f t="shared" si="2"/>
        <v>6303060</v>
      </c>
      <c r="I10" s="14">
        <f t="shared" si="3"/>
        <v>39477060</v>
      </c>
      <c r="J10" s="9">
        <f>5645000*6</f>
        <v>33870000</v>
      </c>
      <c r="K10" s="9">
        <f t="shared" si="4"/>
        <v>6435300</v>
      </c>
      <c r="L10" s="18">
        <f t="shared" si="5"/>
        <v>40305300</v>
      </c>
      <c r="M10" s="8">
        <f t="shared" si="6"/>
        <v>39746537.02377484</v>
      </c>
      <c r="N10" s="8">
        <f t="shared" si="7"/>
        <v>40864062.97622516</v>
      </c>
      <c r="O10" s="8">
        <f>ROUND(AVERAGE(F10,L10),0)</f>
        <v>40423110</v>
      </c>
      <c r="P10" s="21">
        <f>STDEVA(F10,L10)</f>
        <v>166608.49978317434</v>
      </c>
      <c r="Q10" s="23">
        <f>MEDIAN(F10,L10)</f>
        <v>40423110</v>
      </c>
    </row>
    <row r="11" spans="1:20" ht="50.25" thickBot="1" x14ac:dyDescent="0.3">
      <c r="A11" s="17">
        <v>4</v>
      </c>
      <c r="B11" s="4" t="s">
        <v>22</v>
      </c>
      <c r="C11" s="6">
        <v>1</v>
      </c>
      <c r="D11" s="9">
        <f>508638000</f>
        <v>508638000</v>
      </c>
      <c r="E11" s="9">
        <f t="shared" si="0"/>
        <v>96641220</v>
      </c>
      <c r="F11" s="18">
        <f t="shared" si="1"/>
        <v>605279220</v>
      </c>
      <c r="G11" s="8">
        <v>497689000</v>
      </c>
      <c r="H11" s="8">
        <f t="shared" si="2"/>
        <v>94560910</v>
      </c>
      <c r="I11" s="19">
        <f t="shared" si="3"/>
        <v>592249910</v>
      </c>
      <c r="J11" s="9">
        <v>508638000</v>
      </c>
      <c r="K11" s="9">
        <f t="shared" si="4"/>
        <v>96641220</v>
      </c>
      <c r="L11" s="18">
        <f t="shared" si="5"/>
        <v>605279220</v>
      </c>
      <c r="M11" s="8">
        <f t="shared" si="6"/>
        <v>597756744.36414492</v>
      </c>
      <c r="N11" s="8">
        <f t="shared" si="7"/>
        <v>612801695.63585508</v>
      </c>
      <c r="O11" s="8">
        <f>ROUND(AVERAGE(F11,I11,L11),0)</f>
        <v>600936117</v>
      </c>
      <c r="P11" s="21">
        <f>STDEVA(F11,L11)</f>
        <v>0</v>
      </c>
      <c r="Q11" s="53">
        <f>MEDIAN(F11,L11)</f>
        <v>605279220</v>
      </c>
    </row>
    <row r="12" spans="1:20" x14ac:dyDescent="0.25">
      <c r="F12" s="7">
        <f>SUM(F5:F11)</f>
        <v>1179842160</v>
      </c>
      <c r="I12" s="7">
        <f>SUM(I5:I11)</f>
        <v>1151333330</v>
      </c>
      <c r="L12" s="7">
        <f>SUM(L5:L11)</f>
        <v>1177000440</v>
      </c>
    </row>
    <row r="13" spans="1:20" ht="15.75" thickBot="1" x14ac:dyDescent="0.3">
      <c r="Q13" s="54">
        <f>SUM(Q5:Q11)</f>
        <v>1178421300</v>
      </c>
      <c r="R13"/>
      <c r="S13"/>
      <c r="T13"/>
    </row>
    <row r="14" spans="1:20" ht="39" customHeight="1" thickBot="1" x14ac:dyDescent="0.3">
      <c r="A14" s="35" t="s">
        <v>38</v>
      </c>
      <c r="B14" s="36"/>
      <c r="C14" s="36"/>
      <c r="D14" s="36"/>
      <c r="E14" s="36"/>
      <c r="F14" s="36"/>
      <c r="G14" s="36"/>
      <c r="H14" s="36"/>
      <c r="I14" s="36"/>
      <c r="J14" s="37"/>
      <c r="Q14"/>
      <c r="R14"/>
      <c r="S14"/>
      <c r="T14"/>
    </row>
    <row r="15" spans="1:20" ht="42" customHeight="1" x14ac:dyDescent="0.25">
      <c r="A15" s="55" t="s">
        <v>13</v>
      </c>
      <c r="B15" s="40" t="s">
        <v>24</v>
      </c>
      <c r="C15" s="41"/>
      <c r="D15" s="42"/>
      <c r="E15" s="30" t="s">
        <v>25</v>
      </c>
      <c r="F15" s="30" t="s">
        <v>26</v>
      </c>
      <c r="G15" s="31" t="s">
        <v>43</v>
      </c>
      <c r="H15" s="31" t="s">
        <v>44</v>
      </c>
      <c r="I15" s="31" t="s">
        <v>27</v>
      </c>
      <c r="J15" s="56" t="s">
        <v>28</v>
      </c>
      <c r="Q15"/>
      <c r="R15"/>
      <c r="S15"/>
      <c r="T15"/>
    </row>
    <row r="16" spans="1:20" ht="54.75" customHeight="1" x14ac:dyDescent="0.25">
      <c r="A16" s="57">
        <v>1</v>
      </c>
      <c r="B16" s="32" t="s">
        <v>35</v>
      </c>
      <c r="C16" s="32"/>
      <c r="D16" s="32"/>
      <c r="E16" s="24" t="s">
        <v>29</v>
      </c>
      <c r="F16" s="25">
        <v>6</v>
      </c>
      <c r="G16" s="27">
        <f>+I16/1.19</f>
        <v>14241000</v>
      </c>
      <c r="H16" s="28">
        <f>+G16*0.19</f>
        <v>2705790</v>
      </c>
      <c r="I16" s="26">
        <f>+J16/F16</f>
        <v>16946790</v>
      </c>
      <c r="J16" s="58">
        <v>101680740</v>
      </c>
      <c r="Q16"/>
      <c r="R16"/>
      <c r="S16"/>
      <c r="T16"/>
    </row>
    <row r="17" spans="1:20" ht="30.75" customHeight="1" x14ac:dyDescent="0.25">
      <c r="A17" s="59">
        <v>1.1000000000000001</v>
      </c>
      <c r="B17" s="33" t="s">
        <v>30</v>
      </c>
      <c r="C17" s="34"/>
      <c r="D17" s="34"/>
      <c r="E17" s="34"/>
      <c r="F17" s="34"/>
      <c r="G17" s="34"/>
      <c r="H17" s="34"/>
      <c r="I17" s="34"/>
      <c r="J17" s="60"/>
      <c r="Q17"/>
      <c r="R17"/>
      <c r="S17"/>
      <c r="T17"/>
    </row>
    <row r="18" spans="1:20" ht="30.75" customHeight="1" x14ac:dyDescent="0.25">
      <c r="A18" s="61"/>
      <c r="B18" s="38" t="s">
        <v>31</v>
      </c>
      <c r="C18" s="38"/>
      <c r="D18" s="38"/>
      <c r="E18" s="24" t="s">
        <v>29</v>
      </c>
      <c r="F18" s="25">
        <v>6</v>
      </c>
      <c r="G18" s="27">
        <f>+I18/1.19</f>
        <v>15474000</v>
      </c>
      <c r="H18" s="28">
        <f t="shared" ref="H18:H21" si="11">+G18*0.19</f>
        <v>2940060</v>
      </c>
      <c r="I18" s="26">
        <f>+J18/F18</f>
        <v>18414060</v>
      </c>
      <c r="J18" s="58">
        <v>110484360</v>
      </c>
      <c r="Q18"/>
      <c r="R18"/>
      <c r="S18"/>
      <c r="T18"/>
    </row>
    <row r="19" spans="1:20" ht="30.75" customHeight="1" x14ac:dyDescent="0.25">
      <c r="A19" s="61"/>
      <c r="B19" s="39" t="s">
        <v>32</v>
      </c>
      <c r="C19" s="39"/>
      <c r="D19" s="39"/>
      <c r="E19" s="24" t="s">
        <v>29</v>
      </c>
      <c r="F19" s="25">
        <v>6</v>
      </c>
      <c r="G19" s="27">
        <f t="shared" ref="G19:G21" si="12">+I19/1.19</f>
        <v>21046500</v>
      </c>
      <c r="H19" s="28">
        <f t="shared" si="11"/>
        <v>3998835</v>
      </c>
      <c r="I19" s="26">
        <f t="shared" ref="I19:I22" si="13">+J19/F19</f>
        <v>25045335</v>
      </c>
      <c r="J19" s="62">
        <v>150272010</v>
      </c>
      <c r="K19" s="29"/>
      <c r="Q19"/>
      <c r="R19"/>
      <c r="S19"/>
      <c r="T19"/>
    </row>
    <row r="20" spans="1:20" ht="30.75" customHeight="1" x14ac:dyDescent="0.25">
      <c r="A20" s="63"/>
      <c r="B20" s="38" t="s">
        <v>33</v>
      </c>
      <c r="C20" s="38"/>
      <c r="D20" s="38"/>
      <c r="E20" s="24" t="s">
        <v>29</v>
      </c>
      <c r="F20" s="25">
        <v>6</v>
      </c>
      <c r="G20" s="27">
        <f t="shared" si="12"/>
        <v>23849000</v>
      </c>
      <c r="H20" s="28">
        <f t="shared" si="11"/>
        <v>4531310</v>
      </c>
      <c r="I20" s="26">
        <f t="shared" si="13"/>
        <v>28380310</v>
      </c>
      <c r="J20" s="62">
        <v>170281860</v>
      </c>
      <c r="K20" s="29"/>
      <c r="Q20"/>
      <c r="R20"/>
      <c r="S20"/>
      <c r="T20"/>
    </row>
    <row r="21" spans="1:20" ht="30.75" customHeight="1" x14ac:dyDescent="0.25">
      <c r="A21" s="57">
        <v>2</v>
      </c>
      <c r="B21" s="32" t="s">
        <v>21</v>
      </c>
      <c r="C21" s="32"/>
      <c r="D21" s="32"/>
      <c r="E21" s="24" t="s">
        <v>36</v>
      </c>
      <c r="F21" s="25">
        <v>1</v>
      </c>
      <c r="G21" s="27">
        <f t="shared" si="12"/>
        <v>33969000</v>
      </c>
      <c r="H21" s="28">
        <f t="shared" si="11"/>
        <v>6454110</v>
      </c>
      <c r="I21" s="26">
        <f t="shared" si="13"/>
        <v>40423110</v>
      </c>
      <c r="J21" s="58">
        <v>40423110</v>
      </c>
    </row>
    <row r="22" spans="1:20" ht="30.75" customHeight="1" x14ac:dyDescent="0.25">
      <c r="A22" s="57">
        <v>3</v>
      </c>
      <c r="B22" s="32" t="s">
        <v>22</v>
      </c>
      <c r="C22" s="32"/>
      <c r="D22" s="32"/>
      <c r="E22" s="24" t="s">
        <v>37</v>
      </c>
      <c r="F22" s="25">
        <v>1</v>
      </c>
      <c r="G22" s="27">
        <f>+I22/1.19</f>
        <v>508638000</v>
      </c>
      <c r="H22" s="28">
        <f>+G22*0.19</f>
        <v>96641220</v>
      </c>
      <c r="I22" s="26">
        <f t="shared" si="13"/>
        <v>605279220</v>
      </c>
      <c r="J22" s="58">
        <v>605279220</v>
      </c>
    </row>
    <row r="23" spans="1:20" ht="30.75" customHeight="1" thickBot="1" x14ac:dyDescent="0.3">
      <c r="A23" s="64" t="s">
        <v>34</v>
      </c>
      <c r="B23" s="65"/>
      <c r="C23" s="65"/>
      <c r="D23" s="65"/>
      <c r="E23" s="65"/>
      <c r="F23" s="65"/>
      <c r="G23" s="65"/>
      <c r="H23" s="65"/>
      <c r="I23" s="66"/>
      <c r="J23" s="67">
        <f>SUM(J16:J22)</f>
        <v>1178421300</v>
      </c>
    </row>
  </sheetData>
  <mergeCells count="19">
    <mergeCell ref="B22:D22"/>
    <mergeCell ref="A23:I23"/>
    <mergeCell ref="J1:L1"/>
    <mergeCell ref="A3:Q3"/>
    <mergeCell ref="A4:Q4"/>
    <mergeCell ref="A1:C1"/>
    <mergeCell ref="D1:F1"/>
    <mergeCell ref="G1:I1"/>
    <mergeCell ref="M1:N1"/>
    <mergeCell ref="O1:Q1"/>
    <mergeCell ref="B20:D20"/>
    <mergeCell ref="B16:D16"/>
    <mergeCell ref="B18:D18"/>
    <mergeCell ref="B19:D19"/>
    <mergeCell ref="A14:J14"/>
    <mergeCell ref="B15:D15"/>
    <mergeCell ref="A17:A20"/>
    <mergeCell ref="B17:J17"/>
    <mergeCell ref="B21:D21"/>
  </mergeCells>
  <conditionalFormatting sqref="F5 I5 L5">
    <cfRule type="cellIs" dxfId="3" priority="4" operator="between">
      <formula>$M$5</formula>
      <formula>$N$5</formula>
    </cfRule>
  </conditionalFormatting>
  <conditionalFormatting sqref="F6:F9 I6:I9 L6:L9">
    <cfRule type="cellIs" dxfId="2" priority="3" operator="between">
      <formula>$M$6</formula>
      <formula>$N$6</formula>
    </cfRule>
  </conditionalFormatting>
  <conditionalFormatting sqref="F10 I10 L10">
    <cfRule type="cellIs" dxfId="1" priority="2" operator="between">
      <formula>$M$10</formula>
      <formula>$N$10</formula>
    </cfRule>
  </conditionalFormatting>
  <conditionalFormatting sqref="F11 I11 L11">
    <cfRule type="cellIs" dxfId="0" priority="1" operator="between">
      <formula>$M$11</formula>
      <formula>$N$11</formula>
    </cfRule>
  </conditionalFormatting>
  <pageMargins left="0.7" right="0.7" top="0.75" bottom="0.75" header="0.3" footer="0.3"/>
  <pageSetup paperSize="41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GENERAL</vt:lpstr>
      <vt:lpstr>PPTO OFICIAL ITEMS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CAMACHO SERRANO</dc:creator>
  <cp:lastModifiedBy>JOHANNA ANDREA AGUDELO JURADO</cp:lastModifiedBy>
  <cp:lastPrinted>2025-06-04T22:03:31Z</cp:lastPrinted>
  <dcterms:created xsi:type="dcterms:W3CDTF">2025-04-30T18:53:18Z</dcterms:created>
  <dcterms:modified xsi:type="dcterms:W3CDTF">2025-06-04T22:08:25Z</dcterms:modified>
</cp:coreProperties>
</file>