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C:\Users\jvasquezv\Desktop\contratos 2025\Bienestar 2025\"/>
    </mc:Choice>
  </mc:AlternateContent>
  <xr:revisionPtr revIDLastSave="0" documentId="8_{0673647B-1C57-4EFB-B394-97DFE0582C9B}" xr6:coauthVersionLast="47" xr6:coauthVersionMax="47" xr10:uidLastSave="{00000000-0000-0000-0000-000000000000}"/>
  <bookViews>
    <workbookView xWindow="-120" yWindow="-120" windowWidth="20730" windowHeight="11040" tabRatio="920" firstSheet="1" activeTab="2" xr2:uid="{00000000-000D-0000-FFFF-FFFF00000000}"/>
  </bookViews>
  <sheets>
    <sheet name="Rutinas de mtto. preventivo" sheetId="30" state="hidden" r:id="rId1"/>
    <sheet name="ANEXO NO. 2 precios de ref" sheetId="46" r:id="rId2"/>
    <sheet name="Estudio Mercado" sheetId="50" r:id="rId3"/>
    <sheet name="BIENESTAR (2)" sheetId="47" r:id="rId4"/>
    <sheet name="VISITAS REAL NOV 2016" sheetId="28" state="hidden" r:id="rId5"/>
  </sheets>
  <definedNames>
    <definedName name="_xlnm._FilterDatabase" localSheetId="1" hidden="1">'ANEXO NO. 2 precios de ref'!$B$3:$M$6</definedName>
    <definedName name="_xlnm._FilterDatabase" localSheetId="3" hidden="1">'BIENESTAR (2)'!$B$2:$L$52</definedName>
    <definedName name="_xlnm._FilterDatabase" localSheetId="2" hidden="1">'Estudio Mercado'!$B$2:$L$27</definedName>
    <definedName name="_xlnm._FilterDatabase" localSheetId="0" hidden="1">'Rutinas de mtto. preventivo'!$B$4:$F$4</definedName>
    <definedName name="_xlnm._FilterDatabase" localSheetId="4" hidden="1">'VISITAS REAL NOV 2016'!$B$3:$H$3</definedName>
    <definedName name="_xlnm.Print_Area" localSheetId="0">'Rutinas de mtto. preventivo'!$A$1:$F$60</definedName>
    <definedName name="_xlnm.Print_Area" localSheetId="4">'VISITAS REAL NOV 2016'!$B$2:$H$63</definedName>
    <definedName name="_xlnm.Print_Titles" localSheetId="0">'Rutinas de mtto. preventivo'!$4:$4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5" i="46" l="1"/>
  <c r="R6" i="46"/>
  <c r="R7" i="46"/>
  <c r="R8" i="46"/>
  <c r="R9" i="46"/>
  <c r="R10" i="46"/>
  <c r="R11" i="46"/>
  <c r="R12" i="46"/>
  <c r="R13" i="46"/>
  <c r="R14" i="46"/>
  <c r="R15" i="46"/>
  <c r="R16" i="46"/>
  <c r="R17" i="46"/>
  <c r="R18" i="46"/>
  <c r="R19" i="46"/>
  <c r="R20" i="46"/>
  <c r="R21" i="46"/>
  <c r="R22" i="46"/>
  <c r="R23" i="46"/>
  <c r="R4" i="46"/>
  <c r="C5" i="46"/>
  <c r="C6" i="46"/>
  <c r="C7" i="46"/>
  <c r="C8" i="46"/>
  <c r="C9" i="46"/>
  <c r="C10" i="46"/>
  <c r="C11" i="46"/>
  <c r="C12" i="46"/>
  <c r="C13" i="46"/>
  <c r="C14" i="46"/>
  <c r="C15" i="46"/>
  <c r="C16" i="46"/>
  <c r="C17" i="46"/>
  <c r="C18" i="46"/>
  <c r="C19" i="46"/>
  <c r="C20" i="46"/>
  <c r="C21" i="46"/>
  <c r="C22" i="46"/>
  <c r="C23" i="46"/>
  <c r="C4" i="46"/>
  <c r="J3" i="50"/>
  <c r="I3" i="50"/>
  <c r="H3" i="50"/>
  <c r="J4" i="50"/>
  <c r="F22" i="50" l="1"/>
  <c r="F21" i="50"/>
  <c r="F11" i="50"/>
  <c r="G21" i="50" l="1"/>
  <c r="G22" i="50"/>
  <c r="G20" i="50"/>
  <c r="G19" i="50"/>
  <c r="G18" i="50"/>
  <c r="G17" i="50"/>
  <c r="G16" i="50"/>
  <c r="G15" i="50"/>
  <c r="G14" i="50"/>
  <c r="G13" i="50"/>
  <c r="G12" i="50"/>
  <c r="G11" i="50"/>
  <c r="G10" i="50"/>
  <c r="G9" i="50"/>
  <c r="G8" i="50"/>
  <c r="G7" i="50"/>
  <c r="G6" i="50"/>
  <c r="G5" i="50"/>
  <c r="G4" i="50"/>
  <c r="G3" i="50"/>
  <c r="M22" i="50"/>
  <c r="L22" i="50"/>
  <c r="K22" i="50"/>
  <c r="I22" i="50"/>
  <c r="H22" i="50"/>
  <c r="M21" i="50"/>
  <c r="L21" i="50"/>
  <c r="K21" i="50"/>
  <c r="I21" i="50"/>
  <c r="H21" i="50"/>
  <c r="M20" i="50"/>
  <c r="L20" i="50"/>
  <c r="K20" i="50"/>
  <c r="I20" i="50"/>
  <c r="H20" i="50"/>
  <c r="M19" i="50"/>
  <c r="L19" i="50"/>
  <c r="K19" i="50"/>
  <c r="I19" i="50"/>
  <c r="H19" i="50"/>
  <c r="M18" i="50"/>
  <c r="L18" i="50"/>
  <c r="K18" i="50"/>
  <c r="I18" i="50"/>
  <c r="H18" i="50"/>
  <c r="J18" i="50" s="1"/>
  <c r="M17" i="50"/>
  <c r="L17" i="50"/>
  <c r="K17" i="50"/>
  <c r="I17" i="50"/>
  <c r="H17" i="50"/>
  <c r="M16" i="50"/>
  <c r="L16" i="50"/>
  <c r="K16" i="50"/>
  <c r="I16" i="50"/>
  <c r="H16" i="50"/>
  <c r="M15" i="50"/>
  <c r="L15" i="50"/>
  <c r="K15" i="50"/>
  <c r="I15" i="50"/>
  <c r="H15" i="50"/>
  <c r="M14" i="50"/>
  <c r="L14" i="50"/>
  <c r="K14" i="50"/>
  <c r="I14" i="50"/>
  <c r="H14" i="50"/>
  <c r="J14" i="50" s="1"/>
  <c r="M13" i="50"/>
  <c r="L13" i="50"/>
  <c r="K13" i="50"/>
  <c r="I13" i="50"/>
  <c r="H13" i="50"/>
  <c r="M12" i="50"/>
  <c r="L12" i="50"/>
  <c r="K12" i="50"/>
  <c r="I12" i="50"/>
  <c r="H12" i="50"/>
  <c r="J12" i="50" s="1"/>
  <c r="M11" i="50"/>
  <c r="L11" i="50"/>
  <c r="K11" i="50"/>
  <c r="I11" i="50"/>
  <c r="H11" i="50"/>
  <c r="M10" i="50"/>
  <c r="L10" i="50"/>
  <c r="K10" i="50"/>
  <c r="I10" i="50"/>
  <c r="H10" i="50"/>
  <c r="M9" i="50"/>
  <c r="L9" i="50"/>
  <c r="K9" i="50"/>
  <c r="I9" i="50"/>
  <c r="H9" i="50"/>
  <c r="J9" i="50" s="1"/>
  <c r="M8" i="50"/>
  <c r="L8" i="50"/>
  <c r="K8" i="50"/>
  <c r="I8" i="50"/>
  <c r="H8" i="50"/>
  <c r="M7" i="50"/>
  <c r="L7" i="50"/>
  <c r="K7" i="50"/>
  <c r="I7" i="50"/>
  <c r="H7" i="50"/>
  <c r="M6" i="50"/>
  <c r="L6" i="50"/>
  <c r="K6" i="50"/>
  <c r="I6" i="50"/>
  <c r="H6" i="50"/>
  <c r="M5" i="50"/>
  <c r="L5" i="50"/>
  <c r="K5" i="50"/>
  <c r="I5" i="50"/>
  <c r="H5" i="50"/>
  <c r="J5" i="50" s="1"/>
  <c r="M4" i="50"/>
  <c r="L4" i="50"/>
  <c r="K4" i="50"/>
  <c r="I4" i="50"/>
  <c r="H4" i="50"/>
  <c r="M3" i="50"/>
  <c r="L3" i="50"/>
  <c r="K3" i="50"/>
  <c r="J13" i="50" l="1"/>
  <c r="J8" i="50"/>
  <c r="J17" i="50"/>
  <c r="J16" i="50"/>
  <c r="J15" i="50"/>
  <c r="J11" i="50"/>
  <c r="J21" i="50"/>
  <c r="J19" i="50"/>
  <c r="J6" i="50"/>
  <c r="J22" i="50"/>
  <c r="J7" i="50"/>
  <c r="J20" i="50"/>
  <c r="J10" i="50"/>
  <c r="J3" i="47"/>
  <c r="M47" i="47"/>
  <c r="M4" i="47"/>
  <c r="M5" i="47"/>
  <c r="M6" i="47"/>
  <c r="M7" i="47"/>
  <c r="M8" i="47"/>
  <c r="M9" i="47"/>
  <c r="M10" i="47"/>
  <c r="M11" i="47"/>
  <c r="M12" i="47"/>
  <c r="M13" i="47"/>
  <c r="M14" i="47"/>
  <c r="M15" i="47"/>
  <c r="M16" i="47"/>
  <c r="M17" i="47"/>
  <c r="M18" i="47"/>
  <c r="M19" i="47"/>
  <c r="M20" i="47"/>
  <c r="M21" i="47"/>
  <c r="M22" i="47"/>
  <c r="M23" i="47"/>
  <c r="M24" i="47"/>
  <c r="M25" i="47"/>
  <c r="M26" i="47"/>
  <c r="M27" i="47"/>
  <c r="M28" i="47"/>
  <c r="M29" i="47"/>
  <c r="M30" i="47"/>
  <c r="M31" i="47"/>
  <c r="M32" i="47"/>
  <c r="M33" i="47"/>
  <c r="M34" i="47"/>
  <c r="M35" i="47"/>
  <c r="M36" i="47"/>
  <c r="M37" i="47"/>
  <c r="M38" i="47"/>
  <c r="M39" i="47"/>
  <c r="M40" i="47"/>
  <c r="M41" i="47"/>
  <c r="M42" i="47"/>
  <c r="M43" i="47"/>
  <c r="M44" i="47"/>
  <c r="M45" i="47"/>
  <c r="M3" i="47"/>
  <c r="L3" i="47"/>
  <c r="K4" i="47"/>
  <c r="K5" i="47"/>
  <c r="K6" i="47"/>
  <c r="K7" i="47"/>
  <c r="K8" i="47"/>
  <c r="K9" i="47"/>
  <c r="K10" i="47"/>
  <c r="K11" i="47"/>
  <c r="K12" i="47"/>
  <c r="K13" i="47"/>
  <c r="K14" i="47"/>
  <c r="K15" i="47"/>
  <c r="K16" i="47"/>
  <c r="K17" i="47"/>
  <c r="K18" i="47"/>
  <c r="K19" i="47"/>
  <c r="K20" i="47"/>
  <c r="K21" i="47"/>
  <c r="K22" i="47"/>
  <c r="K23" i="47"/>
  <c r="K24" i="47"/>
  <c r="K25" i="47"/>
  <c r="K26" i="47"/>
  <c r="K27" i="47"/>
  <c r="K28" i="47"/>
  <c r="K29" i="47"/>
  <c r="K30" i="47"/>
  <c r="K31" i="47"/>
  <c r="K32" i="47"/>
  <c r="K33" i="47"/>
  <c r="K34" i="47"/>
  <c r="K35" i="47"/>
  <c r="K36" i="47"/>
  <c r="K37" i="47"/>
  <c r="K38" i="47"/>
  <c r="K39" i="47"/>
  <c r="K40" i="47"/>
  <c r="K41" i="47"/>
  <c r="K42" i="47"/>
  <c r="K43" i="47"/>
  <c r="K44" i="47"/>
  <c r="K45" i="47"/>
  <c r="K46" i="47"/>
  <c r="K47" i="47"/>
  <c r="K3" i="47"/>
  <c r="L4" i="47"/>
  <c r="L5" i="47"/>
  <c r="L6" i="47"/>
  <c r="L7" i="47"/>
  <c r="L8" i="47"/>
  <c r="L9" i="47"/>
  <c r="L10" i="47"/>
  <c r="L11" i="47"/>
  <c r="L12" i="47"/>
  <c r="L13" i="47"/>
  <c r="L14" i="47"/>
  <c r="L15" i="47"/>
  <c r="L16" i="47"/>
  <c r="L17" i="47"/>
  <c r="L18" i="47"/>
  <c r="L19" i="47"/>
  <c r="L20" i="47"/>
  <c r="L21" i="47"/>
  <c r="L22" i="47"/>
  <c r="L23" i="47"/>
  <c r="L24" i="47"/>
  <c r="L25" i="47"/>
  <c r="L26" i="47"/>
  <c r="L27" i="47"/>
  <c r="L28" i="47"/>
  <c r="L29" i="47"/>
  <c r="L30" i="47"/>
  <c r="L31" i="47"/>
  <c r="L32" i="47"/>
  <c r="L33" i="47"/>
  <c r="L34" i="47"/>
  <c r="L35" i="47"/>
  <c r="L36" i="47"/>
  <c r="L37" i="47"/>
  <c r="L38" i="47"/>
  <c r="L39" i="47"/>
  <c r="L40" i="47"/>
  <c r="L41" i="47"/>
  <c r="L42" i="47"/>
  <c r="L43" i="47"/>
  <c r="L44" i="47"/>
  <c r="L45" i="47"/>
  <c r="L47" i="47"/>
  <c r="I47" i="47"/>
  <c r="H47" i="47"/>
  <c r="J47" i="47" s="1"/>
  <c r="J46" i="47"/>
  <c r="I45" i="47"/>
  <c r="H45" i="47"/>
  <c r="J45" i="47" s="1"/>
  <c r="I44" i="47"/>
  <c r="H44" i="47"/>
  <c r="J44" i="47" s="1"/>
  <c r="I43" i="47"/>
  <c r="H43" i="47"/>
  <c r="J43" i="47" s="1"/>
  <c r="I42" i="47"/>
  <c r="H42" i="47"/>
  <c r="I41" i="47"/>
  <c r="H41" i="47"/>
  <c r="I40" i="47"/>
  <c r="H40" i="47"/>
  <c r="J40" i="47" s="1"/>
  <c r="I39" i="47"/>
  <c r="H39" i="47"/>
  <c r="J39" i="47" s="1"/>
  <c r="I38" i="47"/>
  <c r="H38" i="47"/>
  <c r="J38" i="47" s="1"/>
  <c r="I37" i="47"/>
  <c r="H37" i="47"/>
  <c r="J37" i="47" s="1"/>
  <c r="I36" i="47"/>
  <c r="H36" i="47"/>
  <c r="J36" i="47" s="1"/>
  <c r="I35" i="47"/>
  <c r="H35" i="47"/>
  <c r="J35" i="47" s="1"/>
  <c r="I34" i="47"/>
  <c r="H34" i="47"/>
  <c r="I33" i="47"/>
  <c r="H33" i="47"/>
  <c r="J33" i="47" s="1"/>
  <c r="I32" i="47"/>
  <c r="H32" i="47"/>
  <c r="J32" i="47" s="1"/>
  <c r="I31" i="47"/>
  <c r="H31" i="47"/>
  <c r="J31" i="47" s="1"/>
  <c r="I30" i="47"/>
  <c r="H30" i="47"/>
  <c r="J30" i="47" s="1"/>
  <c r="I29" i="47"/>
  <c r="H29" i="47"/>
  <c r="J29" i="47" s="1"/>
  <c r="I28" i="47"/>
  <c r="H28" i="47"/>
  <c r="J28" i="47" s="1"/>
  <c r="I27" i="47"/>
  <c r="H27" i="47"/>
  <c r="J27" i="47" s="1"/>
  <c r="I26" i="47"/>
  <c r="H26" i="47"/>
  <c r="I25" i="47"/>
  <c r="H25" i="47"/>
  <c r="J25" i="47" s="1"/>
  <c r="I24" i="47"/>
  <c r="H24" i="47"/>
  <c r="J24" i="47" s="1"/>
  <c r="I23" i="47"/>
  <c r="H23" i="47"/>
  <c r="J23" i="47" s="1"/>
  <c r="I22" i="47"/>
  <c r="H22" i="47"/>
  <c r="J22" i="47" s="1"/>
  <c r="I21" i="47"/>
  <c r="H21" i="47"/>
  <c r="J21" i="47" s="1"/>
  <c r="I20" i="47"/>
  <c r="H20" i="47"/>
  <c r="J20" i="47" s="1"/>
  <c r="I19" i="47"/>
  <c r="H19" i="47"/>
  <c r="J19" i="47" s="1"/>
  <c r="I18" i="47"/>
  <c r="H18" i="47"/>
  <c r="I17" i="47"/>
  <c r="H17" i="47"/>
  <c r="J17" i="47" s="1"/>
  <c r="I16" i="47"/>
  <c r="H16" i="47"/>
  <c r="J16" i="47" s="1"/>
  <c r="I15" i="47"/>
  <c r="H15" i="47"/>
  <c r="J15" i="47" s="1"/>
  <c r="I14" i="47"/>
  <c r="H14" i="47"/>
  <c r="J14" i="47" s="1"/>
  <c r="I13" i="47"/>
  <c r="H13" i="47"/>
  <c r="J13" i="47" s="1"/>
  <c r="I12" i="47"/>
  <c r="H12" i="47"/>
  <c r="J12" i="47" s="1"/>
  <c r="I11" i="47"/>
  <c r="H11" i="47"/>
  <c r="I10" i="47"/>
  <c r="H10" i="47"/>
  <c r="I9" i="47"/>
  <c r="H9" i="47"/>
  <c r="J9" i="47" s="1"/>
  <c r="I8" i="47"/>
  <c r="H8" i="47"/>
  <c r="J8" i="47" s="1"/>
  <c r="I7" i="47"/>
  <c r="H7" i="47"/>
  <c r="J7" i="47" s="1"/>
  <c r="I6" i="47"/>
  <c r="H6" i="47"/>
  <c r="J6" i="47" s="1"/>
  <c r="I5" i="47"/>
  <c r="H5" i="47"/>
  <c r="J5" i="47" s="1"/>
  <c r="I4" i="47"/>
  <c r="H4" i="47"/>
  <c r="J4" i="47" s="1"/>
  <c r="I3" i="47"/>
  <c r="H3" i="47"/>
  <c r="I7" i="46"/>
  <c r="K7" i="46" s="1"/>
  <c r="J7" i="46"/>
  <c r="L7" i="46"/>
  <c r="M7" i="46" s="1"/>
  <c r="N7" i="46" s="1"/>
  <c r="O7" i="46" s="1"/>
  <c r="P7" i="46" s="1"/>
  <c r="Q7" i="46" s="1"/>
  <c r="I8" i="46"/>
  <c r="J8" i="46"/>
  <c r="K8" i="46"/>
  <c r="L8" i="46"/>
  <c r="M8" i="46" s="1"/>
  <c r="N8" i="46" s="1"/>
  <c r="O8" i="46" s="1"/>
  <c r="P8" i="46" s="1"/>
  <c r="Q8" i="46" s="1"/>
  <c r="I9" i="46"/>
  <c r="J9" i="46"/>
  <c r="K9" i="46" s="1"/>
  <c r="L9" i="46"/>
  <c r="M9" i="46"/>
  <c r="N9" i="46"/>
  <c r="O9" i="46" s="1"/>
  <c r="P9" i="46" s="1"/>
  <c r="Q9" i="46" s="1"/>
  <c r="I10" i="46"/>
  <c r="J10" i="46"/>
  <c r="K10" i="46"/>
  <c r="L10" i="46"/>
  <c r="M10" i="46"/>
  <c r="N10" i="46" s="1"/>
  <c r="O10" i="46" s="1"/>
  <c r="P10" i="46" s="1"/>
  <c r="Q10" i="46" s="1"/>
  <c r="I11" i="46"/>
  <c r="K11" i="46" s="1"/>
  <c r="J11" i="46"/>
  <c r="L11" i="46"/>
  <c r="M11" i="46"/>
  <c r="N11" i="46" s="1"/>
  <c r="O11" i="46" s="1"/>
  <c r="P11" i="46" s="1"/>
  <c r="Q11" i="46" s="1"/>
  <c r="I12" i="46"/>
  <c r="J12" i="46"/>
  <c r="K12" i="46"/>
  <c r="L12" i="46"/>
  <c r="M12" i="46"/>
  <c r="N12" i="46" s="1"/>
  <c r="O12" i="46" s="1"/>
  <c r="P12" i="46" s="1"/>
  <c r="Q12" i="46" s="1"/>
  <c r="I13" i="46"/>
  <c r="J13" i="46"/>
  <c r="K13" i="46" s="1"/>
  <c r="L13" i="46"/>
  <c r="M13" i="46"/>
  <c r="N13" i="46" s="1"/>
  <c r="O13" i="46" s="1"/>
  <c r="P13" i="46" s="1"/>
  <c r="Q13" i="46" s="1"/>
  <c r="I14" i="46"/>
  <c r="J14" i="46"/>
  <c r="K14" i="46"/>
  <c r="L14" i="46"/>
  <c r="M14" i="46"/>
  <c r="N14" i="46" s="1"/>
  <c r="O14" i="46" s="1"/>
  <c r="P14" i="46" s="1"/>
  <c r="Q14" i="46" s="1"/>
  <c r="I15" i="46"/>
  <c r="K15" i="46" s="1"/>
  <c r="J15" i="46"/>
  <c r="L15" i="46"/>
  <c r="M15" i="46"/>
  <c r="N15" i="46" s="1"/>
  <c r="O15" i="46" s="1"/>
  <c r="P15" i="46" s="1"/>
  <c r="Q15" i="46" s="1"/>
  <c r="I16" i="46"/>
  <c r="J16" i="46"/>
  <c r="K16" i="46"/>
  <c r="L16" i="46"/>
  <c r="M16" i="46"/>
  <c r="N16" i="46" s="1"/>
  <c r="O16" i="46" s="1"/>
  <c r="P16" i="46" s="1"/>
  <c r="Q16" i="46" s="1"/>
  <c r="I17" i="46"/>
  <c r="J17" i="46"/>
  <c r="K17" i="46" s="1"/>
  <c r="L17" i="46"/>
  <c r="M17" i="46"/>
  <c r="N17" i="46" s="1"/>
  <c r="O17" i="46" s="1"/>
  <c r="P17" i="46" s="1"/>
  <c r="Q17" i="46" s="1"/>
  <c r="I18" i="46"/>
  <c r="J18" i="46"/>
  <c r="K18" i="46"/>
  <c r="L18" i="46"/>
  <c r="M18" i="46"/>
  <c r="N18" i="46" s="1"/>
  <c r="O18" i="46" s="1"/>
  <c r="P18" i="46" s="1"/>
  <c r="Q18" i="46" s="1"/>
  <c r="I19" i="46"/>
  <c r="K19" i="46" s="1"/>
  <c r="J19" i="46"/>
  <c r="L19" i="46"/>
  <c r="M19" i="46"/>
  <c r="N19" i="46"/>
  <c r="O19" i="46" s="1"/>
  <c r="P19" i="46" s="1"/>
  <c r="Q19" i="46" s="1"/>
  <c r="I20" i="46"/>
  <c r="J20" i="46"/>
  <c r="K20" i="46"/>
  <c r="L20" i="46"/>
  <c r="M20" i="46"/>
  <c r="N20" i="46" s="1"/>
  <c r="O20" i="46" s="1"/>
  <c r="P20" i="46" s="1"/>
  <c r="Q20" i="46" s="1"/>
  <c r="I21" i="46"/>
  <c r="J21" i="46"/>
  <c r="K21" i="46" s="1"/>
  <c r="L21" i="46"/>
  <c r="M21" i="46"/>
  <c r="N21" i="46"/>
  <c r="O21" i="46" s="1"/>
  <c r="P21" i="46" s="1"/>
  <c r="Q21" i="46" s="1"/>
  <c r="I22" i="46"/>
  <c r="J22" i="46"/>
  <c r="K22" i="46"/>
  <c r="L22" i="46"/>
  <c r="M22" i="46"/>
  <c r="N22" i="46" s="1"/>
  <c r="O22" i="46" s="1"/>
  <c r="P22" i="46" s="1"/>
  <c r="Q22" i="46" s="1"/>
  <c r="I23" i="46"/>
  <c r="K23" i="46" s="1"/>
  <c r="J23" i="46"/>
  <c r="L23" i="46"/>
  <c r="M23" i="46"/>
  <c r="N23" i="46" s="1"/>
  <c r="O23" i="46" s="1"/>
  <c r="P23" i="46" s="1"/>
  <c r="Q23" i="46" s="1"/>
  <c r="I24" i="46"/>
  <c r="K24" i="46" s="1"/>
  <c r="J24" i="46"/>
  <c r="L24" i="46"/>
  <c r="M24" i="46"/>
  <c r="N24" i="46" s="1"/>
  <c r="O24" i="46" s="1"/>
  <c r="P24" i="46" s="1"/>
  <c r="Q24" i="46" s="1"/>
  <c r="I25" i="46"/>
  <c r="J25" i="46"/>
  <c r="K25" i="46" s="1"/>
  <c r="L25" i="46"/>
  <c r="M25" i="46" s="1"/>
  <c r="N25" i="46" s="1"/>
  <c r="O25" i="46" s="1"/>
  <c r="P25" i="46" s="1"/>
  <c r="Q25" i="46" s="1"/>
  <c r="I26" i="46"/>
  <c r="J26" i="46"/>
  <c r="K26" i="46"/>
  <c r="L26" i="46"/>
  <c r="M26" i="46" s="1"/>
  <c r="N26" i="46" s="1"/>
  <c r="O26" i="46" s="1"/>
  <c r="P26" i="46" s="1"/>
  <c r="Q26" i="46" s="1"/>
  <c r="I27" i="46"/>
  <c r="J27" i="46"/>
  <c r="L27" i="46"/>
  <c r="M27" i="46"/>
  <c r="N27" i="46" s="1"/>
  <c r="O27" i="46" s="1"/>
  <c r="P27" i="46" s="1"/>
  <c r="Q27" i="46" s="1"/>
  <c r="I28" i="46"/>
  <c r="J28" i="46"/>
  <c r="K28" i="46"/>
  <c r="L28" i="46"/>
  <c r="M28" i="46" s="1"/>
  <c r="N28" i="46" s="1"/>
  <c r="O28" i="46" s="1"/>
  <c r="P28" i="46" s="1"/>
  <c r="Q28" i="46" s="1"/>
  <c r="I29" i="46"/>
  <c r="K29" i="46" s="1"/>
  <c r="J29" i="46"/>
  <c r="L29" i="46"/>
  <c r="M29" i="46"/>
  <c r="N29" i="46"/>
  <c r="O29" i="46" s="1"/>
  <c r="P29" i="46" s="1"/>
  <c r="Q29" i="46" s="1"/>
  <c r="I30" i="46"/>
  <c r="K30" i="46" s="1"/>
  <c r="J30" i="46"/>
  <c r="L30" i="46"/>
  <c r="M30" i="46" s="1"/>
  <c r="N30" i="46" s="1"/>
  <c r="O30" i="46" s="1"/>
  <c r="P30" i="46" s="1"/>
  <c r="Q30" i="46" s="1"/>
  <c r="I31" i="46"/>
  <c r="K31" i="46" s="1"/>
  <c r="J31" i="46"/>
  <c r="L31" i="46"/>
  <c r="M31" i="46" s="1"/>
  <c r="N31" i="46" s="1"/>
  <c r="O31" i="46" s="1"/>
  <c r="P31" i="46" s="1"/>
  <c r="Q31" i="46" s="1"/>
  <c r="I32" i="46"/>
  <c r="J32" i="46"/>
  <c r="K32" i="46"/>
  <c r="L32" i="46"/>
  <c r="M32" i="46" s="1"/>
  <c r="N32" i="46" s="1"/>
  <c r="O32" i="46" s="1"/>
  <c r="P32" i="46" s="1"/>
  <c r="Q32" i="46" s="1"/>
  <c r="I33" i="46"/>
  <c r="K33" i="46" s="1"/>
  <c r="J33" i="46"/>
  <c r="L33" i="46"/>
  <c r="M33" i="46" s="1"/>
  <c r="N33" i="46" s="1"/>
  <c r="O33" i="46" s="1"/>
  <c r="P33" i="46" s="1"/>
  <c r="Q33" i="46" s="1"/>
  <c r="I34" i="46"/>
  <c r="J34" i="46"/>
  <c r="K34" i="46"/>
  <c r="L34" i="46"/>
  <c r="M34" i="46"/>
  <c r="N34" i="46" s="1"/>
  <c r="O34" i="46" s="1"/>
  <c r="P34" i="46" s="1"/>
  <c r="Q34" i="46" s="1"/>
  <c r="I35" i="46"/>
  <c r="K35" i="46" s="1"/>
  <c r="J35" i="46"/>
  <c r="L35" i="46"/>
  <c r="M35" i="46" s="1"/>
  <c r="N35" i="46" s="1"/>
  <c r="O35" i="46" s="1"/>
  <c r="P35" i="46" s="1"/>
  <c r="Q35" i="46" s="1"/>
  <c r="I36" i="46"/>
  <c r="J36" i="46"/>
  <c r="K36" i="46" s="1"/>
  <c r="L36" i="46"/>
  <c r="M36" i="46"/>
  <c r="N36" i="46" s="1"/>
  <c r="O36" i="46" s="1"/>
  <c r="P36" i="46" s="1"/>
  <c r="Q36" i="46" s="1"/>
  <c r="I37" i="46"/>
  <c r="J37" i="46"/>
  <c r="L37" i="46"/>
  <c r="M37" i="46" s="1"/>
  <c r="N37" i="46" s="1"/>
  <c r="O37" i="46" s="1"/>
  <c r="P37" i="46" s="1"/>
  <c r="Q37" i="46" s="1"/>
  <c r="I38" i="46"/>
  <c r="J38" i="46"/>
  <c r="K38" i="46" s="1"/>
  <c r="L38" i="46"/>
  <c r="M38" i="46" s="1"/>
  <c r="N38" i="46" s="1"/>
  <c r="O38" i="46" s="1"/>
  <c r="P38" i="46" s="1"/>
  <c r="Q38" i="46" s="1"/>
  <c r="I39" i="46"/>
  <c r="J39" i="46"/>
  <c r="L39" i="46"/>
  <c r="M39" i="46"/>
  <c r="N39" i="46" s="1"/>
  <c r="O39" i="46" s="1"/>
  <c r="P39" i="46" s="1"/>
  <c r="Q39" i="46" s="1"/>
  <c r="I40" i="46"/>
  <c r="J40" i="46"/>
  <c r="K40" i="46" s="1"/>
  <c r="L40" i="46"/>
  <c r="M40" i="46" s="1"/>
  <c r="N40" i="46" s="1"/>
  <c r="O40" i="46" s="1"/>
  <c r="P40" i="46" s="1"/>
  <c r="Q40" i="46" s="1"/>
  <c r="I41" i="46"/>
  <c r="K41" i="46" s="1"/>
  <c r="J41" i="46"/>
  <c r="L41" i="46"/>
  <c r="M41" i="46"/>
  <c r="N41" i="46"/>
  <c r="O41" i="46" s="1"/>
  <c r="P41" i="46" s="1"/>
  <c r="Q41" i="46" s="1"/>
  <c r="I42" i="46"/>
  <c r="K42" i="46" s="1"/>
  <c r="J42" i="46"/>
  <c r="L42" i="46"/>
  <c r="M42" i="46" s="1"/>
  <c r="N42" i="46" s="1"/>
  <c r="O42" i="46" s="1"/>
  <c r="P42" i="46" s="1"/>
  <c r="Q42" i="46" s="1"/>
  <c r="I43" i="46"/>
  <c r="K43" i="46" s="1"/>
  <c r="J43" i="46"/>
  <c r="L43" i="46"/>
  <c r="M43" i="46" s="1"/>
  <c r="N43" i="46" s="1"/>
  <c r="O43" i="46" s="1"/>
  <c r="P43" i="46" s="1"/>
  <c r="Q43" i="46" s="1"/>
  <c r="I44" i="46"/>
  <c r="J44" i="46"/>
  <c r="K44" i="46"/>
  <c r="L44" i="46"/>
  <c r="M44" i="46" s="1"/>
  <c r="N44" i="46" s="1"/>
  <c r="O44" i="46" s="1"/>
  <c r="P44" i="46" s="1"/>
  <c r="Q44" i="46" s="1"/>
  <c r="I45" i="46"/>
  <c r="K45" i="46" s="1"/>
  <c r="J45" i="46"/>
  <c r="L45" i="46"/>
  <c r="M45" i="46" s="1"/>
  <c r="N45" i="46" s="1"/>
  <c r="O45" i="46" s="1"/>
  <c r="P45" i="46" s="1"/>
  <c r="Q45" i="46" s="1"/>
  <c r="I46" i="46"/>
  <c r="J46" i="46"/>
  <c r="K46" i="46"/>
  <c r="L46" i="46"/>
  <c r="M46" i="46"/>
  <c r="N46" i="46" s="1"/>
  <c r="O46" i="46" s="1"/>
  <c r="P46" i="46" s="1"/>
  <c r="Q46" i="46" s="1"/>
  <c r="I47" i="46"/>
  <c r="K47" i="46" s="1"/>
  <c r="J47" i="46"/>
  <c r="L47" i="46"/>
  <c r="M47" i="46" s="1"/>
  <c r="N47" i="46" s="1"/>
  <c r="O47" i="46" s="1"/>
  <c r="P47" i="46" s="1"/>
  <c r="Q47" i="46" s="1"/>
  <c r="I48" i="46"/>
  <c r="J48" i="46"/>
  <c r="K48" i="46" s="1"/>
  <c r="L48" i="46"/>
  <c r="M48" i="46"/>
  <c r="N48" i="46" s="1"/>
  <c r="O48" i="46" s="1"/>
  <c r="P48" i="46" s="1"/>
  <c r="Q48" i="46" s="1"/>
  <c r="I49" i="46"/>
  <c r="J49" i="46"/>
  <c r="L49" i="46"/>
  <c r="M49" i="46" s="1"/>
  <c r="N49" i="46" s="1"/>
  <c r="O49" i="46" s="1"/>
  <c r="P49" i="46" s="1"/>
  <c r="Q49" i="46" s="1"/>
  <c r="L6" i="46"/>
  <c r="M6" i="46" s="1"/>
  <c r="N6" i="46" s="1"/>
  <c r="O6" i="46" s="1"/>
  <c r="P6" i="46" s="1"/>
  <c r="Q6" i="46" s="1"/>
  <c r="J6" i="46"/>
  <c r="I6" i="46"/>
  <c r="K6" i="46" s="1"/>
  <c r="L5" i="46"/>
  <c r="M5" i="46" s="1"/>
  <c r="N5" i="46" s="1"/>
  <c r="O5" i="46" s="1"/>
  <c r="P5" i="46" s="1"/>
  <c r="Q5" i="46" s="1"/>
  <c r="J5" i="46"/>
  <c r="I5" i="46"/>
  <c r="L4" i="46"/>
  <c r="M4" i="46" s="1"/>
  <c r="N4" i="46" s="1"/>
  <c r="O4" i="46" s="1"/>
  <c r="P4" i="46" s="1"/>
  <c r="Q4" i="46" s="1"/>
  <c r="J4" i="46"/>
  <c r="I4" i="46"/>
  <c r="K4" i="46" s="1"/>
  <c r="K37" i="46" l="1"/>
  <c r="K27" i="46"/>
  <c r="K49" i="46"/>
  <c r="K39" i="46"/>
  <c r="J26" i="47"/>
  <c r="J34" i="47"/>
  <c r="J42" i="47"/>
  <c r="J10" i="47"/>
  <c r="J11" i="47"/>
  <c r="J18" i="47"/>
  <c r="J41" i="47"/>
  <c r="K5" i="46"/>
  <c r="H53" i="28" l="1"/>
  <c r="H52" i="28"/>
  <c r="H51" i="28"/>
  <c r="H50" i="28"/>
  <c r="H49" i="28"/>
  <c r="H48" i="28"/>
  <c r="H47" i="28"/>
  <c r="H46" i="28"/>
  <c r="H45" i="28"/>
  <c r="H44" i="28"/>
  <c r="H43" i="28"/>
  <c r="H42" i="28"/>
  <c r="H41" i="28"/>
  <c r="H40" i="28"/>
  <c r="H39" i="28"/>
  <c r="H38" i="28"/>
  <c r="H37" i="28"/>
  <c r="H36" i="28"/>
  <c r="H35" i="28"/>
  <c r="H34" i="28"/>
  <c r="H33" i="28"/>
  <c r="H32" i="28"/>
  <c r="H31" i="28"/>
  <c r="H30" i="28"/>
  <c r="H29" i="28"/>
  <c r="H28" i="28"/>
  <c r="H27" i="28"/>
  <c r="H26" i="28"/>
  <c r="H25" i="28"/>
  <c r="H24" i="28"/>
  <c r="H23" i="28"/>
  <c r="H22" i="28"/>
  <c r="H21" i="28"/>
  <c r="H20" i="28"/>
  <c r="H19" i="28"/>
  <c r="H18" i="28"/>
  <c r="H17" i="28"/>
  <c r="H16" i="28"/>
  <c r="H15" i="28"/>
  <c r="H14" i="28"/>
  <c r="H13" i="28"/>
  <c r="H12" i="28"/>
  <c r="H11" i="28"/>
  <c r="H10" i="28"/>
  <c r="H9" i="28"/>
  <c r="H8" i="28"/>
  <c r="H7" i="28"/>
  <c r="H6" i="28"/>
  <c r="H5" i="28"/>
  <c r="H4" i="28"/>
  <c r="H60" i="28" s="1"/>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17" i="30"/>
  <c r="F16" i="30"/>
  <c r="F15" i="30"/>
  <c r="F14" i="30"/>
  <c r="F13" i="30"/>
  <c r="F12" i="30"/>
  <c r="F11" i="30"/>
  <c r="F10" i="30"/>
  <c r="F9" i="30"/>
  <c r="F8" i="30"/>
  <c r="F7" i="30"/>
  <c r="F6" i="30"/>
  <c r="F5" i="30"/>
  <c r="F56" i="30" s="1"/>
  <c r="F57" i="30" l="1"/>
  <c r="F58" i="30" s="1"/>
  <c r="H62" i="28"/>
  <c r="H61" i="28"/>
  <c r="H63" i="28" s="1"/>
</calcChain>
</file>

<file path=xl/sharedStrings.xml><?xml version="1.0" encoding="utf-8"?>
<sst xmlns="http://schemas.openxmlformats.org/spreadsheetml/2006/main" count="458" uniqueCount="212">
  <si>
    <t>ANEXO No. 2</t>
  </si>
  <si>
    <t>PRECIOS UNITARIOS DE REFERENCIA - RUTINAS DE MANTENIMIENTO PREVENTIVO</t>
  </si>
  <si>
    <t>PRECIOS ANTES DE I.V.A.</t>
  </si>
  <si>
    <t>ITEM</t>
  </si>
  <si>
    <t>Ubicación (Sedes DIAN)</t>
  </si>
  <si>
    <t>Descripción</t>
  </si>
  <si>
    <t>Cant. de Rutinas</t>
  </si>
  <si>
    <t>Precio de Referencia</t>
  </si>
  <si>
    <t>Precios Unitarios de Referencia  (Antes de I.VA.)</t>
  </si>
  <si>
    <t>ARAUCA. Carrera 20 Calle 31 Esquina</t>
  </si>
  <si>
    <t>50 KVA, MARCA PERKINS</t>
  </si>
  <si>
    <t>ARAUCA. Punto Fronterizo Puente José Antonio Paéz</t>
  </si>
  <si>
    <t>7.5 KVA MARCA HONDA</t>
  </si>
  <si>
    <t>ARMENIA. Carrera 14 N° 20a-22 Ed. BCH</t>
  </si>
  <si>
    <t>150 KVA, MARCA CUMMINS</t>
  </si>
  <si>
    <t>BARRANCABERMEJA. Calle 49 No. 9-09 Ed Luisa</t>
  </si>
  <si>
    <t xml:space="preserve">1O0 KVA  MARCA PERKINS, GENERADOR STAMFORD, </t>
  </si>
  <si>
    <t>BARRANQUILLA, Av Hamburgo Cra. 30</t>
  </si>
  <si>
    <t>175 KVA, MARCA DETROIT DIESEL.</t>
  </si>
  <si>
    <t>BARRANQUILLA. Av Hamburgo Cra. 30</t>
  </si>
  <si>
    <t>BOGOTA, NIVEL CENTRAL.  EDIFICIO SAN AGUSTIN, Carrera 8 No. 6-65</t>
  </si>
  <si>
    <t>376 KVA MARCA KOOLER, MOTOR DIESEL.</t>
  </si>
  <si>
    <t>BOGOTA-NIVEL CENTRAL. EDIFICIO SENDAS. Carrera 7 No 6C-54</t>
  </si>
  <si>
    <t>680 KVA MARCA PERKINS</t>
  </si>
  <si>
    <t>BOGOTA. NIVEL CENTRAL.CENTRO NAL DE ADMON DOCUMENTAL -C. 64G No. 90A-12</t>
  </si>
  <si>
    <t xml:space="preserve">100 KVA  MARCA PERKINS, GENERADOR STAMFORD, CONTROL ELECTRONICO Y CABINA INSONORIZADA, </t>
  </si>
  <si>
    <t>BOGOTA, SEDE POLFA AV. 68 No. 22-82</t>
  </si>
  <si>
    <t xml:space="preserve">141 KVA, MARCA DETROIT DIESEL. MODELO 10437305 Ser. </t>
  </si>
  <si>
    <t>BOGOTA. DIRECCION SECCIONAL DE GRANDES CONTRIBUYENTES,  Carrera 7 No. 34-65</t>
  </si>
  <si>
    <t>140 KVA PERKINS</t>
  </si>
  <si>
    <t>BOGOTA. DIRECCION SECCIONAL DE IMPUESTOS, EDIFICIO PLAZA 75 - Calle 75 No. 15-49/51</t>
  </si>
  <si>
    <t>MARCA DETROIT DIESEL, MODELO SERIES 71. CAP:250 KVA</t>
  </si>
  <si>
    <t>CALI. DIRECCION SECCIONAL DE IMPUESTOS. EDIFICIO BELALCAZAR, Calle 11 No. 3-72</t>
  </si>
  <si>
    <t>701 KVA, MARCA CATERPILLAR. MOTOR DIESEL, GENERADOR .</t>
  </si>
  <si>
    <t>CALI. CESA. AEROPUERTO ALFONSO BONILLA, ZONA DE CARGA</t>
  </si>
  <si>
    <t xml:space="preserve">25 KVA, MARCA SPECTRUM, MOTOR diesel JHON DERE, GENERADOR MARATON, PANEL DE CONTROL. </t>
  </si>
  <si>
    <t>CARTAGENA. DIRECCION SECCIONAL DE IMPUESTOS. Avda Calle 28 No. 25-76</t>
  </si>
  <si>
    <t>400 KVA MARCA PERKINS</t>
  </si>
  <si>
    <t>CUCUTA. DIRECCION SECCIONAL DE  IMPUESTOS. Ed Palacio Nacional. Calle 8A No. 3-50</t>
  </si>
  <si>
    <t>250 KVA, MARCA MODASA (EMSAMBLE PERUANO)</t>
  </si>
  <si>
    <t>FLORENCIA CRA 16 No. 13 - 20 y K11 No. 13-39/45</t>
  </si>
  <si>
    <t>80 KVA MARCA PERKINS, MOTOR PERKINS DIESEL, MOD. T4236, GENERADOR STANFORD.</t>
  </si>
  <si>
    <t>GIRARDOT. Calle 16 No. 10-51</t>
  </si>
  <si>
    <t>150 KVA  MARCA PERKINS, GENERADOR STAMFORD, CONTROL ELECTRONICO</t>
  </si>
  <si>
    <t xml:space="preserve">IBAGUE. Ed Nal. Carrera 3 No 9-01 </t>
  </si>
  <si>
    <t>75 KVA, FG WILSON, MOTOR MARCA PERKINS.</t>
  </si>
  <si>
    <t>IPIALES (Punto de frontera)</t>
  </si>
  <si>
    <t>IPIALES, Carrera 6 No. 15-23.</t>
  </si>
  <si>
    <t>50 KVA,PERKINS</t>
  </si>
  <si>
    <t>LETICIA. Carrera. 11 No. 8 - 25</t>
  </si>
  <si>
    <t>6O KVA, MARCA DEUTZ.</t>
  </si>
  <si>
    <t>MAICAO Base Jose Antonio Galán</t>
  </si>
  <si>
    <t>60 KVA MARCA HONDA</t>
  </si>
  <si>
    <t>MAICAO (Punto de frontera)</t>
  </si>
  <si>
    <t>MITU</t>
  </si>
  <si>
    <t>MONTERIA. CRA. 2 No. 33 - 40 Palacio Nal.</t>
  </si>
  <si>
    <t>500 KVA -MARCA POWER PLUS</t>
  </si>
  <si>
    <t>NEIVA. Ed Nal. Calle 7 No. 6-36</t>
  </si>
  <si>
    <t xml:space="preserve">150 KVA , MARCA DOSSAN </t>
  </si>
  <si>
    <t>PASTO. Calle 17 No. 24-35</t>
  </si>
  <si>
    <t>100 KVA, MARCA PERKINS</t>
  </si>
  <si>
    <t>PALMIRA. Carrera 28 No. 27-68</t>
  </si>
  <si>
    <t>150 KVA  MARCA PERKINS, GENERADOR STAMFORD, CONTROL ELECTRONICO.</t>
  </si>
  <si>
    <t>PARAGUACHÓN (Punto de frontera)</t>
  </si>
  <si>
    <t>7.5 KVA, PORTATIL,  MARCA HONDA</t>
  </si>
  <si>
    <t>POPAYAN. Calle 3 No. 3-31.</t>
  </si>
  <si>
    <t xml:space="preserve">100 KVA-MOTOR MARCA PERKINS MOD 1004TG-GENERADOR  MARCA GENPOWER MOD. GP75-SERIEGP75-2006-300/000020 </t>
  </si>
  <si>
    <t>PUERTO ASIS. Cra 21 No. 16 A - 150</t>
  </si>
  <si>
    <t>12 KVA, marca LISTER SOME, Modelo LA1814H, motor diesel marca LAMBORGHINI, generador marca LEROY SOMMER.</t>
  </si>
  <si>
    <t>PUERTO CARRREÑO, Calle 18 #4-05, Centro.</t>
  </si>
  <si>
    <t>35 KVA. MARCA, OLIMPIAN.</t>
  </si>
  <si>
    <t>PUERTO INIRIDA, Calle 20 # 7-34</t>
  </si>
  <si>
    <t>27 KVA, DISSEL, MARCA F.G. WILSON, MOD. P30E.</t>
  </si>
  <si>
    <t>QUIBDO Calle 24 No. 1-30</t>
  </si>
  <si>
    <t>75 KVA,  FG WILSON, MOTOR MARCA PERKINS.</t>
  </si>
  <si>
    <t>RIOHACHA. Ed. Nal. Calle 2 No. 6-48</t>
  </si>
  <si>
    <t>SAN JOSE DEL GUAVIARE. Ed Gobernación.</t>
  </si>
  <si>
    <t>21,5 KVA MARCA FG WILSON, Mod LD17.2 /w4, motor diesel marca LISTER mod. LPW4, generador marca STAMFORD.</t>
  </si>
  <si>
    <t>SAN ANDRES A.V NEWBALL MUELLE MARITIMO</t>
  </si>
  <si>
    <t>100 KVA, MARCA DEUTZ.</t>
  </si>
  <si>
    <t>SANTA MARTA CRA 5 No. 17-04</t>
  </si>
  <si>
    <t xml:space="preserve">100 KVA, MARCA CUMMINS </t>
  </si>
  <si>
    <t>SANTA MARTA PUESTO DE CONTROL TINAJAS</t>
  </si>
  <si>
    <t>13,8 KVA, marca LISTER SOME, Modelo LA1814H, motor diesel marca LISTER PETTER Modelo LPW3S08, generador marca LEROY SOMMER</t>
  </si>
  <si>
    <t>SANTA MARTA (Puerto)</t>
  </si>
  <si>
    <t xml:space="preserve">SINCELEJO. Calle 23 No. 18-77 </t>
  </si>
  <si>
    <t>150 KVA, MARCA PERKINS</t>
  </si>
  <si>
    <t>TULUA. Carreara 26 No. 27-82</t>
  </si>
  <si>
    <t>50 KVA. MARCA FGWILSON, MOD P44E1</t>
  </si>
  <si>
    <t>TUNJA. Calle 20 N0. 9-40</t>
  </si>
  <si>
    <t>150 KVA  MARCA POWER PLUSS, MOTOR LISTER, GENERADOR STAMFORD.</t>
  </si>
  <si>
    <t>TURBO AV. PLAYA , VIA AEROPUERTO</t>
  </si>
  <si>
    <t>70 KVA, MOTOR diesel, MARCA CATERPILLAR, MOD CD60.GENERADOR MOD, 96ª051825.</t>
  </si>
  <si>
    <t>VALLEDUPAR. Calle16 No. 9-30</t>
  </si>
  <si>
    <t>120 KVA  MARCA PERKINS, GENERADOR STAMFORD, CONTROL ELECTRONICO.</t>
  </si>
  <si>
    <t>VILLAVICENCIO CALLE 39 No. 32 - 26</t>
  </si>
  <si>
    <t>60 KVA MARCA JOHNY DEER, MOTOR JOHNY DEER DIESEL, 1800 RPM, GENERADOR LEROY SOMER..</t>
  </si>
  <si>
    <t>VILLAVICENCIO--PUNTO DE CONTACTO- SEDE BARSAL. Calle 32 No. 7-28</t>
  </si>
  <si>
    <t>F.G. WILSON DE 21,5 KVA</t>
  </si>
  <si>
    <t>YOPAL. CALLE 10 No. 18 - 11 Edificio. La Principal.</t>
  </si>
  <si>
    <t>KVA: 62.5, marca Lima Electric Co., Inc - Lima, Ohio, Modelo AD128709 SLM, Phase: 3- HZ: 60; Voltage: 220/127. F.L. AMPS: 164</t>
  </si>
  <si>
    <t>SUBTOTAL</t>
  </si>
  <si>
    <t>IVA</t>
  </si>
  <si>
    <t>TOTAL</t>
  </si>
  <si>
    <t>Notas</t>
  </si>
  <si>
    <t>El proponente deberá tener en cuenta al momento de presentar su propuesta, que todas las actividades se realizarán bajo su exclusiva responsabilidad y que en la realización deberá suministrar todos los recursos de personal, materiales, insumos, transporte, equipos, supervisión, capacitación y demás implementos tendientes a lograr la adecuada, suficiente y eficiente ejecución.</t>
  </si>
  <si>
    <t>DESCRIPCIÓN</t>
  </si>
  <si>
    <t>CANTIDAD</t>
  </si>
  <si>
    <t>UNIDAD DE MEDIDA</t>
  </si>
  <si>
    <t xml:space="preserve">COTIZACIÓN 1
</t>
  </si>
  <si>
    <t xml:space="preserve">COTIZACIÓN 2
</t>
  </si>
  <si>
    <t>DESVIACIÓN ESTANDAR</t>
  </si>
  <si>
    <t>PROMEDIO</t>
  </si>
  <si>
    <t>COEFICIENTE DE VARIACIÓN (%)</t>
  </si>
  <si>
    <t xml:space="preserve">MEDIA ARMÓNICA PRECIOS UNITARIOS DE REFERENCIA  </t>
  </si>
  <si>
    <t>UN</t>
  </si>
  <si>
    <t xml:space="preserve">Refrigerio para jornada 1 vacaciones recreativas: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</si>
  <si>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Refrigerio para jornada 2 vacaciones recreativas: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</si>
  <si>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Refrigerio para jornada 3 vacaciones recreativas: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</si>
  <si>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Refrigerio para jornada 4 vacaciones recreativas: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</si>
  <si>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Transporte para las jornadas de la 1 a la 4 (transporte por día por beneficiario)</t>
  </si>
  <si>
    <t xml:space="preserve">Refrigerio a.m. jornada 5 vacaciones recreativas: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</si>
  <si>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Refrigerio p.m. jornada 5 vacaciones recreativas: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</si>
  <si>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Refrigerio a.m. día de la familia: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</si>
  <si>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Refrigerio p.m. día de la familia: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</si>
  <si>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Encuentros deportivos fútbol masculino. Partidos: Alquiler de cancha por hora </t>
  </si>
  <si>
    <t>Encuentros deportivos fútbol masculino. Arbitraje de dupla X hora</t>
  </si>
  <si>
    <t xml:space="preserve">Encuentros deportivos de micofútbol masculino. Partidos: Alquiler de cancha por hora </t>
  </si>
  <si>
    <t>Encuentros deportivos de micofútbol masculino. Arbitraje de dupla X hora</t>
  </si>
  <si>
    <t xml:space="preserve">Encuentros deportivos de micofútbol femenino. Partidos: Alquiler de cancha por hora </t>
  </si>
  <si>
    <t>Encuentros deportivos de micofútbol femenino. Arbitraje de dupla X hora</t>
  </si>
  <si>
    <t xml:space="preserve">Encuentros deportivos de basketball masculino. Partidos: Alquiler de cancha por hora </t>
  </si>
  <si>
    <t>Encuentros deportivos de basketball masculino.  Arbitraje de terna X hora</t>
  </si>
  <si>
    <t xml:space="preserve">Encuentros deportivos de basketball femenino. Partidos: Alquiler de cancha por hora </t>
  </si>
  <si>
    <t>Encuentros deportivos de basketball femenino Arbitraje de terna X hora</t>
  </si>
  <si>
    <t xml:space="preserve">Encuentros deportivos de voleibol mixto.  Partidos: Alquiler de cancha por hora </t>
  </si>
  <si>
    <t>Encuentros deportivos de voleibol mixto.  Arbitraje de terna X hora</t>
  </si>
  <si>
    <t xml:space="preserve">Encuentros deportivos de bolos. Línea de bolos </t>
  </si>
  <si>
    <t>Encuentros deportivos de bolos. Arbitraje</t>
  </si>
  <si>
    <t xml:space="preserve">Encuentros deportivo tejo masculino. Partido </t>
  </si>
  <si>
    <t>Encuentros deportivo tejo masculino. Arbitraje</t>
  </si>
  <si>
    <t xml:space="preserve">Encuentros deportivo minitejo femenino. Partido </t>
  </si>
  <si>
    <t>Encuentros deportivo minitejo femenino. Arbitraje</t>
  </si>
  <si>
    <t xml:space="preserve">Atletismo. Alquiler de pista de atletismo </t>
  </si>
  <si>
    <t xml:space="preserve">Ciclismo. Alquiler de velodromo </t>
  </si>
  <si>
    <t>Ajedrez. Arbitraje</t>
  </si>
  <si>
    <t xml:space="preserve">Refrigerio a.m. juegos de integración local: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</si>
  <si>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 xml:space="preserve">Refrigerio p.m. juegos de integración local: De acuerdo con la actividad y el lugar a desarrollar la misma, los refrigerios deberán tener como mínimo una bebida de 350 ml y un sólido, los cuáles pueden ser: empanada, almojábana, croisant, pastel hojaldrado, papa rellena, aborrajado, marranita, pan de bono, sándwich, etc.  </t>
  </si>
  <si>
    <t>Hidratación: Para el caso de los juegos de integración local, se debe suministrar a cada participante una bebida rehidratante de 500 ml. Para las actividades que se desarrollen al aire libre se deberá suministrar agua de mínimo 300 ml, a cada participante. </t>
  </si>
  <si>
    <t xml:space="preserve">Transporte por persona desde la DIAN al sitio de cada encuentro </t>
  </si>
  <si>
    <t>Transporte jueces y árbitros</t>
  </si>
  <si>
    <t xml:space="preserve">Uniformes Con el bordado que identifique el equipo, el logo de la DIAN y la ciudad: Buenaventura. </t>
  </si>
  <si>
    <t>Método</t>
  </si>
  <si>
    <t>* Se calcula el precio de referencia con las cotizaciones, se obtiene la desviación estándar y el valor promedio y con base en la participación se aplica un método estadístico:</t>
  </si>
  <si>
    <t>Metodo Que Aplicará la Entidad</t>
  </si>
  <si>
    <t>* Método estadístico 1: si el valor de participación esta en 0 y 10% se aplica el promedio aritmético.</t>
  </si>
  <si>
    <t>* Método estadístico 2: si el valor de participación esta entre 10 y 20% se aplica media geométrica.</t>
  </si>
  <si>
    <t>* Método estadístico 3: si el valor de participación es superior al 20% se aplica media armónica.</t>
  </si>
  <si>
    <t>* En este caso dado se aplica el Método estadístico 2, ya que el porcentaje de participación en la mayoría de los ítems supera el 20%.</t>
  </si>
  <si>
    <t>COTIZACIÓN 1
SUTINOVA (2020)</t>
  </si>
  <si>
    <t>COTIZACIÓN 2
ERGO &amp; HEALTH
(2020)</t>
  </si>
  <si>
    <t>COTIZACIÓN 3
ARTECMA 
(2020)</t>
  </si>
  <si>
    <t>VALOR TOTAL INCLUIDO IVA</t>
  </si>
  <si>
    <t>ESTUDIO DEL MERCADO 
IMC-</t>
  </si>
  <si>
    <t>MEDIA ARITMÉTICA</t>
  </si>
  <si>
    <t>MEDIA GEOMÉTRICA</t>
  </si>
  <si>
    <t xml:space="preserve">Jornada 1 vacaciones recreativas, actividad creativa (creación de alguna manualidad) por beneficiario.  El valor ofertado debe incluir los costos asociados a: transporte, primeros auxilios, actividad inicial de motivación y actividade de cierre, costo del personal requerido (reccreadores, instructores, etc.), en los horarios y de acuerdo con los lineamientos establecidos en el anexo técnico. </t>
  </si>
  <si>
    <t xml:space="preserve">Jornada 2 vacaciones recreativas día cultural En la cual e ofrezca alguna actividad cultural como: Obras de teatro, musicales o títeres acordes a cada uno de los rangos de edad identificados.  El valor ofertado debe incluir los costos asociados a: transporte, primeros auxilios, actividad inicial de motivación y actividade de cierre, costo del personal requerido (reccreadores, instructores, etc.), en los horarios y de acuerdo con los lineamientos establecidos en el anexo técnico. </t>
  </si>
  <si>
    <t xml:space="preserve">Jornada 3 vacaciones recreativas: día deportivo Desarrollo de competencias o habilidades motrices en las que se cuente con la participación de adultos y niños. El valor ofertado debe incluir los costos asociados a: transporte, primeros auxilios, actividad inicial de motivación y actividade de cierre, costo del personal requerido (reccreadores, instructores, etc.), en los horarios y de acuerdo con los lineamientos establecidos en el anexo técnico. </t>
  </si>
  <si>
    <t xml:space="preserve">Jornada 4 vacaciones recreativas: En la que se presenta los asistentes alguna película de cartelera acorde a cada uno de los rangos de edad identificados. El valor ofertado debe incluir los costos asociados a: transporte, primeros auxilios, actividad inicial de motivación y actividade de cierre, costo del personal requerido (reccreadores, instructores, etc.), en los horarios y de acuerdo con los lineamientos establecidos en el anexo técnico. </t>
  </si>
  <si>
    <t>Jornada 5 vacaciones recreativas: Zoológico de Cali. 
Jornada recreativa, para todas las edades El valor ofertado debe incluir los costos asociados a: transporte, primeros auxilios, actividad inicial de motivación y actividade de cierre, costo del personal requerido (reccreadores, instructores, etc.), en los horarios y de acuerdo con los lineamientos establecidos en el anexo técnico. Se debe contemplar la cantidad de beneficiarios identificados en el anexo técnico</t>
  </si>
  <si>
    <t xml:space="preserve">Almuerzo jornada 5 vacaciones recreativas.  a) Almuerzo Adultos: Se plantea que esté compuesto por plato principal con proteína de mínimo 140 gramos, carbohidratos, verduras, bebida de mínimo 250 ml y postre. b) Almuerzo niños: Algunas ideas serían hamburguesa de pollo o carne de mínimo 125 gramos, acompañada de papas a la francesa y bebida de 350 ml; perro caliente con salchicha tipo americana, acompañado de papas a la francesa y bebida de 350 ml; pollo asado acompañados de arroz, papa a la francesa o salada y bebida de 350 ml.  </t>
  </si>
  <si>
    <t xml:space="preserve">Actividad día de la familia en centro recreativo o vacacional, Ofrecer diferentes espacio u estaciones en las cuales se desarrollen diferentes actividades, por ejemplo: juegos de destreza (tiro al blanco, encholocar, juegos de equilibrio), juegos deportivos (bolos, futbolito, ping pong), actividades de integración (búsqueda del tesoro, cuentos vivientes), un evento cultural centra. El proveedor deberá contar con el equipo de recreadores y promotores para cada una de las actividades y realzar concursos que incentiven la participación.  </t>
  </si>
  <si>
    <t xml:space="preserve">Almuerzo día de la familia. a) Almuerzo Adultos: Se plantea que esté compuesto por plato principal con proteína de mínimo 140 gramos, carbohidratos, verduras, bebida de mínimo 250 ml y postre. b) Almuerzo niños: Algunas ideas serían hamburguesa de pollo o carne de mínimo 125 gramos, acompañada de papas a la francesa y bebida de 350 ml; perro caliente con salchicha tipo americana, acompañado de papas a la francesa y bebida de 350 ml; pollo asado acompañados de arroz, papa a la francesa o salada y bebida de 350 ml.  </t>
  </si>
  <si>
    <t xml:space="preserve">Almuerzo juegos de integración local.  a) Almuerzo Adultos: Se plantea que esté compuesto por plato principal con proteína de mínimo 140 gramos, carbohidratos, verduras, bebida de mínimo 250 ml y postre. </t>
  </si>
  <si>
    <t>Método estadístico 3 media armónica</t>
  </si>
  <si>
    <t>LISTADO DE VISITAS DE MANTENIMIENTO A PLANTAS ELÉCTRICAS DIAN 2016</t>
  </si>
  <si>
    <t>DIRECCIONES SECCIONALES</t>
  </si>
  <si>
    <t>CLASE PLANTA</t>
  </si>
  <si>
    <t xml:space="preserve">VISITA </t>
  </si>
  <si>
    <t xml:space="preserve">FECHA </t>
  </si>
  <si>
    <t>VALOR UNITARIO</t>
  </si>
  <si>
    <t>VALOR TOTAL</t>
  </si>
  <si>
    <t xml:space="preserve">A.I.U.  </t>
  </si>
  <si>
    <t>IVA sobre la U (16%)</t>
  </si>
  <si>
    <t>VALOR TOTAL MANTENIMIENTO PREVENTIVO</t>
  </si>
  <si>
    <r>
      <rPr>
        <b/>
        <sz val="10"/>
        <color rgb="FF000000"/>
        <rFont val="Arial"/>
        <family val="2"/>
      </rPr>
      <t>Evento 1: Día de la Niñez.</t>
    </r>
    <r>
      <rPr>
        <sz val="10"/>
        <color rgb="FF000000"/>
        <rFont val="Arial"/>
        <family val="2"/>
      </rPr>
      <t xml:space="preserve"> Alquiler de centro recreativo que incluya, salón de eventos, sillas y mesas para niños y acompañantes, y piscina para niños (Que cuente con salvavidas), esta piscina debe cumplir con las características, normas de seguridad y demás exigencias establecidas por la ley, el establecimiento debe contar con plan de emergencias que incluya servicios de primeros auxilios, que permita contar con la atención de urgencias y emergencias, ante cualquier eventualidad de salud y seguridad de los asistentes a las actividades. El lugar para el desarrollo de esta actividad deberá ser previamente visitado y aprobado por el supervisor.</t>
    </r>
  </si>
  <si>
    <r>
      <rPr>
        <b/>
        <sz val="10"/>
        <color rgb="FF000000"/>
        <rFont val="Arial"/>
        <family val="2"/>
      </rPr>
      <t xml:space="preserve">Evento 1: Día de la Niñez. </t>
    </r>
    <r>
      <rPr>
        <sz val="10"/>
        <color rgb="FF000000"/>
        <rFont val="Arial"/>
        <family val="2"/>
      </rPr>
      <t>Suministro de hidratación a través de un punto de hidratación con bebida saborizada durante todo el evento.</t>
    </r>
  </si>
  <si>
    <r>
      <rPr>
        <b/>
        <sz val="10"/>
        <color rgb="FF000000"/>
        <rFont val="Arial"/>
        <family val="2"/>
      </rPr>
      <t xml:space="preserve">Evento 1: Día de la Niñez. </t>
    </r>
    <r>
      <rPr>
        <sz val="10"/>
        <color rgb="FF000000"/>
        <rFont val="Arial"/>
        <family val="2"/>
      </rPr>
      <t>Suministro de obsequio y/o juguetes didácticos a cada uno de los niños asistentes, según edad y género, debidamente empacado y marcado con su respectivo nombre.</t>
    </r>
  </si>
  <si>
    <r>
      <rPr>
        <b/>
        <sz val="10"/>
        <color rgb="FF000000"/>
        <rFont val="Arial"/>
        <family val="2"/>
      </rPr>
      <t xml:space="preserve">Evento 1: Día de la Niñez. </t>
    </r>
    <r>
      <rPr>
        <sz val="10"/>
        <color rgb="FF000000"/>
        <rFont val="Arial"/>
        <family val="2"/>
      </rPr>
      <t>Suministro complemento nutricional compuesto por: 1 ensalada de frutas de 12 onzas que incluya fruta picada, queso rallado, crema de leche y 50 gr de helado, 1 Hot Dog, 1 Jugo en empaque Tetrapak. Todo debidamente empacado utilizando normas de salubridad.</t>
    </r>
  </si>
  <si>
    <r>
      <rPr>
        <b/>
        <sz val="10"/>
        <color rgb="FF000000"/>
        <rFont val="Arial"/>
        <family val="2"/>
      </rPr>
      <t>Evento 1: Día de la Niñez</t>
    </r>
    <r>
      <rPr>
        <sz val="10"/>
        <color rgb="FF000000"/>
        <rFont val="Arial"/>
        <family val="2"/>
      </rPr>
      <t>. Tarde recreativa que incluya decoración del lugar, decoración para punto fotos, con personajes infantiles, sonido (Dos monitores de 600rms de potencia, uno externo y uno para monitoreo, con amplificación interna, dos bajos dobles de 18 pulgadas con sistema activo con amplificación interna, 3 piañas con micrófono), servicio de 10 recreacionistas para que realicen actividades de recreación dirigida, globoflexia, 3 personajes animados temáticos, show de payasos, inflable, saltarín, gimnasio para niños, con ejercicios de estimulación y desarrollo de la motricidad gruesa, figuras en origami, pintura, manualidades, entre otras.</t>
    </r>
  </si>
  <si>
    <r>
      <rPr>
        <b/>
        <sz val="10"/>
        <color rgb="FF000000"/>
        <rFont val="Arial"/>
        <family val="2"/>
      </rPr>
      <t xml:space="preserve">Evento 2: Día de la Madre en Familia. </t>
    </r>
    <r>
      <rPr>
        <sz val="10"/>
        <color rgb="FF000000"/>
        <rFont val="Arial"/>
        <family val="2"/>
      </rPr>
      <t>Suministro de hidratación a través de un punto de hidratación con bebida saborizada durante todo el evento.</t>
    </r>
  </si>
  <si>
    <r>
      <rPr>
        <b/>
        <sz val="10"/>
        <color rgb="FF000000"/>
        <rFont val="Arial"/>
        <family val="2"/>
      </rPr>
      <t xml:space="preserve">Evento 2: Día de la Madre en Familia. </t>
    </r>
    <r>
      <rPr>
        <sz val="10"/>
        <color rgb="FF000000"/>
        <rFont val="Arial"/>
        <family val="2"/>
      </rPr>
      <t>Suministro de una estación de café, café con leche, aromática y té durante el desarrollo del evento.</t>
    </r>
  </si>
  <si>
    <r>
      <rPr>
        <b/>
        <sz val="10"/>
        <color rgb="FF000000"/>
        <rFont val="Arial"/>
        <family val="2"/>
      </rPr>
      <t>Evento 2: Día de la Madre en Familia</t>
    </r>
    <r>
      <rPr>
        <sz val="10"/>
        <color rgb="FF000000"/>
        <rFont val="Arial"/>
        <family val="2"/>
      </rPr>
      <t>. Alquiler de centro recreativo que incluya, salón de eventos, sillas y mesas, decoración, sonido  (Dos monitores de 600rms de potencia, uno externo y uno para monitoreo, con amplificación interna, dos bajos dobles de 18 pulgadas con sistema activo con amplificación interna, 3 piñas con micrófono) piscina para niños, piscina para adultos (deben contar con 2 salvavidas), estas piscinas deben cumplir con las características, normas de seguridad y demás exigencias establecidas por la ley, instalación física para practicar algún deporte.</t>
    </r>
  </si>
  <si>
    <r>
      <rPr>
        <b/>
        <sz val="10"/>
        <color rgb="FF000000"/>
        <rFont val="Arial"/>
        <family val="2"/>
      </rPr>
      <t>Evento 2: Día de la Madre en Familia</t>
    </r>
    <r>
      <rPr>
        <sz val="10"/>
        <color rgb="FF000000"/>
        <rFont val="Arial"/>
        <family val="2"/>
      </rPr>
      <t>. Actividades de la familia que incluya encostalados, Pruebas de equilibrio, Pruebas de destreza, futbol, voleibol, Carreras   y dos atracciones o dispositivos de entretenimiento, el establecimiento debe contar con plan de emergencias que incluya servicios de primeros auxilios, que permita contar con la atención de urgencias y emergencias, ante cualquier eventualidad de salud y seguridad de los asistentes a las actividades. El lugar para el desarrollo de esta actividad deberá ser previamente visitado y aprobado por el supervisor.</t>
    </r>
  </si>
  <si>
    <r>
      <rPr>
        <b/>
        <sz val="10"/>
        <color rgb="FF000000"/>
        <rFont val="Arial"/>
        <family val="2"/>
      </rPr>
      <t>Evento 2: Día de la Madre en Familia.</t>
    </r>
    <r>
      <rPr>
        <sz val="10"/>
        <color rgb="FF000000"/>
        <rFont val="Arial"/>
        <family val="2"/>
      </rPr>
      <t xml:space="preserve"> Suministro  de servicio de alimentación que incluya lo siguiente: - Refrigerios en horas de la mañana: jugo natural, creps de pollo y papas a la francesa. </t>
    </r>
  </si>
  <si>
    <r>
      <rPr>
        <b/>
        <sz val="10"/>
        <color rgb="FF000000"/>
        <rFont val="Arial"/>
        <family val="2"/>
      </rPr>
      <t>Evento 2: Día de la Madre en Familia.</t>
    </r>
    <r>
      <rPr>
        <sz val="10"/>
        <color rgb="FF000000"/>
        <rFont val="Arial"/>
        <family val="2"/>
      </rPr>
      <t xml:space="preserve"> Suministro de Refrigerios en horas de la tarde: Hamburguesa de patacón con carne de res molida 200 gr en crudo, queso, vegetales frescos, papa a la francesa y bebida carbonatada por persona.</t>
    </r>
  </si>
  <si>
    <r>
      <rPr>
        <b/>
        <sz val="10"/>
        <color rgb="FF000000"/>
        <rFont val="Arial"/>
        <family val="2"/>
      </rPr>
      <t>Evento 2: Día de la Madre en Familia.</t>
    </r>
    <r>
      <rPr>
        <sz val="10"/>
        <color rgb="FF000000"/>
        <rFont val="Arial"/>
        <family val="2"/>
      </rPr>
      <t xml:space="preserve"> Suministro de Almuerzos tipo parrilla para adultos: Este debe incluir proteína (150 gr de carne, 150 gr de pollo, 150 gr de cerdo, 80 gr de chorizo, peso en crudo), guacamole, papa criolla frita, maduro asado con queso, jugo y postre, por persona.</t>
    </r>
  </si>
  <si>
    <r>
      <rPr>
        <b/>
        <sz val="10"/>
        <color rgb="FF000000"/>
        <rFont val="Arial"/>
        <family val="2"/>
      </rPr>
      <t>Evento 2: Día de la Madre en Familia.</t>
    </r>
    <r>
      <rPr>
        <sz val="10"/>
        <color rgb="FF000000"/>
        <rFont val="Arial"/>
        <family val="2"/>
      </rPr>
      <t xml:space="preserve"> Suministro de Almuerzos tipo parrilla para niños: este debe incluir proteína (100 gr de carne, 100 gr de pollo, 100 gr de cerdo, 80 gr de chorizo, peso en crudo), guacamole, papa criolla frita, maduro asado con queso, jugo y postre, por persona.</t>
    </r>
  </si>
  <si>
    <r>
      <rPr>
        <b/>
        <sz val="10"/>
        <color rgb="FF000000"/>
        <rFont val="Arial"/>
        <family val="2"/>
      </rPr>
      <t>Evento 2: Día de la Madre en Familia.</t>
    </r>
    <r>
      <rPr>
        <sz val="10"/>
        <color rgb="FF000000"/>
        <rFont val="Arial"/>
        <family val="2"/>
      </rPr>
      <t xml:space="preserve"> En el transcurso de la jornada se deben desarrollar las siguientes actividades:
-Actividades recreativas dirigidas a los funcionarios y sus familias. 
-Bingo bailable que incluya la entrega de 5 premios. 
-Se debe garantizar el personal requerido, animador del evento, 10 recreacionistas y elementos necesarios para el desarrollo de la actividad.</t>
    </r>
  </si>
  <si>
    <r>
      <rPr>
        <b/>
        <sz val="10"/>
        <color rgb="FF000000"/>
        <rFont val="Arial"/>
        <family val="2"/>
      </rPr>
      <t>Evento 2: Día de la Madre en Familia.</t>
    </r>
    <r>
      <rPr>
        <sz val="10"/>
        <color rgb="FF000000"/>
        <rFont val="Arial"/>
        <family val="2"/>
      </rPr>
      <t xml:space="preserve"> Espectáculo musical por 1 hora.</t>
    </r>
  </si>
  <si>
    <r>
      <rPr>
        <b/>
        <sz val="10"/>
        <color rgb="FF000000"/>
        <rFont val="Arial"/>
        <family val="2"/>
      </rPr>
      <t>Evento 2: Día de la Madre en Familia.</t>
    </r>
    <r>
      <rPr>
        <sz val="10"/>
        <color rgb="FF000000"/>
        <rFont val="Arial"/>
        <family val="2"/>
      </rPr>
      <t xml:space="preserve"> Actividad de pintura de alcancías en cerámica. Incluye instructor, elementos y materiales necesarios para el desarrollo de la actividad.</t>
    </r>
  </si>
  <si>
    <r>
      <rPr>
        <b/>
        <sz val="10"/>
        <color rgb="FF000000"/>
        <rFont val="Arial"/>
        <family val="2"/>
      </rPr>
      <t xml:space="preserve">Evento 2: Día de la Madre en Familia. </t>
    </r>
    <r>
      <rPr>
        <sz val="10"/>
        <color rgb="FF000000"/>
        <rFont val="Arial"/>
        <family val="2"/>
      </rPr>
      <t>Suministro de estación de algodonera y crispetera con su respetivo operario durante todo el evento.</t>
    </r>
  </si>
  <si>
    <r>
      <rPr>
        <b/>
        <sz val="10"/>
        <color rgb="FF000000"/>
        <rFont val="Arial"/>
        <family val="2"/>
      </rPr>
      <t xml:space="preserve">Evento 3: Día de Amor y Amistad. </t>
    </r>
    <r>
      <rPr>
        <sz val="10"/>
        <color rgb="FF000000"/>
        <rFont val="Arial"/>
        <family val="2"/>
      </rPr>
      <t>Garantizar decoración de espacio designado que incluya stand de fotos con la temática compañerismo y tolerancia, silletería, animador, tarima y sonido (Dos monitores de 600rms de potencia, uno externo y uno para monitoreo, con amplificación interna, dos bajos dobles de 18 pulgadas con sistema activo con amplificación interna, 4 piñas con micrófono).</t>
    </r>
  </si>
  <si>
    <r>
      <rPr>
        <b/>
        <sz val="10"/>
        <color rgb="FF000000"/>
        <rFont val="Arial"/>
        <family val="2"/>
      </rPr>
      <t>Evento 3: Día de Amor y Amistad.</t>
    </r>
    <r>
      <rPr>
        <sz val="10"/>
        <color rgb="FF000000"/>
        <rFont val="Arial"/>
        <family val="2"/>
      </rPr>
      <t xml:space="preserve"> Entregar y servir debidamente empacado plato de comida (2 proteínas, 1 opción de carbohidrato (arroz o papa), ensalada), con bebida (agua o jugo)</t>
    </r>
  </si>
  <si>
    <r>
      <rPr>
        <b/>
        <sz val="10"/>
        <color rgb="FF000000"/>
        <rFont val="Arial"/>
        <family val="2"/>
      </rPr>
      <t xml:space="preserve">Evento 1: Día de la Niñez. </t>
    </r>
    <r>
      <rPr>
        <sz val="10"/>
        <color rgb="FF000000"/>
        <rFont val="Arial"/>
        <family val="2"/>
      </rPr>
      <t>Suministro de estación de algodonera y crispetera con su respetivo operario durante todo el evento.</t>
    </r>
  </si>
  <si>
    <t>COTIZACIÓN 2</t>
  </si>
  <si>
    <t>COTIZACIÓN 1</t>
  </si>
  <si>
    <t>* En este caso dado se aplica el Método estadístico 3, ya que el porcentaje de participación en la mayoría de los ítems supera el 20%.</t>
  </si>
  <si>
    <t>ANEXO No. 2 PRECIOS DE REFERENCIA
IMC-
Objeto: Servicio de apoyo logístico, infraestructura, organización y desarrollo de actividades establecidas en el programa de bienestar 2025 de la UAE-DIAN para la Dirección Seccional de Impuestos y Aduanas de Buenaventura.</t>
  </si>
  <si>
    <t>VALOR TOTAL  IVA INCLUIDO 2025</t>
  </si>
  <si>
    <t>PRECIO DE REFERENCIA 
SAMC-35-001-2025
Objeto: Servicio de apoyo logístico, infraestructura, organización y desarrollo de actividades establecidas en el programa de bienestar 2025 de la UAE-DIAN para la Dirección Seccional de Impuestos y Aduanas de Buenaventura.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</si>
</sst>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164" formatCode="_-&quot;$&quot;* #,##0_-;\-&quot;$&quot;* #,##0_-;_-&quot;$&quot;* &quot;-&quot;_-;_-@_-"/>
    <numFmt numFmtId="165" formatCode="_-&quot;$&quot;* #,##0.00_-;\-&quot;$&quot;* #,##0.00_-;_-&quot;$&quot;* &quot;-&quot;??_-;_-@_-"/>
    <numFmt numFmtId="166" formatCode="&quot;$&quot;\ #,##0_);\(&quot;$&quot;\ #,##0\)"/>
    <numFmt numFmtId="167" formatCode="&quot;$&quot;\ #,##0_);[Red]\(&quot;$&quot;\ #,##0\)"/>
    <numFmt numFmtId="168" formatCode="&quot;$&quot;\ #,##0.00_);\(&quot;$&quot;\ #,##0.00\)"/>
    <numFmt numFmtId="169" formatCode="_(&quot;$&quot;\ * #,##0.00_);_(&quot;$&quot;\ * \(#,##0.00\);_(&quot;$&quot;\ * &quot;-&quot;??_);_(@_)"/>
    <numFmt numFmtId="170" formatCode="_ &quot;$&quot;\ * #,##0.00_ ;_ &quot;$&quot;\ * \-#,##0.00_ ;_ &quot;$&quot;\ * &quot;-&quot;??_ ;_ @_ "/>
    <numFmt numFmtId="171" formatCode="_ * #,##0.00_ ;_ * \-#,##0.00_ ;_ * &quot;-&quot;??_ ;_ @_ "/>
    <numFmt numFmtId="172" formatCode="_ &quot;$&quot;\ * #,##0_ ;_ &quot;$&quot;\ * \-#,##0_ ;_ &quot;$&quot;\ * &quot;-&quot;??_ ;_ @_ "/>
    <numFmt numFmtId="173" formatCode="_(&quot;$&quot;\ * #,##0_);_(&quot;$&quot;\ * \(#,##0\);_(&quot;$&quot;\ * &quot;-&quot;??_);_(@_)"/>
  </numFmts>
  <fonts count="41" x14ac:knownFonts="1">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2"/>
      <name val="Arial"/>
      <family val="2"/>
    </font>
    <font>
      <b/>
      <sz val="10"/>
      <name val="Arial"/>
      <family val="2"/>
    </font>
    <font>
      <b/>
      <sz val="9"/>
      <color indexed="63"/>
      <name val="Calibri"/>
      <family val="2"/>
      <scheme val="minor"/>
    </font>
    <font>
      <sz val="9"/>
      <name val="Calibri"/>
      <family val="2"/>
      <scheme val="minor"/>
    </font>
    <font>
      <sz val="10"/>
      <name val="Calibri"/>
      <family val="2"/>
      <scheme val="minor"/>
    </font>
    <font>
      <sz val="10"/>
      <name val="Arial"/>
      <family val="2"/>
    </font>
    <font>
      <sz val="10"/>
      <name val="Arial Narrow"/>
      <family val="2"/>
    </font>
    <font>
      <sz val="10"/>
      <color theme="1"/>
      <name val="Arial Narrow"/>
      <family val="2"/>
    </font>
    <font>
      <b/>
      <sz val="10"/>
      <name val="Arial Narrow"/>
      <family val="2"/>
    </font>
    <font>
      <b/>
      <sz val="10"/>
      <color indexed="63"/>
      <name val="Arial Narrow"/>
      <family val="2"/>
    </font>
    <font>
      <b/>
      <sz val="10"/>
      <color theme="1"/>
      <name val="Arial Narrow"/>
      <family val="2"/>
    </font>
    <font>
      <b/>
      <sz val="11"/>
      <name val="Arial"/>
      <family val="2"/>
    </font>
    <font>
      <sz val="10"/>
      <name val="Arial"/>
      <family val="2"/>
    </font>
    <font>
      <sz val="12"/>
      <name val="Arial"/>
      <family val="2"/>
    </font>
    <font>
      <sz val="12"/>
      <color rgb="FF000000"/>
      <name val="Arial"/>
      <family val="2"/>
    </font>
    <font>
      <b/>
      <sz val="9"/>
      <color rgb="FF000000"/>
      <name val="Arial"/>
      <family val="2"/>
    </font>
    <font>
      <sz val="9"/>
      <name val="Arial"/>
      <family val="2"/>
    </font>
    <font>
      <b/>
      <sz val="12"/>
      <color rgb="FF000000"/>
      <name val="Arial"/>
      <family val="2"/>
    </font>
    <font>
      <b/>
      <sz val="10"/>
      <color rgb="FF000000"/>
      <name val="Arial"/>
      <family val="2"/>
    </font>
    <font>
      <sz val="10"/>
      <color rgb="FF000000"/>
      <name val="Arial"/>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3" tint="0.79998168889431442"/>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indexed="9"/>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theme="3" tint="0.59999389629810485"/>
        <bgColor indexed="64"/>
      </patternFill>
    </fill>
  </fills>
  <borders count="6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s>
  <cellStyleXfs count="57">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71" fontId="3" fillId="0" borderId="0" applyFont="0" applyFill="0" applyBorder="0" applyAlignment="0" applyProtection="0"/>
    <xf numFmtId="170" fontId="3" fillId="0" borderId="0" applyFont="0" applyFill="0" applyBorder="0" applyAlignment="0" applyProtection="0"/>
    <xf numFmtId="0" fontId="13" fillId="22" borderId="0" applyNumberFormat="0" applyBorder="0" applyAlignment="0" applyProtection="0"/>
    <xf numFmtId="0" fontId="3"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10" fillId="0" borderId="8" applyNumberFormat="0" applyFill="0" applyAlignment="0" applyProtection="0"/>
    <xf numFmtId="0" fontId="20" fillId="0" borderId="9" applyNumberFormat="0" applyFill="0" applyAlignment="0" applyProtection="0"/>
    <xf numFmtId="0" fontId="26" fillId="0" borderId="0" applyFont="0" applyFill="0" applyBorder="0" applyAlignment="0" applyProtection="0"/>
    <xf numFmtId="0" fontId="3" fillId="0" borderId="0"/>
    <xf numFmtId="0" fontId="26" fillId="23" borderId="4" applyNumberFormat="0" applyFont="0" applyAlignment="0" applyProtection="0"/>
    <xf numFmtId="0" fontId="26" fillId="23" borderId="4" applyNumberFormat="0" applyFont="0" applyAlignment="0" applyProtection="0"/>
    <xf numFmtId="171" fontId="3" fillId="0" borderId="0" applyFont="0" applyFill="0" applyBorder="0" applyAlignment="0" applyProtection="0"/>
    <xf numFmtId="170" fontId="3" fillId="0" borderId="0" applyFont="0" applyFill="0" applyBorder="0" applyAlignment="0" applyProtection="0"/>
    <xf numFmtId="0" fontId="3" fillId="0" borderId="0"/>
    <xf numFmtId="0" fontId="3" fillId="0" borderId="0"/>
    <xf numFmtId="169" fontId="2" fillId="0" borderId="0" applyFont="0" applyFill="0" applyBorder="0" applyAlignment="0" applyProtection="0"/>
    <xf numFmtId="0" fontId="1" fillId="0" borderId="0"/>
    <xf numFmtId="169" fontId="1" fillId="0" borderId="0" applyFont="0" applyFill="0" applyBorder="0" applyAlignment="0" applyProtection="0"/>
    <xf numFmtId="9" fontId="1" fillId="0" borderId="0" applyFont="0" applyFill="0" applyBorder="0" applyAlignment="0" applyProtection="0"/>
    <xf numFmtId="164" fontId="33" fillId="0" borderId="0" applyFont="0" applyFill="0" applyBorder="0" applyAlignment="0" applyProtection="0"/>
  </cellStyleXfs>
  <cellXfs count="197">
    <xf numFmtId="0" fontId="0" fillId="0" borderId="0" xfId="0"/>
    <xf numFmtId="0" fontId="0" fillId="0" borderId="0" xfId="0" applyAlignment="1">
      <alignment horizontal="center"/>
    </xf>
    <xf numFmtId="0" fontId="23" fillId="24" borderId="14" xfId="0" applyFont="1" applyFill="1" applyBorder="1" applyAlignment="1">
      <alignment horizontal="center" vertical="center" wrapText="1"/>
    </xf>
    <xf numFmtId="0" fontId="24" fillId="0" borderId="19" xfId="0" applyFont="1" applyBorder="1" applyAlignment="1">
      <alignment horizontal="center" vertical="center" wrapText="1"/>
    </xf>
    <xf numFmtId="0" fontId="24" fillId="0" borderId="20" xfId="0" applyFont="1" applyBorder="1" applyAlignment="1">
      <alignment vertical="center" wrapText="1"/>
    </xf>
    <xf numFmtId="0" fontId="25" fillId="0" borderId="12" xfId="32" applyNumberFormat="1" applyFont="1" applyFill="1" applyBorder="1" applyAlignment="1">
      <alignment horizontal="center" vertical="center" wrapText="1"/>
    </xf>
    <xf numFmtId="0" fontId="25" fillId="0" borderId="20" xfId="32" applyNumberFormat="1" applyFont="1" applyFill="1" applyBorder="1" applyAlignment="1">
      <alignment horizontal="center" vertical="center" wrapText="1"/>
    </xf>
    <xf numFmtId="14" fontId="25" fillId="0" borderId="10" xfId="0" applyNumberFormat="1" applyFont="1" applyBorder="1" applyAlignment="1">
      <alignment horizontal="center" vertical="center"/>
    </xf>
    <xf numFmtId="14" fontId="25" fillId="0" borderId="20" xfId="0" applyNumberFormat="1" applyFont="1" applyBorder="1" applyAlignment="1">
      <alignment horizontal="center" vertical="center"/>
    </xf>
    <xf numFmtId="14" fontId="25" fillId="0" borderId="12" xfId="0" applyNumberFormat="1" applyFont="1" applyBorder="1" applyAlignment="1">
      <alignment horizontal="center" vertical="center"/>
    </xf>
    <xf numFmtId="172" fontId="25" fillId="0" borderId="18" xfId="33" applyNumberFormat="1" applyFont="1" applyFill="1" applyBorder="1" applyAlignment="1">
      <alignment horizontal="right" vertical="center"/>
    </xf>
    <xf numFmtId="0" fontId="24" fillId="0" borderId="10" xfId="0" applyFont="1" applyBorder="1" applyAlignment="1">
      <alignment vertical="center" wrapText="1"/>
    </xf>
    <xf numFmtId="0" fontId="24" fillId="0" borderId="11" xfId="0" applyFont="1" applyBorder="1" applyAlignment="1">
      <alignment horizontal="center" vertical="center" wrapText="1"/>
    </xf>
    <xf numFmtId="0" fontId="3" fillId="0" borderId="0" xfId="0" applyFont="1"/>
    <xf numFmtId="172" fontId="0" fillId="0" borderId="0" xfId="0" applyNumberFormat="1"/>
    <xf numFmtId="0" fontId="23" fillId="24" borderId="21" xfId="0" applyFont="1" applyFill="1" applyBorder="1" applyAlignment="1">
      <alignment horizontal="center" vertical="center" wrapText="1"/>
    </xf>
    <xf numFmtId="0" fontId="23" fillId="24" borderId="27" xfId="0" applyFont="1" applyFill="1" applyBorder="1" applyAlignment="1">
      <alignment horizontal="center" vertical="center" wrapText="1"/>
    </xf>
    <xf numFmtId="0" fontId="23" fillId="24" borderId="15" xfId="0" applyFont="1" applyFill="1" applyBorder="1" applyAlignment="1">
      <alignment horizontal="center" vertical="center" wrapText="1"/>
    </xf>
    <xf numFmtId="0" fontId="23" fillId="24" borderId="22" xfId="0" applyFont="1" applyFill="1" applyBorder="1" applyAlignment="1">
      <alignment horizontal="center" vertical="center" wrapText="1"/>
    </xf>
    <xf numFmtId="172" fontId="25" fillId="0" borderId="10" xfId="33" applyNumberFormat="1" applyFont="1" applyFill="1" applyBorder="1" applyAlignment="1">
      <alignment vertical="center"/>
    </xf>
    <xf numFmtId="172" fontId="25" fillId="0" borderId="20" xfId="33" applyNumberFormat="1" applyFont="1" applyFill="1" applyBorder="1" applyAlignment="1">
      <alignment vertical="center"/>
    </xf>
    <xf numFmtId="0" fontId="0" fillId="0" borderId="23" xfId="0" applyBorder="1" applyAlignment="1">
      <alignment horizontal="center"/>
    </xf>
    <xf numFmtId="0" fontId="22" fillId="0" borderId="24" xfId="0" applyFont="1" applyBorder="1" applyAlignment="1">
      <alignment horizontal="left"/>
    </xf>
    <xf numFmtId="167" fontId="22" fillId="0" borderId="16" xfId="0" applyNumberFormat="1" applyFont="1" applyBorder="1"/>
    <xf numFmtId="167" fontId="0" fillId="0" borderId="0" xfId="0" applyNumberFormat="1"/>
    <xf numFmtId="0" fontId="22" fillId="0" borderId="25" xfId="0" applyFont="1" applyBorder="1" applyAlignment="1">
      <alignment horizontal="left"/>
    </xf>
    <xf numFmtId="167" fontId="22" fillId="0" borderId="31" xfId="0" applyNumberFormat="1" applyFont="1" applyBorder="1"/>
    <xf numFmtId="0" fontId="0" fillId="0" borderId="35" xfId="0" applyBorder="1" applyAlignment="1">
      <alignment horizontal="center"/>
    </xf>
    <xf numFmtId="0" fontId="0" fillId="0" borderId="36" xfId="0" applyBorder="1"/>
    <xf numFmtId="0" fontId="22" fillId="0" borderId="26" xfId="0" applyFont="1" applyBorder="1" applyAlignment="1">
      <alignment horizontal="left"/>
    </xf>
    <xf numFmtId="167" fontId="22" fillId="0" borderId="17" xfId="0" applyNumberFormat="1" applyFont="1" applyBorder="1"/>
    <xf numFmtId="172" fontId="25" fillId="25" borderId="18" xfId="33" applyNumberFormat="1" applyFont="1" applyFill="1" applyBorder="1" applyAlignment="1">
      <alignment horizontal="right" vertical="center"/>
    </xf>
    <xf numFmtId="0" fontId="27" fillId="26" borderId="12" xfId="50" applyFont="1" applyFill="1" applyBorder="1" applyAlignment="1">
      <alignment vertical="center" wrapText="1"/>
    </xf>
    <xf numFmtId="0" fontId="27" fillId="0" borderId="12" xfId="50" applyFont="1" applyBorder="1" applyAlignment="1">
      <alignment vertical="center" wrapText="1"/>
    </xf>
    <xf numFmtId="0" fontId="27" fillId="26" borderId="10" xfId="50" applyFont="1" applyFill="1" applyBorder="1" applyAlignment="1">
      <alignment vertical="center" wrapText="1"/>
    </xf>
    <xf numFmtId="0" fontId="27" fillId="27" borderId="10" xfId="50" applyFont="1" applyFill="1" applyBorder="1" applyAlignment="1">
      <alignment vertical="center" wrapText="1"/>
    </xf>
    <xf numFmtId="0" fontId="27" fillId="0" borderId="10" xfId="50" applyFont="1" applyBorder="1" applyAlignment="1">
      <alignment vertical="center" wrapText="1"/>
    </xf>
    <xf numFmtId="0" fontId="27" fillId="26" borderId="37" xfId="50" applyFont="1" applyFill="1" applyBorder="1" applyAlignment="1">
      <alignment vertical="center" wrapText="1"/>
    </xf>
    <xf numFmtId="0" fontId="27" fillId="27" borderId="37" xfId="50" applyFont="1" applyFill="1" applyBorder="1" applyAlignment="1">
      <alignment vertical="center" wrapText="1"/>
    </xf>
    <xf numFmtId="0" fontId="28" fillId="0" borderId="12" xfId="50" applyFont="1" applyBorder="1" applyAlignment="1">
      <alignment horizontal="center" vertical="center"/>
    </xf>
    <xf numFmtId="0" fontId="28" fillId="0" borderId="10" xfId="50" applyFont="1" applyBorder="1" applyAlignment="1">
      <alignment horizontal="center" vertical="center"/>
    </xf>
    <xf numFmtId="0" fontId="28" fillId="0" borderId="37" xfId="50" applyFont="1" applyBorder="1" applyAlignment="1">
      <alignment horizontal="center" vertical="center"/>
    </xf>
    <xf numFmtId="173" fontId="28" fillId="0" borderId="0" xfId="54" applyNumberFormat="1" applyFont="1" applyAlignment="1">
      <alignment vertical="center"/>
    </xf>
    <xf numFmtId="0" fontId="28" fillId="0" borderId="0" xfId="53" applyFont="1" applyAlignment="1">
      <alignment vertical="center"/>
    </xf>
    <xf numFmtId="0" fontId="31" fillId="0" borderId="48" xfId="53" applyFont="1" applyBorder="1" applyAlignment="1">
      <alignment horizontal="center" vertical="center" textRotation="180"/>
    </xf>
    <xf numFmtId="0" fontId="31" fillId="0" borderId="48" xfId="53" applyFont="1" applyBorder="1" applyAlignment="1">
      <alignment horizontal="center" vertical="center"/>
    </xf>
    <xf numFmtId="0" fontId="31" fillId="0" borderId="48" xfId="53" applyFont="1" applyBorder="1" applyAlignment="1">
      <alignment horizontal="center" vertical="center" wrapText="1"/>
    </xf>
    <xf numFmtId="0" fontId="28" fillId="0" borderId="49" xfId="53" applyFont="1" applyBorder="1" applyAlignment="1">
      <alignment horizontal="center" vertical="center"/>
    </xf>
    <xf numFmtId="0" fontId="27" fillId="26" borderId="12" xfId="53" applyFont="1" applyFill="1" applyBorder="1" applyAlignment="1">
      <alignment vertical="center" wrapText="1"/>
    </xf>
    <xf numFmtId="0" fontId="27" fillId="0" borderId="12" xfId="53" applyFont="1" applyBorder="1" applyAlignment="1">
      <alignment vertical="center" wrapText="1"/>
    </xf>
    <xf numFmtId="0" fontId="28" fillId="0" borderId="12" xfId="53" applyFont="1" applyBorder="1" applyAlignment="1">
      <alignment horizontal="center" vertical="center"/>
    </xf>
    <xf numFmtId="166" fontId="28" fillId="0" borderId="50" xfId="54" applyNumberFormat="1" applyFont="1" applyBorder="1" applyAlignment="1">
      <alignment horizontal="right" vertical="center"/>
    </xf>
    <xf numFmtId="168" fontId="28" fillId="0" borderId="0" xfId="53" applyNumberFormat="1" applyFont="1" applyAlignment="1">
      <alignment vertical="center"/>
    </xf>
    <xf numFmtId="0" fontId="28" fillId="0" borderId="39" xfId="53" applyFont="1" applyBorder="1" applyAlignment="1">
      <alignment horizontal="center" vertical="center"/>
    </xf>
    <xf numFmtId="0" fontId="27" fillId="26" borderId="10" xfId="53" applyFont="1" applyFill="1" applyBorder="1" applyAlignment="1">
      <alignment vertical="center" wrapText="1"/>
    </xf>
    <xf numFmtId="0" fontId="27" fillId="27" borderId="10" xfId="53" applyFont="1" applyFill="1" applyBorder="1" applyAlignment="1">
      <alignment vertical="center" wrapText="1"/>
    </xf>
    <xf numFmtId="0" fontId="28" fillId="0" borderId="10" xfId="53" applyFont="1" applyBorder="1" applyAlignment="1">
      <alignment horizontal="center" vertical="center"/>
    </xf>
    <xf numFmtId="166" fontId="28" fillId="0" borderId="38" xfId="54" applyNumberFormat="1" applyFont="1" applyBorder="1" applyAlignment="1">
      <alignment horizontal="right" vertical="center"/>
    </xf>
    <xf numFmtId="0" fontId="27" fillId="0" borderId="10" xfId="53" applyFont="1" applyBorder="1" applyAlignment="1">
      <alignment vertical="center" wrapText="1"/>
    </xf>
    <xf numFmtId="173" fontId="28" fillId="0" borderId="0" xfId="54" applyNumberFormat="1" applyFont="1" applyFill="1" applyAlignment="1">
      <alignment vertical="center"/>
    </xf>
    <xf numFmtId="0" fontId="28" fillId="0" borderId="42" xfId="53" applyFont="1" applyBorder="1" applyAlignment="1">
      <alignment horizontal="center" vertical="center"/>
    </xf>
    <xf numFmtId="0" fontId="27" fillId="26" borderId="37" xfId="53" applyFont="1" applyFill="1" applyBorder="1" applyAlignment="1">
      <alignment vertical="center" wrapText="1"/>
    </xf>
    <xf numFmtId="0" fontId="27" fillId="27" borderId="37" xfId="53" applyFont="1" applyFill="1" applyBorder="1" applyAlignment="1">
      <alignment vertical="center" wrapText="1"/>
    </xf>
    <xf numFmtId="0" fontId="28" fillId="0" borderId="37" xfId="53" applyFont="1" applyBorder="1" applyAlignment="1">
      <alignment horizontal="center" vertical="center"/>
    </xf>
    <xf numFmtId="166" fontId="28" fillId="0" borderId="51" xfId="54" applyNumberFormat="1" applyFont="1" applyBorder="1" applyAlignment="1">
      <alignment horizontal="right" vertical="center"/>
    </xf>
    <xf numFmtId="0" fontId="28" fillId="0" borderId="0" xfId="53" applyFont="1" applyAlignment="1">
      <alignment horizontal="center" vertical="center"/>
    </xf>
    <xf numFmtId="0" fontId="27" fillId="0" borderId="0" xfId="53" applyFont="1" applyAlignment="1">
      <alignment vertical="center" wrapText="1"/>
    </xf>
    <xf numFmtId="166" fontId="28" fillId="0" borderId="0" xfId="54" applyNumberFormat="1" applyFont="1" applyBorder="1" applyAlignment="1">
      <alignment horizontal="right" vertical="center"/>
    </xf>
    <xf numFmtId="166" fontId="31" fillId="0" borderId="40" xfId="49" applyNumberFormat="1" applyFont="1" applyFill="1" applyBorder="1" applyAlignment="1">
      <alignment horizontal="right" vertical="center"/>
    </xf>
    <xf numFmtId="166" fontId="31" fillId="0" borderId="41" xfId="49" applyNumberFormat="1" applyFont="1" applyFill="1" applyBorder="1" applyAlignment="1">
      <alignment horizontal="right" vertical="center"/>
    </xf>
    <xf numFmtId="166" fontId="31" fillId="0" borderId="39" xfId="49" applyNumberFormat="1" applyFont="1" applyFill="1" applyBorder="1" applyAlignment="1">
      <alignment horizontal="right" vertical="center"/>
    </xf>
    <xf numFmtId="166" fontId="31" fillId="0" borderId="38" xfId="49" applyNumberFormat="1" applyFont="1" applyFill="1" applyBorder="1" applyAlignment="1">
      <alignment horizontal="right" vertical="center"/>
    </xf>
    <xf numFmtId="166" fontId="31" fillId="0" borderId="42" xfId="49" applyNumberFormat="1" applyFont="1" applyFill="1" applyBorder="1" applyAlignment="1">
      <alignment horizontal="right" vertical="center"/>
    </xf>
    <xf numFmtId="166" fontId="31" fillId="0" borderId="51" xfId="49" applyNumberFormat="1" applyFont="1" applyFill="1" applyBorder="1" applyAlignment="1">
      <alignment horizontal="right" vertical="center"/>
    </xf>
    <xf numFmtId="0" fontId="30" fillId="27" borderId="10" xfId="51" applyFont="1" applyFill="1" applyBorder="1" applyAlignment="1">
      <alignment vertical="center" textRotation="180" wrapText="1"/>
    </xf>
    <xf numFmtId="0" fontId="30" fillId="27" borderId="0" xfId="51" applyFont="1" applyFill="1" applyAlignment="1">
      <alignment vertical="center" wrapText="1"/>
    </xf>
    <xf numFmtId="173" fontId="28" fillId="0" borderId="0" xfId="54" applyNumberFormat="1" applyFont="1" applyBorder="1" applyAlignment="1">
      <alignment vertical="center"/>
    </xf>
    <xf numFmtId="166" fontId="28" fillId="0" borderId="0" xfId="53" applyNumberFormat="1" applyFont="1" applyAlignment="1">
      <alignment vertical="center"/>
    </xf>
    <xf numFmtId="9" fontId="28" fillId="0" borderId="0" xfId="55" applyFont="1" applyAlignment="1">
      <alignment vertical="center"/>
    </xf>
    <xf numFmtId="166" fontId="28" fillId="0" borderId="12" xfId="33" applyNumberFormat="1" applyFont="1" applyBorder="1" applyAlignment="1">
      <alignment horizontal="right" vertical="center"/>
    </xf>
    <xf numFmtId="166" fontId="28" fillId="0" borderId="10" xfId="33" applyNumberFormat="1" applyFont="1" applyBorder="1" applyAlignment="1">
      <alignment horizontal="right" vertical="center"/>
    </xf>
    <xf numFmtId="166" fontId="28" fillId="0" borderId="37" xfId="33" applyNumberFormat="1" applyFont="1" applyBorder="1" applyAlignment="1">
      <alignment horizontal="right" vertical="center"/>
    </xf>
    <xf numFmtId="0" fontId="37" fillId="0" borderId="0" xfId="0" applyFont="1" applyAlignment="1">
      <alignment horizontal="center"/>
    </xf>
    <xf numFmtId="0" fontId="36" fillId="32" borderId="13" xfId="0" applyFont="1" applyFill="1" applyBorder="1" applyAlignment="1">
      <alignment horizontal="center" vertical="center" wrapText="1"/>
    </xf>
    <xf numFmtId="0" fontId="36" fillId="32" borderId="52" xfId="0" applyFont="1" applyFill="1" applyBorder="1" applyAlignment="1">
      <alignment horizontal="center" vertical="center" wrapText="1"/>
    </xf>
    <xf numFmtId="0" fontId="0" fillId="0" borderId="0" xfId="0" applyAlignment="1">
      <alignment horizontal="center" wrapText="1"/>
    </xf>
    <xf numFmtId="0" fontId="38" fillId="31" borderId="15" xfId="0" applyFont="1" applyFill="1" applyBorder="1" applyAlignment="1">
      <alignment vertical="center" wrapText="1"/>
    </xf>
    <xf numFmtId="0" fontId="35" fillId="0" borderId="11"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58" xfId="0" applyFont="1" applyBorder="1" applyAlignment="1">
      <alignment horizontal="center" vertical="center" wrapText="1"/>
    </xf>
    <xf numFmtId="0" fontId="35" fillId="0" borderId="55" xfId="0" applyFont="1" applyBorder="1" applyAlignment="1">
      <alignment horizontal="center" vertical="center" wrapText="1"/>
    </xf>
    <xf numFmtId="9" fontId="35" fillId="33" borderId="55" xfId="0" applyNumberFormat="1" applyFont="1" applyFill="1" applyBorder="1" applyAlignment="1">
      <alignment horizontal="center" vertical="center"/>
    </xf>
    <xf numFmtId="9" fontId="35" fillId="34" borderId="10" xfId="0" applyNumberFormat="1" applyFont="1" applyFill="1" applyBorder="1" applyAlignment="1">
      <alignment horizontal="center" vertical="center"/>
    </xf>
    <xf numFmtId="9" fontId="35" fillId="34" borderId="55" xfId="0" applyNumberFormat="1" applyFont="1" applyFill="1" applyBorder="1" applyAlignment="1">
      <alignment horizontal="center" vertical="center"/>
    </xf>
    <xf numFmtId="0" fontId="36" fillId="33" borderId="28" xfId="0" applyFont="1" applyFill="1" applyBorder="1" applyAlignment="1">
      <alignment horizontal="center" vertical="center" wrapText="1"/>
    </xf>
    <xf numFmtId="0" fontId="36" fillId="34" borderId="28" xfId="0" applyFont="1" applyFill="1" applyBorder="1" applyAlignment="1">
      <alignment horizontal="center" vertical="center" wrapText="1"/>
    </xf>
    <xf numFmtId="0" fontId="36" fillId="35" borderId="28" xfId="0" applyFont="1" applyFill="1" applyBorder="1" applyAlignment="1">
      <alignment horizontal="center" vertical="center" wrapText="1"/>
    </xf>
    <xf numFmtId="9" fontId="35" fillId="35" borderId="55" xfId="0" applyNumberFormat="1" applyFont="1" applyFill="1" applyBorder="1" applyAlignment="1">
      <alignment horizontal="center" vertical="center"/>
    </xf>
    <xf numFmtId="41" fontId="35" fillId="35" borderId="29" xfId="0" applyNumberFormat="1" applyFont="1" applyFill="1" applyBorder="1" applyAlignment="1">
      <alignment horizontal="center" vertical="center"/>
    </xf>
    <xf numFmtId="41" fontId="35" fillId="33" borderId="29" xfId="56" applyNumberFormat="1" applyFont="1" applyFill="1" applyBorder="1" applyAlignment="1">
      <alignment horizontal="center" vertical="center"/>
    </xf>
    <xf numFmtId="41" fontId="35" fillId="34" borderId="29" xfId="56" applyNumberFormat="1" applyFont="1" applyFill="1" applyBorder="1" applyAlignment="1">
      <alignment horizontal="center" vertical="center"/>
    </xf>
    <xf numFmtId="37" fontId="35" fillId="0" borderId="10" xfId="56" applyNumberFormat="1" applyFont="1" applyFill="1" applyBorder="1" applyAlignment="1">
      <alignment horizontal="center" vertical="center"/>
    </xf>
    <xf numFmtId="37" fontId="35" fillId="0" borderId="55" xfId="56" applyNumberFormat="1" applyFont="1" applyFill="1" applyBorder="1" applyAlignment="1">
      <alignment horizontal="center" vertical="center"/>
    </xf>
    <xf numFmtId="0" fontId="3" fillId="0" borderId="0" xfId="0" applyFont="1" applyAlignment="1">
      <alignment horizontal="center"/>
    </xf>
    <xf numFmtId="0" fontId="3" fillId="0" borderId="0" xfId="0" applyFont="1" applyAlignment="1">
      <alignment horizontal="center" wrapText="1"/>
    </xf>
    <xf numFmtId="0" fontId="39" fillId="31" borderId="15" xfId="0" applyFont="1" applyFill="1" applyBorder="1" applyAlignment="1">
      <alignment vertical="center" wrapText="1"/>
    </xf>
    <xf numFmtId="0" fontId="39" fillId="32" borderId="13" xfId="0" applyFont="1" applyFill="1" applyBorder="1" applyAlignment="1">
      <alignment horizontal="center" vertical="center" wrapText="1"/>
    </xf>
    <xf numFmtId="0" fontId="39" fillId="32" borderId="52" xfId="0" applyFont="1" applyFill="1" applyBorder="1" applyAlignment="1">
      <alignment horizontal="center" vertical="center" wrapText="1"/>
    </xf>
    <xf numFmtId="0" fontId="39" fillId="35" borderId="28" xfId="0" applyFont="1" applyFill="1" applyBorder="1" applyAlignment="1">
      <alignment horizontal="center" vertical="center" wrapText="1"/>
    </xf>
    <xf numFmtId="0" fontId="39" fillId="34" borderId="28" xfId="0" applyFont="1" applyFill="1" applyBorder="1" applyAlignment="1">
      <alignment horizontal="center" vertical="center" wrapText="1"/>
    </xf>
    <xf numFmtId="0" fontId="39" fillId="33" borderId="28" xfId="0" applyFont="1" applyFill="1" applyBorder="1" applyAlignment="1">
      <alignment horizontal="center" vertical="center" wrapText="1"/>
    </xf>
    <xf numFmtId="0" fontId="40" fillId="0" borderId="11" xfId="0" applyFont="1" applyBorder="1" applyAlignment="1">
      <alignment horizontal="center" vertical="center" wrapText="1"/>
    </xf>
    <xf numFmtId="0" fontId="40" fillId="0" borderId="10" xfId="0" applyFont="1" applyBorder="1" applyAlignment="1">
      <alignment horizontal="center" vertical="center" wrapText="1"/>
    </xf>
    <xf numFmtId="37" fontId="40" fillId="0" borderId="10" xfId="56" applyNumberFormat="1" applyFont="1" applyFill="1" applyBorder="1" applyAlignment="1">
      <alignment horizontal="center" vertical="center"/>
    </xf>
    <xf numFmtId="9" fontId="40" fillId="34" borderId="10" xfId="0" applyNumberFormat="1" applyFont="1" applyFill="1" applyBorder="1" applyAlignment="1">
      <alignment horizontal="center" vertical="center"/>
    </xf>
    <xf numFmtId="41" fontId="40" fillId="35" borderId="29" xfId="0" applyNumberFormat="1" applyFont="1" applyFill="1" applyBorder="1" applyAlignment="1">
      <alignment horizontal="center" vertical="center"/>
    </xf>
    <xf numFmtId="41" fontId="40" fillId="34" borderId="29" xfId="56" applyNumberFormat="1" applyFont="1" applyFill="1" applyBorder="1" applyAlignment="1">
      <alignment horizontal="center" vertical="center"/>
    </xf>
    <xf numFmtId="41" fontId="40" fillId="33" borderId="29" xfId="56" applyNumberFormat="1" applyFont="1" applyFill="1" applyBorder="1" applyAlignment="1">
      <alignment horizontal="center" vertical="center"/>
    </xf>
    <xf numFmtId="0" fontId="40" fillId="0" borderId="58" xfId="0" applyFont="1" applyBorder="1" applyAlignment="1">
      <alignment horizontal="center" vertical="center" wrapText="1"/>
    </xf>
    <xf numFmtId="0" fontId="40" fillId="0" borderId="55" xfId="0" applyFont="1" applyBorder="1" applyAlignment="1">
      <alignment horizontal="center" vertical="center" wrapText="1"/>
    </xf>
    <xf numFmtId="37" fontId="40" fillId="0" borderId="55" xfId="56" applyNumberFormat="1" applyFont="1" applyFill="1" applyBorder="1" applyAlignment="1">
      <alignment horizontal="center" vertical="center"/>
    </xf>
    <xf numFmtId="9" fontId="40" fillId="34" borderId="55" xfId="0" applyNumberFormat="1" applyFont="1" applyFill="1" applyBorder="1" applyAlignment="1">
      <alignment horizontal="center" vertical="center"/>
    </xf>
    <xf numFmtId="9" fontId="40" fillId="33" borderId="55" xfId="0" applyNumberFormat="1" applyFont="1" applyFill="1" applyBorder="1" applyAlignment="1">
      <alignment horizontal="center" vertical="center"/>
    </xf>
    <xf numFmtId="0" fontId="40" fillId="0" borderId="10" xfId="0" applyFont="1" applyBorder="1" applyAlignment="1">
      <alignment horizontal="left" vertical="center" wrapText="1"/>
    </xf>
    <xf numFmtId="9" fontId="40" fillId="33" borderId="10" xfId="0" applyNumberFormat="1" applyFont="1" applyFill="1" applyBorder="1" applyAlignment="1">
      <alignment horizontal="center" vertical="center"/>
    </xf>
    <xf numFmtId="9" fontId="40" fillId="36" borderId="55" xfId="0" applyNumberFormat="1" applyFont="1" applyFill="1" applyBorder="1" applyAlignment="1">
      <alignment horizontal="center" vertical="center"/>
    </xf>
    <xf numFmtId="165" fontId="3" fillId="0" borderId="0" xfId="0" applyNumberFormat="1" applyFont="1"/>
    <xf numFmtId="0" fontId="22" fillId="0" borderId="21" xfId="0" applyFont="1" applyBorder="1" applyAlignment="1">
      <alignment vertical="center" wrapText="1"/>
    </xf>
    <xf numFmtId="0" fontId="39" fillId="32" borderId="53" xfId="0" applyFont="1" applyFill="1" applyBorder="1" applyAlignment="1">
      <alignment horizontal="center" vertical="center" wrapText="1"/>
    </xf>
    <xf numFmtId="164" fontId="40" fillId="0" borderId="10" xfId="56" applyFont="1" applyFill="1" applyBorder="1" applyAlignment="1">
      <alignment horizontal="center" vertical="center"/>
    </xf>
    <xf numFmtId="9" fontId="40" fillId="0" borderId="10" xfId="0" applyNumberFormat="1" applyFont="1" applyBorder="1" applyAlignment="1">
      <alignment horizontal="center" vertical="center"/>
    </xf>
    <xf numFmtId="164" fontId="3" fillId="0" borderId="10" xfId="56" applyFont="1" applyFill="1" applyBorder="1" applyAlignment="1">
      <alignment horizontal="center"/>
    </xf>
    <xf numFmtId="164" fontId="40" fillId="0" borderId="18" xfId="56" applyFont="1" applyFill="1" applyBorder="1" applyAlignment="1">
      <alignment horizontal="center" vertical="center"/>
    </xf>
    <xf numFmtId="0" fontId="40" fillId="0" borderId="20" xfId="0" applyFont="1" applyBorder="1" applyAlignment="1">
      <alignment horizontal="center" vertical="center" wrapText="1"/>
    </xf>
    <xf numFmtId="164" fontId="40" fillId="0" borderId="20" xfId="56" applyFont="1" applyFill="1" applyBorder="1" applyAlignment="1">
      <alignment horizontal="center" vertical="center"/>
    </xf>
    <xf numFmtId="9" fontId="40" fillId="0" borderId="20" xfId="0" applyNumberFormat="1" applyFont="1" applyBorder="1" applyAlignment="1">
      <alignment horizontal="center" vertical="center"/>
    </xf>
    <xf numFmtId="164" fontId="3" fillId="0" borderId="20" xfId="56" applyFont="1" applyFill="1" applyBorder="1" applyAlignment="1">
      <alignment horizontal="center"/>
    </xf>
    <xf numFmtId="164" fontId="40" fillId="0" borderId="54" xfId="56" applyFont="1" applyFill="1" applyBorder="1" applyAlignment="1">
      <alignment horizontal="center" vertical="center"/>
    </xf>
    <xf numFmtId="0" fontId="29" fillId="0" borderId="43" xfId="53" applyFont="1" applyBorder="1" applyAlignment="1">
      <alignment horizontal="center" vertical="center"/>
    </xf>
    <xf numFmtId="0" fontId="29" fillId="0" borderId="44" xfId="53" applyFont="1" applyBorder="1" applyAlignment="1">
      <alignment horizontal="center" vertical="center"/>
    </xf>
    <xf numFmtId="0" fontId="29" fillId="0" borderId="45" xfId="53" applyFont="1" applyBorder="1" applyAlignment="1">
      <alignment horizontal="center" vertical="center"/>
    </xf>
    <xf numFmtId="0" fontId="31" fillId="0" borderId="46" xfId="53" applyFont="1" applyBorder="1" applyAlignment="1">
      <alignment horizontal="center" vertical="center" wrapText="1"/>
    </xf>
    <xf numFmtId="0" fontId="31" fillId="0" borderId="0" xfId="53" applyFont="1" applyAlignment="1">
      <alignment horizontal="center" vertical="center" wrapText="1"/>
    </xf>
    <xf numFmtId="0" fontId="31" fillId="0" borderId="47" xfId="53" applyFont="1" applyBorder="1" applyAlignment="1">
      <alignment horizontal="center" vertical="center" wrapText="1"/>
    </xf>
    <xf numFmtId="0" fontId="30" fillId="27" borderId="10" xfId="51" applyFont="1" applyFill="1" applyBorder="1" applyAlignment="1">
      <alignment horizontal="left" vertical="center" wrapText="1"/>
    </xf>
    <xf numFmtId="0" fontId="22" fillId="0" borderId="21" xfId="0" applyFont="1" applyBorder="1" applyAlignment="1">
      <alignment horizontal="center" vertical="center" wrapText="1"/>
    </xf>
    <xf numFmtId="0" fontId="22" fillId="0" borderId="59" xfId="0" applyFont="1" applyBorder="1" applyAlignment="1">
      <alignment horizontal="center" vertical="center" wrapText="1"/>
    </xf>
    <xf numFmtId="0" fontId="22" fillId="0" borderId="22"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27" xfId="0" applyFont="1" applyBorder="1" applyAlignment="1">
      <alignment horizontal="center" vertical="center" wrapText="1"/>
    </xf>
    <xf numFmtId="0" fontId="22" fillId="28" borderId="16" xfId="45" applyFont="1" applyFill="1" applyBorder="1" applyAlignment="1">
      <alignment horizontal="center" vertical="center" textRotation="180"/>
    </xf>
    <xf numFmtId="0" fontId="22" fillId="28" borderId="31" xfId="45" applyFont="1" applyFill="1" applyBorder="1" applyAlignment="1">
      <alignment horizontal="center" vertical="center" textRotation="180"/>
    </xf>
    <xf numFmtId="0" fontId="22" fillId="28" borderId="17" xfId="45" applyFont="1" applyFill="1" applyBorder="1" applyAlignment="1">
      <alignment horizontal="center" vertical="center" textRotation="180"/>
    </xf>
    <xf numFmtId="0" fontId="3" fillId="28" borderId="33" xfId="45" applyFill="1" applyBorder="1" applyAlignment="1">
      <alignment horizontal="center" vertical="center" wrapText="1"/>
    </xf>
    <xf numFmtId="0" fontId="3" fillId="28" borderId="34" xfId="45" applyFill="1" applyBorder="1" applyAlignment="1">
      <alignment horizontal="center" vertical="center" wrapText="1"/>
    </xf>
    <xf numFmtId="0" fontId="3" fillId="30" borderId="32" xfId="0" applyFont="1" applyFill="1" applyBorder="1" applyAlignment="1">
      <alignment horizontal="center" vertical="center"/>
    </xf>
    <xf numFmtId="0" fontId="3" fillId="30" borderId="33" xfId="0" applyFont="1" applyFill="1" applyBorder="1" applyAlignment="1">
      <alignment horizontal="center" vertical="center"/>
    </xf>
    <xf numFmtId="0" fontId="3" fillId="30" borderId="34" xfId="0" applyFont="1" applyFill="1" applyBorder="1" applyAlignment="1">
      <alignment horizontal="center" vertical="center"/>
    </xf>
    <xf numFmtId="0" fontId="3" fillId="28" borderId="0" xfId="45" applyFill="1" applyAlignment="1">
      <alignment horizontal="center" vertical="center" wrapText="1"/>
    </xf>
    <xf numFmtId="0" fontId="3" fillId="28" borderId="56" xfId="45" applyFill="1" applyBorder="1" applyAlignment="1">
      <alignment horizontal="center" vertical="center" wrapText="1"/>
    </xf>
    <xf numFmtId="0" fontId="3" fillId="29" borderId="23" xfId="0" applyFont="1" applyFill="1" applyBorder="1" applyAlignment="1">
      <alignment horizontal="center" vertical="center" wrapText="1"/>
    </xf>
    <xf numFmtId="0" fontId="3" fillId="29" borderId="0" xfId="0" applyFont="1" applyFill="1" applyAlignment="1">
      <alignment horizontal="center" vertical="center" wrapText="1"/>
    </xf>
    <xf numFmtId="0" fontId="3" fillId="29" borderId="56" xfId="0" applyFont="1" applyFill="1" applyBorder="1" applyAlignment="1">
      <alignment horizontal="center" vertical="center" wrapText="1"/>
    </xf>
    <xf numFmtId="0" fontId="3" fillId="29" borderId="35" xfId="0" applyFont="1" applyFill="1" applyBorder="1" applyAlignment="1">
      <alignment horizontal="center" vertical="center" wrapText="1"/>
    </xf>
    <xf numFmtId="0" fontId="3" fillId="29" borderId="36" xfId="0" applyFont="1" applyFill="1" applyBorder="1" applyAlignment="1">
      <alignment horizontal="center" vertical="center" wrapText="1"/>
    </xf>
    <xf numFmtId="0" fontId="3" fillId="29" borderId="57" xfId="0" applyFont="1" applyFill="1" applyBorder="1" applyAlignment="1">
      <alignment horizontal="center" vertical="center" wrapText="1"/>
    </xf>
    <xf numFmtId="0" fontId="3" fillId="28" borderId="36" xfId="45" applyFill="1" applyBorder="1" applyAlignment="1">
      <alignment horizontal="center" vertical="center" wrapText="1"/>
    </xf>
    <xf numFmtId="0" fontId="3" fillId="28" borderId="57" xfId="45" applyFill="1" applyBorder="1" applyAlignment="1">
      <alignment horizontal="center" vertical="center" wrapText="1"/>
    </xf>
    <xf numFmtId="0" fontId="38" fillId="0" borderId="59" xfId="0" applyFont="1" applyBorder="1" applyAlignment="1">
      <alignment horizontal="center" vertical="center" wrapText="1"/>
    </xf>
    <xf numFmtId="0" fontId="38" fillId="0" borderId="27" xfId="0" applyFont="1" applyBorder="1" applyAlignment="1">
      <alignment horizontal="center" vertical="center" wrapText="1"/>
    </xf>
    <xf numFmtId="0" fontId="32" fillId="28" borderId="16" xfId="45" applyFont="1" applyFill="1" applyBorder="1" applyAlignment="1">
      <alignment horizontal="center" vertical="center" textRotation="180"/>
    </xf>
    <xf numFmtId="0" fontId="32" fillId="28" borderId="31" xfId="45" applyFont="1" applyFill="1" applyBorder="1" applyAlignment="1">
      <alignment horizontal="center" vertical="center" textRotation="180"/>
    </xf>
    <xf numFmtId="0" fontId="32" fillId="28" borderId="17" xfId="45" applyFont="1" applyFill="1" applyBorder="1" applyAlignment="1">
      <alignment horizontal="center" vertical="center" textRotation="180"/>
    </xf>
    <xf numFmtId="0" fontId="34" fillId="28" borderId="33" xfId="45" applyFont="1" applyFill="1" applyBorder="1" applyAlignment="1">
      <alignment horizontal="center" vertical="center" wrapText="1"/>
    </xf>
    <xf numFmtId="0" fontId="34" fillId="28" borderId="34" xfId="45" applyFont="1" applyFill="1" applyBorder="1" applyAlignment="1">
      <alignment horizontal="center" vertical="center" wrapText="1"/>
    </xf>
    <xf numFmtId="0" fontId="34" fillId="30" borderId="32" xfId="0" applyFont="1" applyFill="1" applyBorder="1" applyAlignment="1">
      <alignment horizontal="center" vertical="center"/>
    </xf>
    <xf numFmtId="0" fontId="34" fillId="30" borderId="33" xfId="0" applyFont="1" applyFill="1" applyBorder="1" applyAlignment="1">
      <alignment horizontal="center" vertical="center"/>
    </xf>
    <xf numFmtId="0" fontId="34" fillId="30" borderId="34" xfId="0" applyFont="1" applyFill="1" applyBorder="1" applyAlignment="1">
      <alignment horizontal="center" vertical="center"/>
    </xf>
    <xf numFmtId="0" fontId="34" fillId="28" borderId="0" xfId="45" applyFont="1" applyFill="1" applyAlignment="1">
      <alignment horizontal="center" vertical="center" wrapText="1"/>
    </xf>
    <xf numFmtId="0" fontId="34" fillId="28" borderId="56" xfId="45" applyFont="1" applyFill="1" applyBorder="1" applyAlignment="1">
      <alignment horizontal="center" vertical="center" wrapText="1"/>
    </xf>
    <xf numFmtId="0" fontId="34" fillId="29" borderId="23" xfId="0" applyFont="1" applyFill="1" applyBorder="1" applyAlignment="1">
      <alignment horizontal="center" vertical="center" wrapText="1"/>
    </xf>
    <xf numFmtId="0" fontId="34" fillId="29" borderId="0" xfId="0" applyFont="1" applyFill="1" applyAlignment="1">
      <alignment horizontal="center" vertical="center" wrapText="1"/>
    </xf>
    <xf numFmtId="0" fontId="34" fillId="29" borderId="56" xfId="0" applyFont="1" applyFill="1" applyBorder="1" applyAlignment="1">
      <alignment horizontal="center" vertical="center" wrapText="1"/>
    </xf>
    <xf numFmtId="0" fontId="34" fillId="29" borderId="35" xfId="0" applyFont="1" applyFill="1" applyBorder="1" applyAlignment="1">
      <alignment horizontal="center" vertical="center" wrapText="1"/>
    </xf>
    <xf numFmtId="0" fontId="34" fillId="29" borderId="36" xfId="0" applyFont="1" applyFill="1" applyBorder="1" applyAlignment="1">
      <alignment horizontal="center" vertical="center" wrapText="1"/>
    </xf>
    <xf numFmtId="0" fontId="34" fillId="29" borderId="57" xfId="0" applyFont="1" applyFill="1" applyBorder="1" applyAlignment="1">
      <alignment horizontal="center" vertical="center" wrapText="1"/>
    </xf>
    <xf numFmtId="0" fontId="34" fillId="28" borderId="36" xfId="45" applyFont="1" applyFill="1" applyBorder="1" applyAlignment="1">
      <alignment horizontal="center" vertical="center" wrapText="1"/>
    </xf>
    <xf numFmtId="0" fontId="34" fillId="28" borderId="57" xfId="45" applyFont="1" applyFill="1" applyBorder="1" applyAlignment="1">
      <alignment horizontal="center" vertical="center" wrapText="1"/>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34" xfId="0" applyFont="1" applyBorder="1" applyAlignment="1">
      <alignment horizontal="center" vertical="center" wrapText="1"/>
    </xf>
    <xf numFmtId="0" fontId="22" fillId="0" borderId="13" xfId="0" applyFont="1" applyBorder="1" applyAlignment="1">
      <alignment horizontal="left"/>
    </xf>
    <xf numFmtId="0" fontId="22" fillId="0" borderId="28" xfId="0" applyFont="1" applyBorder="1" applyAlignment="1">
      <alignment horizontal="left"/>
    </xf>
    <xf numFmtId="0" fontId="22" fillId="0" borderId="11" xfId="0" applyFont="1" applyBorder="1" applyAlignment="1">
      <alignment horizontal="left"/>
    </xf>
    <xf numFmtId="0" fontId="22" fillId="0" borderId="29" xfId="0" applyFont="1" applyBorder="1" applyAlignment="1">
      <alignment horizontal="left"/>
    </xf>
    <xf numFmtId="0" fontId="22" fillId="0" borderId="19" xfId="0" applyFont="1" applyBorder="1" applyAlignment="1">
      <alignment horizontal="left"/>
    </xf>
    <xf numFmtId="0" fontId="22" fillId="0" borderId="30" xfId="0" applyFont="1" applyBorder="1" applyAlignment="1">
      <alignment horizontal="left"/>
    </xf>
  </cellXfs>
  <cellStyles count="57">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0"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xfId="32" builtinId="3"/>
    <cellStyle name="Millares 2" xfId="48" xr:uid="{00000000-0005-0000-0000-000021000000}"/>
    <cellStyle name="Moneda" xfId="33" builtinId="4"/>
    <cellStyle name="Moneda [0]" xfId="56" builtinId="7"/>
    <cellStyle name="Moneda 2" xfId="44" xr:uid="{00000000-0005-0000-0000-000023000000}"/>
    <cellStyle name="Moneda 2 2" xfId="49" xr:uid="{00000000-0005-0000-0000-000024000000}"/>
    <cellStyle name="Moneda 2 3" xfId="52" xr:uid="{00000000-0005-0000-0000-000025000000}"/>
    <cellStyle name="Moneda 2 4" xfId="54" xr:uid="{00000000-0005-0000-0000-000026000000}"/>
    <cellStyle name="Neutral" xfId="34" builtinId="28" customBuiltin="1"/>
    <cellStyle name="Normal" xfId="0" builtinId="0"/>
    <cellStyle name="Normal 2" xfId="45" xr:uid="{00000000-0005-0000-0000-000029000000}"/>
    <cellStyle name="Normal 2 2" xfId="51" xr:uid="{00000000-0005-0000-0000-00002A000000}"/>
    <cellStyle name="Normal 3" xfId="50" xr:uid="{00000000-0005-0000-0000-00002B000000}"/>
    <cellStyle name="Normal 3 2" xfId="53" xr:uid="{00000000-0005-0000-0000-00002C000000}"/>
    <cellStyle name="Notas" xfId="35" builtinId="10" customBuiltin="1"/>
    <cellStyle name="Notas 2" xfId="46" xr:uid="{00000000-0005-0000-0000-00002E000000}"/>
    <cellStyle name="Notas 3" xfId="47" xr:uid="{00000000-0005-0000-0000-00002F000000}"/>
    <cellStyle name="Porcentaje 2" xfId="55" xr:uid="{00000000-0005-0000-0000-000031000000}"/>
    <cellStyle name="Salida" xfId="36" builtinId="21" customBuiltin="1"/>
    <cellStyle name="Texto de advertencia" xfId="37" builtinId="11" customBuiltin="1"/>
    <cellStyle name="Texto explicativo" xfId="38" builtinId="53" customBuiltin="1"/>
    <cellStyle name="Título" xfId="39" builtinId="15" customBuiltin="1"/>
    <cellStyle name="Título 2" xfId="41" builtinId="17" customBuiltin="1"/>
    <cellStyle name="Título 3" xfId="42" builtinId="18" customBuiltin="1"/>
    <cellStyle name="Total" xfId="43" builtinId="25" customBuiltin="1"/>
  </cellStyles>
  <dxfs count="0"/>
  <tableStyles count="0" defaultTableStyle="TableStyleMedium2" defaultPivotStyle="PivotStyleLight16"/>
  <colors>
    <mruColors>
      <color rgb="FFFFFF99"/>
      <color rgb="FFAFF7A9"/>
      <color rgb="FF666633"/>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100853</xdr:colOff>
      <xdr:row>1</xdr:row>
      <xdr:rowOff>235323</xdr:rowOff>
    </xdr:from>
    <xdr:to>
      <xdr:col>1</xdr:col>
      <xdr:colOff>616324</xdr:colOff>
      <xdr:row>1</xdr:row>
      <xdr:rowOff>739516</xdr:rowOff>
    </xdr:to>
    <xdr:pic>
      <xdr:nvPicPr>
        <xdr:cNvPr id="2" name="image_0">
          <a:extLst>
            <a:ext uri="{FF2B5EF4-FFF2-40B4-BE49-F238E27FC236}">
              <a16:creationId xmlns:a16="http://schemas.microsoft.com/office/drawing/2014/main" id="{F3BAC655-41D8-4573-8FA4-06048BD41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7529" y="582705"/>
          <a:ext cx="515471" cy="504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0</xdr:row>
      <xdr:rowOff>180975</xdr:rowOff>
    </xdr:from>
    <xdr:to>
      <xdr:col>1</xdr:col>
      <xdr:colOff>704850</xdr:colOff>
      <xdr:row>0</xdr:row>
      <xdr:rowOff>790575</xdr:rowOff>
    </xdr:to>
    <xdr:pic>
      <xdr:nvPicPr>
        <xdr:cNvPr id="2" name="image_0">
          <a:extLst>
            <a:ext uri="{FF2B5EF4-FFF2-40B4-BE49-F238E27FC236}">
              <a16:creationId xmlns:a16="http://schemas.microsoft.com/office/drawing/2014/main" id="{ED4C59CD-0197-466D-82A8-2DBBA1D18A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80975"/>
          <a:ext cx="60960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95250</xdr:colOff>
      <xdr:row>0</xdr:row>
      <xdr:rowOff>180975</xdr:rowOff>
    </xdr:from>
    <xdr:to>
      <xdr:col>1</xdr:col>
      <xdr:colOff>704850</xdr:colOff>
      <xdr:row>0</xdr:row>
      <xdr:rowOff>790575</xdr:rowOff>
    </xdr:to>
    <xdr:pic>
      <xdr:nvPicPr>
        <xdr:cNvPr id="4" name="image_0">
          <a:extLst>
            <a:ext uri="{FF2B5EF4-FFF2-40B4-BE49-F238E27FC236}">
              <a16:creationId xmlns:a16="http://schemas.microsoft.com/office/drawing/2014/main" id="{0A20B128-4648-4F21-9B17-969F1B5612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80975"/>
          <a:ext cx="60960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145677</xdr:colOff>
      <xdr:row>1</xdr:row>
      <xdr:rowOff>89647</xdr:rowOff>
    </xdr:from>
    <xdr:to>
      <xdr:col>7</xdr:col>
      <xdr:colOff>755276</xdr:colOff>
      <xdr:row>1</xdr:row>
      <xdr:rowOff>560258</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80027" y="261097"/>
          <a:ext cx="609599" cy="47061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L64"/>
  <sheetViews>
    <sheetView view="pageBreakPreview" zoomScaleNormal="100" zoomScaleSheetLayoutView="100" workbookViewId="0">
      <pane ySplit="4" topLeftCell="A5" activePane="bottomLeft" state="frozen"/>
      <selection pane="bottomLeft" activeCell="C12" sqref="C12"/>
    </sheetView>
  </sheetViews>
  <sheetFormatPr baseColWidth="10" defaultColWidth="11.42578125" defaultRowHeight="12.75" x14ac:dyDescent="0.2"/>
  <cols>
    <col min="1" max="1" width="3.28515625" style="43" bestFit="1" customWidth="1"/>
    <col min="2" max="2" width="28.85546875" style="43" customWidth="1"/>
    <col min="3" max="3" width="24.28515625" style="43" customWidth="1"/>
    <col min="4" max="4" width="7.28515625" style="65" bestFit="1" customWidth="1"/>
    <col min="5" max="5" width="9.85546875" style="65" customWidth="1"/>
    <col min="6" max="6" width="12.85546875" style="43" customWidth="1"/>
    <col min="7" max="7" width="12.42578125" style="42" bestFit="1" customWidth="1"/>
    <col min="8" max="8" width="13.28515625" style="43" bestFit="1" customWidth="1"/>
    <col min="9" max="16384" width="11.42578125" style="43"/>
  </cols>
  <sheetData>
    <row r="1" spans="1:10" ht="15.75" customHeight="1" thickTop="1" x14ac:dyDescent="0.2">
      <c r="A1" s="138" t="s">
        <v>0</v>
      </c>
      <c r="B1" s="139"/>
      <c r="C1" s="139"/>
      <c r="D1" s="139"/>
      <c r="E1" s="139"/>
      <c r="F1" s="140"/>
    </row>
    <row r="2" spans="1:10" x14ac:dyDescent="0.2">
      <c r="A2" s="141" t="s">
        <v>1</v>
      </c>
      <c r="B2" s="142"/>
      <c r="C2" s="142"/>
      <c r="D2" s="142"/>
      <c r="E2" s="142"/>
      <c r="F2" s="143"/>
    </row>
    <row r="3" spans="1:10" ht="15.75" customHeight="1" thickBot="1" x14ac:dyDescent="0.25">
      <c r="A3" s="141" t="s">
        <v>2</v>
      </c>
      <c r="B3" s="142"/>
      <c r="C3" s="142"/>
      <c r="D3" s="142"/>
      <c r="E3" s="142"/>
      <c r="F3" s="143"/>
    </row>
    <row r="4" spans="1:10" ht="52.5" thickTop="1" thickBot="1" x14ac:dyDescent="0.25">
      <c r="A4" s="44" t="s">
        <v>3</v>
      </c>
      <c r="B4" s="45" t="s">
        <v>4</v>
      </c>
      <c r="C4" s="45" t="s">
        <v>5</v>
      </c>
      <c r="D4" s="46" t="s">
        <v>6</v>
      </c>
      <c r="E4" s="46" t="s">
        <v>7</v>
      </c>
      <c r="F4" s="46" t="s">
        <v>8</v>
      </c>
    </row>
    <row r="5" spans="1:10" ht="13.5" thickTop="1" x14ac:dyDescent="0.2">
      <c r="A5" s="47">
        <v>1</v>
      </c>
      <c r="B5" s="48" t="s">
        <v>9</v>
      </c>
      <c r="C5" s="49" t="s">
        <v>10</v>
      </c>
      <c r="D5" s="50">
        <v>3</v>
      </c>
      <c r="E5" s="79">
        <v>456692.77500000002</v>
      </c>
      <c r="F5" s="51">
        <f>D5*E5</f>
        <v>1370078.3250000002</v>
      </c>
      <c r="I5" s="52"/>
      <c r="J5" s="52"/>
    </row>
    <row r="6" spans="1:10" ht="25.5" x14ac:dyDescent="0.2">
      <c r="A6" s="53">
        <v>2</v>
      </c>
      <c r="B6" s="54" t="s">
        <v>11</v>
      </c>
      <c r="C6" s="55" t="s">
        <v>12</v>
      </c>
      <c r="D6" s="56">
        <v>3</v>
      </c>
      <c r="E6" s="80">
        <v>441352.42499999999</v>
      </c>
      <c r="F6" s="57">
        <f t="shared" ref="F6:F54" si="0">D6*E6</f>
        <v>1324057.2749999999</v>
      </c>
      <c r="I6" s="52"/>
      <c r="J6" s="52"/>
    </row>
    <row r="7" spans="1:10" ht="25.5" x14ac:dyDescent="0.2">
      <c r="A7" s="53">
        <v>3</v>
      </c>
      <c r="B7" s="54" t="s">
        <v>13</v>
      </c>
      <c r="C7" s="58" t="s">
        <v>14</v>
      </c>
      <c r="D7" s="56">
        <v>3</v>
      </c>
      <c r="E7" s="80">
        <v>429194.22500000003</v>
      </c>
      <c r="F7" s="57">
        <f t="shared" si="0"/>
        <v>1287582.675</v>
      </c>
      <c r="I7" s="52"/>
      <c r="J7" s="52"/>
    </row>
    <row r="8" spans="1:10" ht="25.5" x14ac:dyDescent="0.2">
      <c r="A8" s="53">
        <v>4</v>
      </c>
      <c r="B8" s="54" t="s">
        <v>15</v>
      </c>
      <c r="C8" s="58" t="s">
        <v>16</v>
      </c>
      <c r="D8" s="56">
        <v>3</v>
      </c>
      <c r="E8" s="80">
        <v>430923.25</v>
      </c>
      <c r="F8" s="57">
        <f t="shared" si="0"/>
        <v>1292769.75</v>
      </c>
      <c r="I8" s="52"/>
      <c r="J8" s="52"/>
    </row>
    <row r="9" spans="1:10" ht="25.5" x14ac:dyDescent="0.2">
      <c r="A9" s="53">
        <v>5</v>
      </c>
      <c r="B9" s="54" t="s">
        <v>17</v>
      </c>
      <c r="C9" s="58" t="s">
        <v>18</v>
      </c>
      <c r="D9" s="56">
        <v>3</v>
      </c>
      <c r="E9" s="80">
        <v>369709.10000000003</v>
      </c>
      <c r="F9" s="57">
        <f t="shared" si="0"/>
        <v>1109127.3</v>
      </c>
      <c r="I9" s="52"/>
      <c r="J9" s="52"/>
    </row>
    <row r="10" spans="1:10" ht="25.5" x14ac:dyDescent="0.2">
      <c r="A10" s="53">
        <v>6</v>
      </c>
      <c r="B10" s="54" t="s">
        <v>19</v>
      </c>
      <c r="C10" s="55" t="s">
        <v>12</v>
      </c>
      <c r="D10" s="56">
        <v>3</v>
      </c>
      <c r="E10" s="80">
        <v>256693.95</v>
      </c>
      <c r="F10" s="57">
        <f t="shared" si="0"/>
        <v>770081.85000000009</v>
      </c>
      <c r="I10" s="52"/>
      <c r="J10" s="52"/>
    </row>
    <row r="11" spans="1:10" ht="25.5" x14ac:dyDescent="0.2">
      <c r="A11" s="53">
        <v>7</v>
      </c>
      <c r="B11" s="54" t="s">
        <v>20</v>
      </c>
      <c r="C11" s="55" t="s">
        <v>21</v>
      </c>
      <c r="D11" s="56">
        <v>3</v>
      </c>
      <c r="E11" s="80">
        <v>310078.27500000002</v>
      </c>
      <c r="F11" s="57">
        <f t="shared" si="0"/>
        <v>930234.82500000007</v>
      </c>
      <c r="I11" s="52"/>
      <c r="J11" s="52"/>
    </row>
    <row r="12" spans="1:10" ht="25.5" x14ac:dyDescent="0.2">
      <c r="A12" s="53">
        <v>8</v>
      </c>
      <c r="B12" s="54" t="s">
        <v>22</v>
      </c>
      <c r="C12" s="58" t="s">
        <v>23</v>
      </c>
      <c r="D12" s="56">
        <v>3</v>
      </c>
      <c r="E12" s="80">
        <v>367181.05</v>
      </c>
      <c r="F12" s="57">
        <f t="shared" si="0"/>
        <v>1101543.1499999999</v>
      </c>
      <c r="I12" s="52"/>
      <c r="J12" s="52"/>
    </row>
    <row r="13" spans="1:10" ht="51" x14ac:dyDescent="0.2">
      <c r="A13" s="53">
        <v>9</v>
      </c>
      <c r="B13" s="54" t="s">
        <v>24</v>
      </c>
      <c r="C13" s="58" t="s">
        <v>25</v>
      </c>
      <c r="D13" s="56">
        <v>3</v>
      </c>
      <c r="E13" s="80">
        <v>241686.85</v>
      </c>
      <c r="F13" s="57">
        <f t="shared" si="0"/>
        <v>725060.55</v>
      </c>
      <c r="I13" s="52"/>
      <c r="J13" s="52"/>
    </row>
    <row r="14" spans="1:10" ht="38.25" x14ac:dyDescent="0.2">
      <c r="A14" s="53">
        <v>10</v>
      </c>
      <c r="B14" s="54" t="s">
        <v>26</v>
      </c>
      <c r="C14" s="55" t="s">
        <v>27</v>
      </c>
      <c r="D14" s="56">
        <v>3</v>
      </c>
      <c r="E14" s="80">
        <v>261318.375</v>
      </c>
      <c r="F14" s="57">
        <f t="shared" si="0"/>
        <v>783955.125</v>
      </c>
      <c r="I14" s="52"/>
      <c r="J14" s="52"/>
    </row>
    <row r="15" spans="1:10" ht="38.25" x14ac:dyDescent="0.2">
      <c r="A15" s="53">
        <v>11</v>
      </c>
      <c r="B15" s="54" t="s">
        <v>28</v>
      </c>
      <c r="C15" s="58" t="s">
        <v>29</v>
      </c>
      <c r="D15" s="56">
        <v>3</v>
      </c>
      <c r="E15" s="80">
        <v>261318.375</v>
      </c>
      <c r="F15" s="57">
        <f t="shared" si="0"/>
        <v>783955.125</v>
      </c>
      <c r="I15" s="52"/>
      <c r="J15" s="52"/>
    </row>
    <row r="16" spans="1:10" ht="38.25" x14ac:dyDescent="0.2">
      <c r="A16" s="53">
        <v>12</v>
      </c>
      <c r="B16" s="54" t="s">
        <v>30</v>
      </c>
      <c r="C16" s="55" t="s">
        <v>31</v>
      </c>
      <c r="D16" s="56">
        <v>3</v>
      </c>
      <c r="E16" s="80">
        <v>294518.60000000003</v>
      </c>
      <c r="F16" s="57">
        <f t="shared" si="0"/>
        <v>883555.8</v>
      </c>
      <c r="I16" s="52"/>
      <c r="J16" s="52"/>
    </row>
    <row r="17" spans="1:10" ht="38.25" x14ac:dyDescent="0.2">
      <c r="A17" s="53">
        <v>13</v>
      </c>
      <c r="B17" s="54" t="s">
        <v>32</v>
      </c>
      <c r="C17" s="55" t="s">
        <v>33</v>
      </c>
      <c r="D17" s="56">
        <v>3</v>
      </c>
      <c r="E17" s="80">
        <v>449041.2</v>
      </c>
      <c r="F17" s="57">
        <f t="shared" si="0"/>
        <v>1347123.6</v>
      </c>
      <c r="I17" s="52"/>
      <c r="J17" s="52"/>
    </row>
    <row r="18" spans="1:10" ht="51" x14ac:dyDescent="0.2">
      <c r="A18" s="53">
        <v>14</v>
      </c>
      <c r="B18" s="54" t="s">
        <v>34</v>
      </c>
      <c r="C18" s="55" t="s">
        <v>35</v>
      </c>
      <c r="D18" s="56">
        <v>3</v>
      </c>
      <c r="E18" s="80">
        <v>322513.92499999999</v>
      </c>
      <c r="F18" s="57">
        <f t="shared" si="0"/>
        <v>967541.77499999991</v>
      </c>
      <c r="I18" s="52"/>
      <c r="J18" s="52"/>
    </row>
    <row r="19" spans="1:10" ht="38.25" x14ac:dyDescent="0.2">
      <c r="A19" s="53">
        <v>15</v>
      </c>
      <c r="B19" s="54" t="s">
        <v>36</v>
      </c>
      <c r="C19" s="58" t="s">
        <v>37</v>
      </c>
      <c r="D19" s="56">
        <v>3</v>
      </c>
      <c r="E19" s="80">
        <v>479649.05</v>
      </c>
      <c r="F19" s="57">
        <f t="shared" si="0"/>
        <v>1438947.15</v>
      </c>
      <c r="I19" s="52"/>
      <c r="J19" s="52"/>
    </row>
    <row r="20" spans="1:10" ht="38.25" x14ac:dyDescent="0.2">
      <c r="A20" s="53">
        <v>16</v>
      </c>
      <c r="B20" s="54" t="s">
        <v>38</v>
      </c>
      <c r="C20" s="58" t="s">
        <v>39</v>
      </c>
      <c r="D20" s="56">
        <v>3</v>
      </c>
      <c r="E20" s="80">
        <v>540971.70000000007</v>
      </c>
      <c r="F20" s="57">
        <f t="shared" si="0"/>
        <v>1622915.1</v>
      </c>
      <c r="I20" s="52"/>
      <c r="J20" s="52"/>
    </row>
    <row r="21" spans="1:10" ht="51" x14ac:dyDescent="0.2">
      <c r="A21" s="53">
        <v>17</v>
      </c>
      <c r="B21" s="54" t="s">
        <v>40</v>
      </c>
      <c r="C21" s="55" t="s">
        <v>41</v>
      </c>
      <c r="D21" s="56">
        <v>3</v>
      </c>
      <c r="E21" s="80">
        <v>512157.97500000003</v>
      </c>
      <c r="F21" s="57">
        <f t="shared" si="0"/>
        <v>1536473.925</v>
      </c>
      <c r="I21" s="52"/>
      <c r="J21" s="52"/>
    </row>
    <row r="22" spans="1:10" ht="38.25" x14ac:dyDescent="0.2">
      <c r="A22" s="53">
        <v>18</v>
      </c>
      <c r="B22" s="54" t="s">
        <v>42</v>
      </c>
      <c r="C22" s="58" t="s">
        <v>43</v>
      </c>
      <c r="D22" s="56">
        <v>3</v>
      </c>
      <c r="E22" s="80">
        <v>345214.45</v>
      </c>
      <c r="F22" s="57">
        <f t="shared" si="0"/>
        <v>1035643.3500000001</v>
      </c>
      <c r="I22" s="52"/>
      <c r="J22" s="52"/>
    </row>
    <row r="23" spans="1:10" ht="25.5" x14ac:dyDescent="0.2">
      <c r="A23" s="53">
        <v>19</v>
      </c>
      <c r="B23" s="54" t="s">
        <v>44</v>
      </c>
      <c r="C23" s="58" t="s">
        <v>45</v>
      </c>
      <c r="D23" s="56">
        <v>3</v>
      </c>
      <c r="E23" s="80">
        <v>325960.35000000003</v>
      </c>
      <c r="F23" s="57">
        <f t="shared" si="0"/>
        <v>977881.05</v>
      </c>
      <c r="I23" s="52"/>
      <c r="J23" s="52"/>
    </row>
    <row r="24" spans="1:10" x14ac:dyDescent="0.2">
      <c r="A24" s="53">
        <v>20</v>
      </c>
      <c r="B24" s="54" t="s">
        <v>46</v>
      </c>
      <c r="C24" s="55" t="s">
        <v>12</v>
      </c>
      <c r="D24" s="56">
        <v>3</v>
      </c>
      <c r="E24" s="80">
        <v>473179.35000000003</v>
      </c>
      <c r="F24" s="57">
        <f t="shared" si="0"/>
        <v>1419538.05</v>
      </c>
      <c r="I24" s="52"/>
      <c r="J24" s="52"/>
    </row>
    <row r="25" spans="1:10" x14ac:dyDescent="0.2">
      <c r="A25" s="53">
        <v>21</v>
      </c>
      <c r="B25" s="54" t="s">
        <v>47</v>
      </c>
      <c r="C25" s="55" t="s">
        <v>48</v>
      </c>
      <c r="D25" s="56">
        <v>3</v>
      </c>
      <c r="E25" s="80">
        <v>492534.97500000003</v>
      </c>
      <c r="F25" s="57">
        <f t="shared" si="0"/>
        <v>1477604.925</v>
      </c>
    </row>
    <row r="26" spans="1:10" x14ac:dyDescent="0.2">
      <c r="A26" s="53">
        <v>22</v>
      </c>
      <c r="B26" s="54" t="s">
        <v>49</v>
      </c>
      <c r="C26" s="55" t="s">
        <v>50</v>
      </c>
      <c r="D26" s="56">
        <v>3</v>
      </c>
      <c r="E26" s="80">
        <v>779439.97499999998</v>
      </c>
      <c r="F26" s="57">
        <f t="shared" si="0"/>
        <v>2338319.9249999998</v>
      </c>
    </row>
    <row r="27" spans="1:10" x14ac:dyDescent="0.2">
      <c r="A27" s="53">
        <v>23</v>
      </c>
      <c r="B27" s="54" t="s">
        <v>51</v>
      </c>
      <c r="C27" s="55" t="s">
        <v>52</v>
      </c>
      <c r="D27" s="56">
        <v>3</v>
      </c>
      <c r="E27" s="80">
        <v>507689.32500000001</v>
      </c>
      <c r="F27" s="57">
        <f t="shared" si="0"/>
        <v>1523067.9750000001</v>
      </c>
    </row>
    <row r="28" spans="1:10" x14ac:dyDescent="0.2">
      <c r="A28" s="53">
        <v>24</v>
      </c>
      <c r="B28" s="54" t="s">
        <v>53</v>
      </c>
      <c r="C28" s="55" t="s">
        <v>12</v>
      </c>
      <c r="D28" s="56">
        <v>3</v>
      </c>
      <c r="E28" s="80">
        <v>476868.35000000003</v>
      </c>
      <c r="F28" s="57">
        <f t="shared" si="0"/>
        <v>1430605.05</v>
      </c>
    </row>
    <row r="29" spans="1:10" x14ac:dyDescent="0.2">
      <c r="A29" s="53">
        <v>25</v>
      </c>
      <c r="B29" s="54" t="s">
        <v>54</v>
      </c>
      <c r="C29" s="55" t="s">
        <v>12</v>
      </c>
      <c r="D29" s="56">
        <v>3</v>
      </c>
      <c r="E29" s="80">
        <v>1007318.65</v>
      </c>
      <c r="F29" s="57">
        <f t="shared" si="0"/>
        <v>3021955.95</v>
      </c>
    </row>
    <row r="30" spans="1:10" ht="25.5" x14ac:dyDescent="0.2">
      <c r="A30" s="53">
        <v>26</v>
      </c>
      <c r="B30" s="54" t="s">
        <v>55</v>
      </c>
      <c r="C30" s="55" t="s">
        <v>56</v>
      </c>
      <c r="D30" s="56">
        <v>3</v>
      </c>
      <c r="E30" s="80">
        <v>779738.35</v>
      </c>
      <c r="F30" s="57">
        <f t="shared" si="0"/>
        <v>2339215.0499999998</v>
      </c>
    </row>
    <row r="31" spans="1:10" x14ac:dyDescent="0.2">
      <c r="A31" s="53">
        <v>27</v>
      </c>
      <c r="B31" s="54" t="s">
        <v>57</v>
      </c>
      <c r="C31" s="55" t="s">
        <v>58</v>
      </c>
      <c r="D31" s="56">
        <v>3</v>
      </c>
      <c r="E31" s="80">
        <v>461135.85000000003</v>
      </c>
      <c r="F31" s="57">
        <f t="shared" si="0"/>
        <v>1383407.55</v>
      </c>
    </row>
    <row r="32" spans="1:10" x14ac:dyDescent="0.2">
      <c r="A32" s="53">
        <v>28</v>
      </c>
      <c r="B32" s="54" t="s">
        <v>59</v>
      </c>
      <c r="C32" s="58" t="s">
        <v>60</v>
      </c>
      <c r="D32" s="56">
        <v>3</v>
      </c>
      <c r="E32" s="80">
        <v>613484.57500000007</v>
      </c>
      <c r="F32" s="57">
        <f t="shared" si="0"/>
        <v>1840453.7250000001</v>
      </c>
    </row>
    <row r="33" spans="1:7" ht="38.25" x14ac:dyDescent="0.2">
      <c r="A33" s="53">
        <v>29</v>
      </c>
      <c r="B33" s="54" t="s">
        <v>61</v>
      </c>
      <c r="C33" s="58" t="s">
        <v>62</v>
      </c>
      <c r="D33" s="56">
        <v>3</v>
      </c>
      <c r="E33" s="80">
        <v>398733.625</v>
      </c>
      <c r="F33" s="57">
        <f t="shared" si="0"/>
        <v>1196200.875</v>
      </c>
    </row>
    <row r="34" spans="1:7" x14ac:dyDescent="0.2">
      <c r="A34" s="53">
        <v>30</v>
      </c>
      <c r="B34" s="54" t="s">
        <v>63</v>
      </c>
      <c r="C34" s="58" t="s">
        <v>10</v>
      </c>
      <c r="D34" s="56">
        <v>3</v>
      </c>
      <c r="E34" s="80">
        <v>609094.20000000007</v>
      </c>
      <c r="F34" s="57">
        <f t="shared" si="0"/>
        <v>1827282.6</v>
      </c>
      <c r="G34" s="59"/>
    </row>
    <row r="35" spans="1:7" ht="25.5" x14ac:dyDescent="0.2">
      <c r="A35" s="53">
        <v>31</v>
      </c>
      <c r="B35" s="54" t="s">
        <v>63</v>
      </c>
      <c r="C35" s="58" t="s">
        <v>64</v>
      </c>
      <c r="D35" s="56">
        <v>3</v>
      </c>
      <c r="E35" s="80">
        <v>604971.20000000007</v>
      </c>
      <c r="F35" s="57">
        <f t="shared" si="0"/>
        <v>1814913.6</v>
      </c>
      <c r="G35" s="59"/>
    </row>
    <row r="36" spans="1:7" ht="63.75" x14ac:dyDescent="0.2">
      <c r="A36" s="53">
        <v>32</v>
      </c>
      <c r="B36" s="54" t="s">
        <v>65</v>
      </c>
      <c r="C36" s="58" t="s">
        <v>66</v>
      </c>
      <c r="D36" s="56">
        <v>3</v>
      </c>
      <c r="E36" s="80">
        <v>499736.27500000002</v>
      </c>
      <c r="F36" s="57">
        <f t="shared" si="0"/>
        <v>1499208.8250000002</v>
      </c>
    </row>
    <row r="37" spans="1:7" ht="63.75" x14ac:dyDescent="0.2">
      <c r="A37" s="53">
        <v>33</v>
      </c>
      <c r="B37" s="54" t="s">
        <v>67</v>
      </c>
      <c r="C37" s="58" t="s">
        <v>68</v>
      </c>
      <c r="D37" s="56">
        <v>3</v>
      </c>
      <c r="E37" s="80">
        <v>577038.65</v>
      </c>
      <c r="F37" s="57">
        <f t="shared" si="0"/>
        <v>1731115.9500000002</v>
      </c>
    </row>
    <row r="38" spans="1:7" ht="25.5" x14ac:dyDescent="0.2">
      <c r="A38" s="53">
        <v>34</v>
      </c>
      <c r="B38" s="54" t="s">
        <v>69</v>
      </c>
      <c r="C38" s="55" t="s">
        <v>70</v>
      </c>
      <c r="D38" s="56">
        <v>3</v>
      </c>
      <c r="E38" s="80">
        <v>1024018.35</v>
      </c>
      <c r="F38" s="57">
        <f t="shared" si="0"/>
        <v>3072055.05</v>
      </c>
    </row>
    <row r="39" spans="1:7" ht="25.5" x14ac:dyDescent="0.2">
      <c r="A39" s="53">
        <v>35</v>
      </c>
      <c r="B39" s="54" t="s">
        <v>71</v>
      </c>
      <c r="C39" s="55" t="s">
        <v>72</v>
      </c>
      <c r="D39" s="56">
        <v>3</v>
      </c>
      <c r="E39" s="80">
        <v>1018236.85</v>
      </c>
      <c r="F39" s="57">
        <f t="shared" si="0"/>
        <v>3054710.55</v>
      </c>
    </row>
    <row r="40" spans="1:7" ht="25.5" x14ac:dyDescent="0.2">
      <c r="A40" s="53">
        <v>36</v>
      </c>
      <c r="B40" s="54" t="s">
        <v>73</v>
      </c>
      <c r="C40" s="58" t="s">
        <v>74</v>
      </c>
      <c r="D40" s="56">
        <v>3</v>
      </c>
      <c r="E40" s="80">
        <v>493378.95</v>
      </c>
      <c r="F40" s="57">
        <f t="shared" si="0"/>
        <v>1480136.85</v>
      </c>
    </row>
    <row r="41" spans="1:7" x14ac:dyDescent="0.2">
      <c r="A41" s="53">
        <v>37</v>
      </c>
      <c r="B41" s="54" t="s">
        <v>75</v>
      </c>
      <c r="C41" s="55" t="s">
        <v>12</v>
      </c>
      <c r="D41" s="56">
        <v>3</v>
      </c>
      <c r="E41" s="80">
        <v>526191.67500000005</v>
      </c>
      <c r="F41" s="57">
        <f t="shared" si="0"/>
        <v>1578575.0250000001</v>
      </c>
    </row>
    <row r="42" spans="1:7" ht="51" x14ac:dyDescent="0.2">
      <c r="A42" s="53">
        <v>38</v>
      </c>
      <c r="B42" s="54" t="s">
        <v>76</v>
      </c>
      <c r="C42" s="58" t="s">
        <v>77</v>
      </c>
      <c r="D42" s="56">
        <v>3</v>
      </c>
      <c r="E42" s="80">
        <v>935412.6</v>
      </c>
      <c r="F42" s="57">
        <f t="shared" si="0"/>
        <v>2806237.8</v>
      </c>
    </row>
    <row r="43" spans="1:7" ht="25.5" x14ac:dyDescent="0.2">
      <c r="A43" s="53">
        <v>39</v>
      </c>
      <c r="B43" s="54" t="s">
        <v>78</v>
      </c>
      <c r="C43" s="55" t="s">
        <v>79</v>
      </c>
      <c r="D43" s="56">
        <v>3</v>
      </c>
      <c r="E43" s="80">
        <v>688301.52500000002</v>
      </c>
      <c r="F43" s="57">
        <f t="shared" si="0"/>
        <v>2064904.5750000002</v>
      </c>
    </row>
    <row r="44" spans="1:7" x14ac:dyDescent="0.2">
      <c r="A44" s="53">
        <v>40</v>
      </c>
      <c r="B44" s="54" t="s">
        <v>80</v>
      </c>
      <c r="C44" s="55" t="s">
        <v>81</v>
      </c>
      <c r="D44" s="56">
        <v>3</v>
      </c>
      <c r="E44" s="80">
        <v>382047.875</v>
      </c>
      <c r="F44" s="57">
        <f t="shared" si="0"/>
        <v>1146143.625</v>
      </c>
    </row>
    <row r="45" spans="1:7" ht="63.75" x14ac:dyDescent="0.2">
      <c r="A45" s="53">
        <v>41</v>
      </c>
      <c r="B45" s="54" t="s">
        <v>82</v>
      </c>
      <c r="C45" s="55" t="s">
        <v>83</v>
      </c>
      <c r="D45" s="56">
        <v>3</v>
      </c>
      <c r="E45" s="80">
        <v>321596.32500000001</v>
      </c>
      <c r="F45" s="57">
        <f t="shared" si="0"/>
        <v>964788.97500000009</v>
      </c>
    </row>
    <row r="46" spans="1:7" x14ac:dyDescent="0.2">
      <c r="A46" s="53">
        <v>42</v>
      </c>
      <c r="B46" s="54" t="s">
        <v>84</v>
      </c>
      <c r="C46" s="55" t="s">
        <v>12</v>
      </c>
      <c r="D46" s="56">
        <v>3</v>
      </c>
      <c r="E46" s="80">
        <v>328216.375</v>
      </c>
      <c r="F46" s="57">
        <f t="shared" si="0"/>
        <v>984649.125</v>
      </c>
    </row>
    <row r="47" spans="1:7" x14ac:dyDescent="0.2">
      <c r="A47" s="53">
        <v>43</v>
      </c>
      <c r="B47" s="58" t="s">
        <v>85</v>
      </c>
      <c r="C47" s="58" t="s">
        <v>86</v>
      </c>
      <c r="D47" s="56">
        <v>3</v>
      </c>
      <c r="E47" s="80">
        <v>564169</v>
      </c>
      <c r="F47" s="57">
        <f t="shared" si="0"/>
        <v>1692507</v>
      </c>
    </row>
    <row r="48" spans="1:7" ht="25.5" x14ac:dyDescent="0.2">
      <c r="A48" s="53">
        <v>44</v>
      </c>
      <c r="B48" s="54" t="s">
        <v>87</v>
      </c>
      <c r="C48" s="55" t="s">
        <v>88</v>
      </c>
      <c r="D48" s="56">
        <v>3</v>
      </c>
      <c r="E48" s="80">
        <v>339612.75</v>
      </c>
      <c r="F48" s="57">
        <f t="shared" si="0"/>
        <v>1018838.25</v>
      </c>
    </row>
    <row r="49" spans="1:12" ht="38.25" x14ac:dyDescent="0.2">
      <c r="A49" s="53">
        <v>45</v>
      </c>
      <c r="B49" s="54" t="s">
        <v>89</v>
      </c>
      <c r="C49" s="58" t="s">
        <v>90</v>
      </c>
      <c r="D49" s="56">
        <v>3</v>
      </c>
      <c r="E49" s="80">
        <v>351502.02500000002</v>
      </c>
      <c r="F49" s="57">
        <f t="shared" si="0"/>
        <v>1054506.0750000002</v>
      </c>
    </row>
    <row r="50" spans="1:12" ht="51" x14ac:dyDescent="0.2">
      <c r="A50" s="53">
        <v>46</v>
      </c>
      <c r="B50" s="54" t="s">
        <v>91</v>
      </c>
      <c r="C50" s="55" t="s">
        <v>92</v>
      </c>
      <c r="D50" s="56">
        <v>3</v>
      </c>
      <c r="E50" s="80">
        <v>695486.55</v>
      </c>
      <c r="F50" s="57">
        <f t="shared" si="0"/>
        <v>2086459.6500000001</v>
      </c>
    </row>
    <row r="51" spans="1:12" ht="38.25" x14ac:dyDescent="0.2">
      <c r="A51" s="53">
        <v>47</v>
      </c>
      <c r="B51" s="54" t="s">
        <v>93</v>
      </c>
      <c r="C51" s="58" t="s">
        <v>94</v>
      </c>
      <c r="D51" s="56">
        <v>3</v>
      </c>
      <c r="E51" s="80">
        <v>550818.07500000007</v>
      </c>
      <c r="F51" s="57">
        <f t="shared" si="0"/>
        <v>1652454.2250000001</v>
      </c>
    </row>
    <row r="52" spans="1:12" ht="51" x14ac:dyDescent="0.2">
      <c r="A52" s="53">
        <v>48</v>
      </c>
      <c r="B52" s="54" t="s">
        <v>95</v>
      </c>
      <c r="C52" s="55" t="s">
        <v>96</v>
      </c>
      <c r="D52" s="56">
        <v>3</v>
      </c>
      <c r="E52" s="80">
        <v>315596.27500000002</v>
      </c>
      <c r="F52" s="57">
        <f t="shared" si="0"/>
        <v>946788.82500000007</v>
      </c>
    </row>
    <row r="53" spans="1:12" ht="38.25" x14ac:dyDescent="0.2">
      <c r="A53" s="53">
        <v>49</v>
      </c>
      <c r="B53" s="54" t="s">
        <v>97</v>
      </c>
      <c r="C53" s="58" t="s">
        <v>98</v>
      </c>
      <c r="D53" s="56">
        <v>3</v>
      </c>
      <c r="E53" s="80">
        <v>279906.75</v>
      </c>
      <c r="F53" s="57">
        <f t="shared" si="0"/>
        <v>839720.25</v>
      </c>
    </row>
    <row r="54" spans="1:12" ht="64.5" thickBot="1" x14ac:dyDescent="0.25">
      <c r="A54" s="60">
        <v>50</v>
      </c>
      <c r="B54" s="61" t="s">
        <v>99</v>
      </c>
      <c r="C54" s="62" t="s">
        <v>100</v>
      </c>
      <c r="D54" s="63">
        <v>3</v>
      </c>
      <c r="E54" s="81">
        <v>437470.45</v>
      </c>
      <c r="F54" s="64">
        <f t="shared" si="0"/>
        <v>1312411.3500000001</v>
      </c>
    </row>
    <row r="55" spans="1:12" ht="14.25" thickTop="1" thickBot="1" x14ac:dyDescent="0.25">
      <c r="A55" s="65"/>
      <c r="B55" s="66"/>
      <c r="C55" s="66"/>
      <c r="F55" s="67"/>
    </row>
    <row r="56" spans="1:12" ht="13.5" thickTop="1" x14ac:dyDescent="0.2">
      <c r="A56" s="65"/>
      <c r="B56" s="66"/>
      <c r="C56" s="66"/>
      <c r="E56" s="68" t="s">
        <v>101</v>
      </c>
      <c r="F56" s="69">
        <f>SUM(F5:F55)</f>
        <v>73887304.950000003</v>
      </c>
    </row>
    <row r="57" spans="1:12" x14ac:dyDescent="0.2">
      <c r="A57" s="65"/>
      <c r="B57" s="66"/>
      <c r="C57" s="66"/>
      <c r="E57" s="70" t="s">
        <v>102</v>
      </c>
      <c r="F57" s="71">
        <f>F56*0.16</f>
        <v>11821968.792000001</v>
      </c>
    </row>
    <row r="58" spans="1:12" ht="13.5" thickBot="1" x14ac:dyDescent="0.25">
      <c r="A58" s="65"/>
      <c r="B58" s="66"/>
      <c r="C58" s="66"/>
      <c r="E58" s="72" t="s">
        <v>103</v>
      </c>
      <c r="F58" s="73">
        <f>F56+F57</f>
        <v>85709273.741999999</v>
      </c>
    </row>
    <row r="59" spans="1:12" ht="13.5" thickTop="1" x14ac:dyDescent="0.2"/>
    <row r="60" spans="1:12" ht="67.5" customHeight="1" x14ac:dyDescent="0.2">
      <c r="A60" s="74" t="s">
        <v>104</v>
      </c>
      <c r="B60" s="144" t="s">
        <v>105</v>
      </c>
      <c r="C60" s="144"/>
      <c r="D60" s="144"/>
      <c r="E60" s="144"/>
      <c r="F60" s="144"/>
      <c r="G60" s="75"/>
      <c r="H60" s="75"/>
      <c r="I60" s="75"/>
      <c r="J60" s="75"/>
      <c r="K60" s="75"/>
      <c r="L60" s="75"/>
    </row>
    <row r="61" spans="1:12" x14ac:dyDescent="0.2">
      <c r="G61" s="76"/>
    </row>
    <row r="62" spans="1:12" x14ac:dyDescent="0.2">
      <c r="F62" s="77"/>
    </row>
    <row r="63" spans="1:12" x14ac:dyDescent="0.2">
      <c r="F63" s="78"/>
    </row>
    <row r="64" spans="1:12" x14ac:dyDescent="0.2">
      <c r="F64" s="77"/>
    </row>
  </sheetData>
  <autoFilter ref="B4:F4" xr:uid="{00000000-0009-0000-0000-000000000000}"/>
  <mergeCells count="4">
    <mergeCell ref="A1:F1"/>
    <mergeCell ref="A2:F2"/>
    <mergeCell ref="A3:F3"/>
    <mergeCell ref="B60:F60"/>
  </mergeCells>
  <printOptions horizontalCentered="1"/>
  <pageMargins left="0.59055118110236227" right="0.59055118110236227" top="0.55118110236220474" bottom="0.59055118110236227" header="0.31496062992125984" footer="0.19685039370078741"/>
  <pageSetup fitToHeight="0" orientation="portrait" horizontalDpi="4294967293" verticalDpi="4294967293" r:id="rId1"/>
  <headerFooter>
    <oddFooter>&amp;R&amp;P de &amp;N_x000D_&amp;1#&amp;"Calibri"&amp;10&amp;K000000 Información Pública</oddFooter>
  </headerFooter>
  <rowBreaks count="2" manualBreakCount="2">
    <brk id="22" max="4" man="1"/>
    <brk id="48"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271EA-3309-45F1-955F-BA244F234060}">
  <dimension ref="B1:U49"/>
  <sheetViews>
    <sheetView topLeftCell="A18" zoomScale="85" zoomScaleNormal="85" zoomScaleSheetLayoutView="100" workbookViewId="0">
      <selection activeCell="C20" sqref="C20"/>
    </sheetView>
  </sheetViews>
  <sheetFormatPr baseColWidth="10" defaultColWidth="11.42578125" defaultRowHeight="27" customHeight="1" x14ac:dyDescent="0.2"/>
  <cols>
    <col min="1" max="1" width="7.85546875" style="13" customWidth="1"/>
    <col min="2" max="2" width="10.7109375" style="103" customWidth="1"/>
    <col min="3" max="3" width="48.28515625" style="103" customWidth="1"/>
    <col min="4" max="4" width="11.28515625" style="103" customWidth="1"/>
    <col min="5" max="5" width="12.5703125" style="103" customWidth="1"/>
    <col min="6" max="7" width="14.85546875" style="103" hidden="1" customWidth="1"/>
    <col min="8" max="8" width="15.28515625" style="103" hidden="1" customWidth="1"/>
    <col min="9" max="9" width="13" style="103" hidden="1" customWidth="1"/>
    <col min="10" max="10" width="12.7109375" style="103" hidden="1" customWidth="1"/>
    <col min="11" max="11" width="13.85546875" style="103" hidden="1" customWidth="1"/>
    <col min="12" max="12" width="18.28515625" style="103" hidden="1" customWidth="1"/>
    <col min="13" max="13" width="14.85546875" style="103" hidden="1" customWidth="1"/>
    <col min="14" max="14" width="14.28515625" style="13" hidden="1" customWidth="1"/>
    <col min="15" max="15" width="13.140625" style="13" hidden="1" customWidth="1"/>
    <col min="16" max="16" width="13.28515625" style="13" hidden="1" customWidth="1"/>
    <col min="17" max="17" width="18.140625" style="13" hidden="1" customWidth="1"/>
    <col min="18" max="18" width="19.42578125" style="103" customWidth="1"/>
    <col min="19" max="20" width="11.42578125" style="13"/>
    <col min="21" max="21" width="12.5703125" style="13" bestFit="1" customWidth="1"/>
    <col min="22" max="16384" width="11.42578125" style="13"/>
  </cols>
  <sheetData>
    <row r="1" spans="2:21" ht="27" customHeight="1" thickBot="1" x14ac:dyDescent="0.25"/>
    <row r="2" spans="2:21" ht="80.25" customHeight="1" thickBot="1" x14ac:dyDescent="0.25">
      <c r="B2" s="127"/>
      <c r="C2" s="145" t="s">
        <v>209</v>
      </c>
      <c r="D2" s="146"/>
      <c r="E2" s="146"/>
      <c r="F2" s="146"/>
      <c r="G2" s="146"/>
      <c r="H2" s="146"/>
      <c r="I2" s="146"/>
      <c r="J2" s="146"/>
      <c r="K2" s="146"/>
      <c r="L2" s="146"/>
      <c r="M2" s="146"/>
      <c r="N2" s="146"/>
      <c r="O2" s="146"/>
      <c r="P2" s="146"/>
      <c r="Q2" s="146"/>
      <c r="R2" s="147"/>
    </row>
    <row r="3" spans="2:21" s="103" customFormat="1" ht="27" customHeight="1" x14ac:dyDescent="0.2">
      <c r="B3" s="106" t="s">
        <v>3</v>
      </c>
      <c r="C3" s="107" t="s">
        <v>106</v>
      </c>
      <c r="D3" s="107" t="s">
        <v>107</v>
      </c>
      <c r="E3" s="107" t="s">
        <v>108</v>
      </c>
      <c r="F3" s="107" t="s">
        <v>159</v>
      </c>
      <c r="G3" s="107" t="s">
        <v>160</v>
      </c>
      <c r="H3" s="107" t="s">
        <v>161</v>
      </c>
      <c r="I3" s="107" t="s">
        <v>111</v>
      </c>
      <c r="J3" s="107" t="s">
        <v>112</v>
      </c>
      <c r="K3" s="107" t="s">
        <v>113</v>
      </c>
      <c r="L3" s="107" t="s">
        <v>114</v>
      </c>
      <c r="M3" s="128" t="s">
        <v>162</v>
      </c>
      <c r="N3" s="128">
        <v>2021</v>
      </c>
      <c r="O3" s="128">
        <v>2022</v>
      </c>
      <c r="P3" s="128">
        <v>2023</v>
      </c>
      <c r="Q3" s="128"/>
      <c r="R3" s="128" t="s">
        <v>210</v>
      </c>
    </row>
    <row r="4" spans="2:21" ht="165.75" x14ac:dyDescent="0.2">
      <c r="B4" s="111">
        <v>1</v>
      </c>
      <c r="C4" s="123" t="str">
        <f>+'Estudio Mercado'!C3</f>
        <v>Evento 1: Día de la Niñez. Alquiler de centro recreativo que incluya, salón de eventos, sillas y mesas para niños y acompañantes, y piscina para niños (Que cuente con salvavidas), esta piscina debe cumplir con las características, normas de seguridad y demás exigencias establecidas por la ley, el establecimiento debe contar con plan de emergencias que incluya servicios de primeros auxilios, que permita contar con la atención de urgencias y emergencias, ante cualquier eventualidad de salud y seguridad de los asistentes a las actividades. El lugar para el desarrollo de esta actividad deberá ser previamente visitado y aprobado por el supervisor.</v>
      </c>
      <c r="D4" s="112">
        <v>1</v>
      </c>
      <c r="E4" s="112" t="s">
        <v>115</v>
      </c>
      <c r="F4" s="129">
        <v>86000</v>
      </c>
      <c r="G4" s="129">
        <v>83300</v>
      </c>
      <c r="H4" s="129">
        <v>103400</v>
      </c>
      <c r="I4" s="129">
        <f>STDEVA(F4:H4)</f>
        <v>10909.170454255447</v>
      </c>
      <c r="J4" s="129">
        <f>AVERAGE(F4:H4)</f>
        <v>90900</v>
      </c>
      <c r="K4" s="130">
        <f>+I4/J4</f>
        <v>0.12001287628443837</v>
      </c>
      <c r="L4" s="129">
        <f>ROUNDUP((GEOMEAN(F4,G4)),0)</f>
        <v>84640</v>
      </c>
      <c r="M4" s="129">
        <f>L4</f>
        <v>84640</v>
      </c>
      <c r="N4" s="131">
        <f>M4*5.62/100+M4</f>
        <v>89396.767999999996</v>
      </c>
      <c r="O4" s="131">
        <f>N4*13.12/100+N4</f>
        <v>101125.62396159999</v>
      </c>
      <c r="P4" s="131">
        <f>O4*9.28/100+O4</f>
        <v>110510.08186523647</v>
      </c>
      <c r="Q4" s="129">
        <f>P4*4.1/100+P4</f>
        <v>115040.99522171117</v>
      </c>
      <c r="R4" s="132">
        <f>+'Estudio Mercado'!L3</f>
        <v>45218</v>
      </c>
      <c r="T4" s="126"/>
      <c r="U4" s="126"/>
    </row>
    <row r="5" spans="2:21" ht="153" x14ac:dyDescent="0.2">
      <c r="B5" s="111">
        <v>2</v>
      </c>
      <c r="C5" s="123" t="str">
        <f>+'Estudio Mercado'!C4</f>
        <v>Evento 1: Día de la Niñez. Tarde recreativa que incluya decoración del lugar, decoración para punto fotos, con personajes infantiles, sonido (Dos monitores de 600rms de potencia, uno externo y uno para monitoreo, con amplificación interna, dos bajos dobles de 18 pulgadas con sistema activo con amplificación interna, 3 piañas con micrófono), servicio de 10 recreacionistas para que realicen actividades de recreación dirigida, globoflexia, 3 personajes animados temáticos, show de payasos, inflable, saltarín, gimnasio para niños, con ejercicios de estimulación y desarrollo de la motricidad gruesa, figuras en origami, pintura, manualidades, entre otras.</v>
      </c>
      <c r="D5" s="112">
        <v>1</v>
      </c>
      <c r="E5" s="112" t="s">
        <v>115</v>
      </c>
      <c r="F5" s="129">
        <v>66000</v>
      </c>
      <c r="G5" s="129">
        <v>83300</v>
      </c>
      <c r="H5" s="129">
        <v>72900</v>
      </c>
      <c r="I5" s="129">
        <f>STDEVA(F5:H5)</f>
        <v>8708.8078020664434</v>
      </c>
      <c r="J5" s="129">
        <f>AVERAGE(F5:H5)</f>
        <v>74066.666666666672</v>
      </c>
      <c r="K5" s="130">
        <f t="shared" ref="K5:K6" si="0">+I5/J5</f>
        <v>0.1175806633942364</v>
      </c>
      <c r="L5" s="129">
        <f>ROUNDUP((GEOMEAN(F5,G5)),0)</f>
        <v>74148</v>
      </c>
      <c r="M5" s="129">
        <f t="shared" ref="M5:M6" si="1">L5</f>
        <v>74148</v>
      </c>
      <c r="N5" s="131">
        <f t="shared" ref="N5:N6" si="2">M5*5.62/100+M5</f>
        <v>78315.117599999998</v>
      </c>
      <c r="O5" s="131">
        <f>N5*13.12/100+N5</f>
        <v>88590.061029119999</v>
      </c>
      <c r="P5" s="131">
        <f t="shared" ref="P5:P6" si="3">O5*9.28/100+O5</f>
        <v>96811.218692622337</v>
      </c>
      <c r="Q5" s="129">
        <f>P5*4.1/100+P5</f>
        <v>100780.47865901985</v>
      </c>
      <c r="R5" s="132">
        <f>+'Estudio Mercado'!L4</f>
        <v>43637</v>
      </c>
    </row>
    <row r="6" spans="2:21" ht="76.5" x14ac:dyDescent="0.2">
      <c r="B6" s="111">
        <v>3</v>
      </c>
      <c r="C6" s="123" t="str">
        <f>+'Estudio Mercado'!C5</f>
        <v>Evento 1: Día de la Niñez. Suministro complemento nutricional compuesto por: 1 ensalada de frutas de 12 onzas que incluya fruta picada, queso rallado, crema de leche y 50 gr de helado, 1 Hot Dog, 1 Jugo en empaque Tetrapak. Todo debidamente empacado utilizando normas de salubridad.</v>
      </c>
      <c r="D6" s="112">
        <v>1</v>
      </c>
      <c r="E6" s="112" t="s">
        <v>115</v>
      </c>
      <c r="F6" s="129">
        <v>66000</v>
      </c>
      <c r="G6" s="129">
        <v>83300</v>
      </c>
      <c r="H6" s="129">
        <v>72900</v>
      </c>
      <c r="I6" s="129">
        <f>STDEVA(F6:H6)</f>
        <v>8708.8078020664434</v>
      </c>
      <c r="J6" s="129">
        <f>AVERAGE(F6:H6)</f>
        <v>74066.666666666672</v>
      </c>
      <c r="K6" s="130">
        <f t="shared" si="0"/>
        <v>0.1175806633942364</v>
      </c>
      <c r="L6" s="129">
        <f>ROUNDUP((GEOMEAN(F6,G6)),0)</f>
        <v>74148</v>
      </c>
      <c r="M6" s="129">
        <f t="shared" si="1"/>
        <v>74148</v>
      </c>
      <c r="N6" s="131">
        <f t="shared" si="2"/>
        <v>78315.117599999998</v>
      </c>
      <c r="O6" s="131">
        <f t="shared" ref="O6" si="4">N6*13.12/100+N6</f>
        <v>88590.061029119999</v>
      </c>
      <c r="P6" s="131">
        <f t="shared" si="3"/>
        <v>96811.218692622337</v>
      </c>
      <c r="Q6" s="129">
        <f>P6*4.1/100+P6</f>
        <v>100780.47865901985</v>
      </c>
      <c r="R6" s="132">
        <f>+'Estudio Mercado'!L5</f>
        <v>25264</v>
      </c>
    </row>
    <row r="7" spans="2:21" ht="38.25" x14ac:dyDescent="0.2">
      <c r="B7" s="111">
        <v>4</v>
      </c>
      <c r="C7" s="123" t="str">
        <f>+'Estudio Mercado'!C6</f>
        <v>Evento 1: Día de la Niñez. Suministro de hidratación a través de un punto de hidratación con bebida saborizada durante todo el evento.</v>
      </c>
      <c r="D7" s="112">
        <v>1</v>
      </c>
      <c r="E7" s="112" t="s">
        <v>115</v>
      </c>
      <c r="F7" s="129">
        <v>66000</v>
      </c>
      <c r="G7" s="129">
        <v>83300</v>
      </c>
      <c r="H7" s="129">
        <v>72900</v>
      </c>
      <c r="I7" s="129">
        <f t="shared" ref="I7:I49" si="5">STDEVA(F7:H7)</f>
        <v>8708.8078020664434</v>
      </c>
      <c r="J7" s="129">
        <f t="shared" ref="J7:J49" si="6">AVERAGE(F7:H7)</f>
        <v>74066.666666666672</v>
      </c>
      <c r="K7" s="130">
        <f t="shared" ref="K7:K49" si="7">+I7/J7</f>
        <v>0.1175806633942364</v>
      </c>
      <c r="L7" s="129">
        <f t="shared" ref="L7:L49" si="8">ROUNDUP((GEOMEAN(F7,G7)),0)</f>
        <v>74148</v>
      </c>
      <c r="M7" s="129">
        <f t="shared" ref="M7:M49" si="9">L7</f>
        <v>74148</v>
      </c>
      <c r="N7" s="131">
        <f t="shared" ref="N7:N49" si="10">M7*5.62/100+M7</f>
        <v>78315.117599999998</v>
      </c>
      <c r="O7" s="131">
        <f t="shared" ref="O7:O49" si="11">N7*13.12/100+N7</f>
        <v>88590.061029119999</v>
      </c>
      <c r="P7" s="131">
        <f t="shared" ref="P7:P49" si="12">O7*9.28/100+O7</f>
        <v>96811.218692622337</v>
      </c>
      <c r="Q7" s="129">
        <f t="shared" ref="Q7:Q49" si="13">P7*4.1/100+P7</f>
        <v>100780.47865901985</v>
      </c>
      <c r="R7" s="132">
        <f>+'Estudio Mercado'!L6</f>
        <v>4676</v>
      </c>
    </row>
    <row r="8" spans="2:21" ht="38.25" x14ac:dyDescent="0.2">
      <c r="B8" s="111">
        <v>5</v>
      </c>
      <c r="C8" s="123" t="str">
        <f>+'Estudio Mercado'!C7</f>
        <v>Evento 1: Día de la Niñez. Suministro de estación de algodonera y crispetera con su respetivo operario durante todo el evento.</v>
      </c>
      <c r="D8" s="112">
        <v>1</v>
      </c>
      <c r="E8" s="112" t="s">
        <v>115</v>
      </c>
      <c r="F8" s="129">
        <v>66000</v>
      </c>
      <c r="G8" s="129">
        <v>83300</v>
      </c>
      <c r="H8" s="129">
        <v>72900</v>
      </c>
      <c r="I8" s="129">
        <f t="shared" si="5"/>
        <v>8708.8078020664434</v>
      </c>
      <c r="J8" s="129">
        <f t="shared" si="6"/>
        <v>74066.666666666672</v>
      </c>
      <c r="K8" s="130">
        <f t="shared" si="7"/>
        <v>0.1175806633942364</v>
      </c>
      <c r="L8" s="129">
        <f t="shared" si="8"/>
        <v>74148</v>
      </c>
      <c r="M8" s="129">
        <f t="shared" si="9"/>
        <v>74148</v>
      </c>
      <c r="N8" s="131">
        <f t="shared" si="10"/>
        <v>78315.117599999998</v>
      </c>
      <c r="O8" s="131">
        <f t="shared" si="11"/>
        <v>88590.061029119999</v>
      </c>
      <c r="P8" s="131">
        <f t="shared" si="12"/>
        <v>96811.218692622337</v>
      </c>
      <c r="Q8" s="129">
        <f t="shared" si="13"/>
        <v>100780.47865901985</v>
      </c>
      <c r="R8" s="132">
        <f>+'Estudio Mercado'!L7</f>
        <v>4170</v>
      </c>
    </row>
    <row r="9" spans="2:21" ht="51" x14ac:dyDescent="0.2">
      <c r="B9" s="111">
        <v>6</v>
      </c>
      <c r="C9" s="123" t="str">
        <f>+'Estudio Mercado'!C8</f>
        <v>Evento 1: Día de la Niñez. Suministro de obsequio y/o juguetes didácticos a cada uno de los niños asistentes, según edad y género, debidamente empacado y marcado con su respectivo nombre.</v>
      </c>
      <c r="D9" s="112">
        <v>1</v>
      </c>
      <c r="E9" s="112" t="s">
        <v>115</v>
      </c>
      <c r="F9" s="129">
        <v>66000</v>
      </c>
      <c r="G9" s="129">
        <v>83300</v>
      </c>
      <c r="H9" s="129">
        <v>72900</v>
      </c>
      <c r="I9" s="129">
        <f t="shared" si="5"/>
        <v>8708.8078020664434</v>
      </c>
      <c r="J9" s="129">
        <f t="shared" si="6"/>
        <v>74066.666666666672</v>
      </c>
      <c r="K9" s="130">
        <f t="shared" si="7"/>
        <v>0.1175806633942364</v>
      </c>
      <c r="L9" s="129">
        <f t="shared" si="8"/>
        <v>74148</v>
      </c>
      <c r="M9" s="129">
        <f t="shared" si="9"/>
        <v>74148</v>
      </c>
      <c r="N9" s="131">
        <f t="shared" si="10"/>
        <v>78315.117599999998</v>
      </c>
      <c r="O9" s="131">
        <f t="shared" si="11"/>
        <v>88590.061029119999</v>
      </c>
      <c r="P9" s="131">
        <f t="shared" si="12"/>
        <v>96811.218692622337</v>
      </c>
      <c r="Q9" s="129">
        <f t="shared" si="13"/>
        <v>100780.47865901985</v>
      </c>
      <c r="R9" s="132">
        <f>+'Estudio Mercado'!L8</f>
        <v>26250</v>
      </c>
    </row>
    <row r="10" spans="2:21" ht="140.25" x14ac:dyDescent="0.2">
      <c r="B10" s="111">
        <v>7</v>
      </c>
      <c r="C10" s="123" t="str">
        <f>+'Estudio Mercado'!C9</f>
        <v>Evento 2: Día de la Madre en Familia. Alquiler de centro recreativo que incluya, salón de eventos, sillas y mesas, decoración, sonido  (Dos monitores de 600rms de potencia, uno externo y uno para monitoreo, con amplificación interna, dos bajos dobles de 18 pulgadas con sistema activo con amplificación interna, 3 piñas con micrófono) piscina para niños, piscina para adultos (deben contar con 2 salvavidas), estas piscinas deben cumplir con las características, normas de seguridad y demás exigencias establecidas por la ley, instalación física para practicar algún deporte.</v>
      </c>
      <c r="D10" s="112">
        <v>1</v>
      </c>
      <c r="E10" s="112" t="s">
        <v>115</v>
      </c>
      <c r="F10" s="129">
        <v>66000</v>
      </c>
      <c r="G10" s="129">
        <v>83300</v>
      </c>
      <c r="H10" s="129">
        <v>72900</v>
      </c>
      <c r="I10" s="129">
        <f t="shared" si="5"/>
        <v>8708.8078020664434</v>
      </c>
      <c r="J10" s="129">
        <f t="shared" si="6"/>
        <v>74066.666666666672</v>
      </c>
      <c r="K10" s="130">
        <f t="shared" si="7"/>
        <v>0.1175806633942364</v>
      </c>
      <c r="L10" s="129">
        <f t="shared" si="8"/>
        <v>74148</v>
      </c>
      <c r="M10" s="129">
        <f t="shared" si="9"/>
        <v>74148</v>
      </c>
      <c r="N10" s="131">
        <f t="shared" si="10"/>
        <v>78315.117599999998</v>
      </c>
      <c r="O10" s="131">
        <f t="shared" si="11"/>
        <v>88590.061029119999</v>
      </c>
      <c r="P10" s="131">
        <f t="shared" si="12"/>
        <v>96811.218692622337</v>
      </c>
      <c r="Q10" s="129">
        <f t="shared" si="13"/>
        <v>100780.47865901985</v>
      </c>
      <c r="R10" s="132">
        <f>+'Estudio Mercado'!L9</f>
        <v>18200</v>
      </c>
    </row>
    <row r="11" spans="2:21" ht="140.25" x14ac:dyDescent="0.2">
      <c r="B11" s="111">
        <v>8</v>
      </c>
      <c r="C11" s="123" t="str">
        <f>+'Estudio Mercado'!C10</f>
        <v>Evento 2: Día de la Madre en Familia. Actividades de la familia que incluya encostalados, Pruebas de equilibrio, Pruebas de destreza, futbol, voleibol, Carreras   y dos atracciones o dispositivos de entretenimiento, el establecimiento debe contar con plan de emergencias que incluya servicios de primeros auxilios, que permita contar con la atención de urgencias y emergencias, ante cualquier eventualidad de salud y seguridad de los asistentes a las actividades. El lugar para el desarrollo de esta actividad deberá ser previamente visitado y aprobado por el supervisor.</v>
      </c>
      <c r="D11" s="112">
        <v>1</v>
      </c>
      <c r="E11" s="112" t="s">
        <v>115</v>
      </c>
      <c r="F11" s="129">
        <v>66000</v>
      </c>
      <c r="G11" s="129">
        <v>83300</v>
      </c>
      <c r="H11" s="129">
        <v>72900</v>
      </c>
      <c r="I11" s="129">
        <f t="shared" si="5"/>
        <v>8708.8078020664434</v>
      </c>
      <c r="J11" s="129">
        <f t="shared" si="6"/>
        <v>74066.666666666672</v>
      </c>
      <c r="K11" s="130">
        <f t="shared" si="7"/>
        <v>0.1175806633942364</v>
      </c>
      <c r="L11" s="129">
        <f t="shared" si="8"/>
        <v>74148</v>
      </c>
      <c r="M11" s="129">
        <f t="shared" si="9"/>
        <v>74148</v>
      </c>
      <c r="N11" s="131">
        <f t="shared" si="10"/>
        <v>78315.117599999998</v>
      </c>
      <c r="O11" s="131">
        <f t="shared" si="11"/>
        <v>88590.061029119999</v>
      </c>
      <c r="P11" s="131">
        <f t="shared" si="12"/>
        <v>96811.218692622337</v>
      </c>
      <c r="Q11" s="129">
        <f t="shared" si="13"/>
        <v>100780.47865901985</v>
      </c>
      <c r="R11" s="132">
        <f>+'Estudio Mercado'!L10</f>
        <v>24000</v>
      </c>
    </row>
    <row r="12" spans="2:21" ht="51" x14ac:dyDescent="0.2">
      <c r="B12" s="111">
        <v>9</v>
      </c>
      <c r="C12" s="123" t="str">
        <f>+'Estudio Mercado'!C11</f>
        <v xml:space="preserve">Evento 2: Día de la Madre en Familia. Suministro  de servicio de alimentación que incluya lo siguiente: - Refrigerios en horas de la mañana: jugo natural, creps de pollo y papas a la francesa. </v>
      </c>
      <c r="D12" s="112">
        <v>1</v>
      </c>
      <c r="E12" s="112" t="s">
        <v>115</v>
      </c>
      <c r="F12" s="129">
        <v>66000</v>
      </c>
      <c r="G12" s="129">
        <v>83300</v>
      </c>
      <c r="H12" s="129">
        <v>72900</v>
      </c>
      <c r="I12" s="129">
        <f t="shared" si="5"/>
        <v>8708.8078020664434</v>
      </c>
      <c r="J12" s="129">
        <f t="shared" si="6"/>
        <v>74066.666666666672</v>
      </c>
      <c r="K12" s="130">
        <f t="shared" si="7"/>
        <v>0.1175806633942364</v>
      </c>
      <c r="L12" s="129">
        <f t="shared" si="8"/>
        <v>74148</v>
      </c>
      <c r="M12" s="129">
        <f t="shared" si="9"/>
        <v>74148</v>
      </c>
      <c r="N12" s="131">
        <f t="shared" si="10"/>
        <v>78315.117599999998</v>
      </c>
      <c r="O12" s="131">
        <f t="shared" si="11"/>
        <v>88590.061029119999</v>
      </c>
      <c r="P12" s="131">
        <f t="shared" si="12"/>
        <v>96811.218692622337</v>
      </c>
      <c r="Q12" s="129">
        <f t="shared" si="13"/>
        <v>100780.47865901985</v>
      </c>
      <c r="R12" s="132">
        <f>+'Estudio Mercado'!L11</f>
        <v>23850</v>
      </c>
    </row>
    <row r="13" spans="2:21" ht="63.75" x14ac:dyDescent="0.2">
      <c r="B13" s="111">
        <v>10</v>
      </c>
      <c r="C13" s="123" t="str">
        <f>+'Estudio Mercado'!C12</f>
        <v>Evento 2: Día de la Madre en Familia. Suministro de Refrigerios en horas de la tarde: Hamburguesa de patacón con carne de res molida 200 gr en crudo, queso, vegetales frescos, papa a la francesa y bebida carbonatada por persona.</v>
      </c>
      <c r="D13" s="112">
        <v>1</v>
      </c>
      <c r="E13" s="112" t="s">
        <v>115</v>
      </c>
      <c r="F13" s="129">
        <v>66000</v>
      </c>
      <c r="G13" s="129">
        <v>83300</v>
      </c>
      <c r="H13" s="129">
        <v>72900</v>
      </c>
      <c r="I13" s="129">
        <f t="shared" si="5"/>
        <v>8708.8078020664434</v>
      </c>
      <c r="J13" s="129">
        <f t="shared" si="6"/>
        <v>74066.666666666672</v>
      </c>
      <c r="K13" s="130">
        <f t="shared" si="7"/>
        <v>0.1175806633942364</v>
      </c>
      <c r="L13" s="129">
        <f t="shared" si="8"/>
        <v>74148</v>
      </c>
      <c r="M13" s="129">
        <f t="shared" si="9"/>
        <v>74148</v>
      </c>
      <c r="N13" s="131">
        <f t="shared" si="10"/>
        <v>78315.117599999998</v>
      </c>
      <c r="O13" s="131">
        <f t="shared" si="11"/>
        <v>88590.061029119999</v>
      </c>
      <c r="P13" s="131">
        <f t="shared" si="12"/>
        <v>96811.218692622337</v>
      </c>
      <c r="Q13" s="129">
        <f t="shared" si="13"/>
        <v>100780.47865901985</v>
      </c>
      <c r="R13" s="132">
        <f>+'Estudio Mercado'!L12</f>
        <v>22393</v>
      </c>
    </row>
    <row r="14" spans="2:21" ht="76.5" x14ac:dyDescent="0.2">
      <c r="B14" s="111">
        <v>11</v>
      </c>
      <c r="C14" s="123" t="str">
        <f>+'Estudio Mercado'!C13</f>
        <v>Evento 2: Día de la Madre en Familia. Suministro de Almuerzos tipo parrilla para adultos: Este debe incluir proteína (150 gr de carne, 150 gr de pollo, 150 gr de cerdo, 80 gr de chorizo, peso en crudo), guacamole, papa criolla frita, maduro asado con queso, jugo y postre, por persona.</v>
      </c>
      <c r="D14" s="112">
        <v>1</v>
      </c>
      <c r="E14" s="112" t="s">
        <v>115</v>
      </c>
      <c r="F14" s="129">
        <v>66000</v>
      </c>
      <c r="G14" s="129">
        <v>83300</v>
      </c>
      <c r="H14" s="129">
        <v>72900</v>
      </c>
      <c r="I14" s="129">
        <f t="shared" si="5"/>
        <v>8708.8078020664434</v>
      </c>
      <c r="J14" s="129">
        <f t="shared" si="6"/>
        <v>74066.666666666672</v>
      </c>
      <c r="K14" s="130">
        <f t="shared" si="7"/>
        <v>0.1175806633942364</v>
      </c>
      <c r="L14" s="129">
        <f t="shared" si="8"/>
        <v>74148</v>
      </c>
      <c r="M14" s="129">
        <f t="shared" si="9"/>
        <v>74148</v>
      </c>
      <c r="N14" s="131">
        <f t="shared" si="10"/>
        <v>78315.117599999998</v>
      </c>
      <c r="O14" s="131">
        <f t="shared" si="11"/>
        <v>88590.061029119999</v>
      </c>
      <c r="P14" s="131">
        <f t="shared" si="12"/>
        <v>96811.218692622337</v>
      </c>
      <c r="Q14" s="129">
        <f t="shared" si="13"/>
        <v>100780.47865901985</v>
      </c>
      <c r="R14" s="132">
        <f>+'Estudio Mercado'!L13</f>
        <v>37174</v>
      </c>
    </row>
    <row r="15" spans="2:21" ht="76.5" x14ac:dyDescent="0.2">
      <c r="B15" s="111">
        <v>12</v>
      </c>
      <c r="C15" s="123" t="str">
        <f>+'Estudio Mercado'!C14</f>
        <v>Evento 2: Día de la Madre en Familia. Suministro de Almuerzos tipo parrilla para niños: este debe incluir proteína (100 gr de carne, 100 gr de pollo, 100 gr de cerdo, 80 gr de chorizo, peso en crudo), guacamole, papa criolla frita, maduro asado con queso, jugo y postre, por persona.</v>
      </c>
      <c r="D15" s="112">
        <v>1</v>
      </c>
      <c r="E15" s="112" t="s">
        <v>115</v>
      </c>
      <c r="F15" s="129">
        <v>66000</v>
      </c>
      <c r="G15" s="129">
        <v>83300</v>
      </c>
      <c r="H15" s="129">
        <v>72900</v>
      </c>
      <c r="I15" s="129">
        <f t="shared" si="5"/>
        <v>8708.8078020664434</v>
      </c>
      <c r="J15" s="129">
        <f t="shared" si="6"/>
        <v>74066.666666666672</v>
      </c>
      <c r="K15" s="130">
        <f t="shared" si="7"/>
        <v>0.1175806633942364</v>
      </c>
      <c r="L15" s="129">
        <f t="shared" si="8"/>
        <v>74148</v>
      </c>
      <c r="M15" s="129">
        <f t="shared" si="9"/>
        <v>74148</v>
      </c>
      <c r="N15" s="131">
        <f t="shared" si="10"/>
        <v>78315.117599999998</v>
      </c>
      <c r="O15" s="131">
        <f t="shared" si="11"/>
        <v>88590.061029119999</v>
      </c>
      <c r="P15" s="131">
        <f t="shared" si="12"/>
        <v>96811.218692622337</v>
      </c>
      <c r="Q15" s="129">
        <f t="shared" si="13"/>
        <v>100780.47865901985</v>
      </c>
      <c r="R15" s="132">
        <f>+'Estudio Mercado'!L14</f>
        <v>32942</v>
      </c>
    </row>
    <row r="16" spans="2:21" ht="38.25" x14ac:dyDescent="0.2">
      <c r="B16" s="111">
        <v>13</v>
      </c>
      <c r="C16" s="123" t="str">
        <f>+'Estudio Mercado'!C15</f>
        <v>Evento 2: Día de la Madre en Familia. Suministro de hidratación a través de un punto de hidratación con bebida saborizada durante todo el evento.</v>
      </c>
      <c r="D16" s="112">
        <v>1</v>
      </c>
      <c r="E16" s="112" t="s">
        <v>115</v>
      </c>
      <c r="F16" s="129">
        <v>66000</v>
      </c>
      <c r="G16" s="129">
        <v>83300</v>
      </c>
      <c r="H16" s="129">
        <v>72900</v>
      </c>
      <c r="I16" s="129">
        <f t="shared" si="5"/>
        <v>8708.8078020664434</v>
      </c>
      <c r="J16" s="129">
        <f t="shared" si="6"/>
        <v>74066.666666666672</v>
      </c>
      <c r="K16" s="130">
        <f t="shared" si="7"/>
        <v>0.1175806633942364</v>
      </c>
      <c r="L16" s="129">
        <f t="shared" si="8"/>
        <v>74148</v>
      </c>
      <c r="M16" s="129">
        <f t="shared" si="9"/>
        <v>74148</v>
      </c>
      <c r="N16" s="131">
        <f t="shared" si="10"/>
        <v>78315.117599999998</v>
      </c>
      <c r="O16" s="131">
        <f t="shared" si="11"/>
        <v>88590.061029119999</v>
      </c>
      <c r="P16" s="131">
        <f t="shared" si="12"/>
        <v>96811.218692622337</v>
      </c>
      <c r="Q16" s="129">
        <f t="shared" si="13"/>
        <v>100780.47865901985</v>
      </c>
      <c r="R16" s="132">
        <f>+'Estudio Mercado'!L15</f>
        <v>2619</v>
      </c>
    </row>
    <row r="17" spans="2:18" ht="38.25" x14ac:dyDescent="0.2">
      <c r="B17" s="111">
        <v>14</v>
      </c>
      <c r="C17" s="123" t="str">
        <f>+'Estudio Mercado'!C16</f>
        <v>Evento 2: Día de la Madre en Familia. Suministro de una estación de café, café con leche, aromática y té durante el desarrollo del evento.</v>
      </c>
      <c r="D17" s="112">
        <v>1</v>
      </c>
      <c r="E17" s="112" t="s">
        <v>115</v>
      </c>
      <c r="F17" s="129">
        <v>66000</v>
      </c>
      <c r="G17" s="129">
        <v>83300</v>
      </c>
      <c r="H17" s="129">
        <v>72900</v>
      </c>
      <c r="I17" s="129">
        <f t="shared" si="5"/>
        <v>8708.8078020664434</v>
      </c>
      <c r="J17" s="129">
        <f t="shared" si="6"/>
        <v>74066.666666666672</v>
      </c>
      <c r="K17" s="130">
        <f t="shared" si="7"/>
        <v>0.1175806633942364</v>
      </c>
      <c r="L17" s="129">
        <f t="shared" si="8"/>
        <v>74148</v>
      </c>
      <c r="M17" s="129">
        <f t="shared" si="9"/>
        <v>74148</v>
      </c>
      <c r="N17" s="131">
        <f t="shared" si="10"/>
        <v>78315.117599999998</v>
      </c>
      <c r="O17" s="131">
        <f t="shared" si="11"/>
        <v>88590.061029119999</v>
      </c>
      <c r="P17" s="131">
        <f t="shared" si="12"/>
        <v>96811.218692622337</v>
      </c>
      <c r="Q17" s="129">
        <f t="shared" si="13"/>
        <v>100780.47865901985</v>
      </c>
      <c r="R17" s="132">
        <f>+'Estudio Mercado'!L16</f>
        <v>3200</v>
      </c>
    </row>
    <row r="18" spans="2:18" ht="38.25" x14ac:dyDescent="0.2">
      <c r="B18" s="111">
        <v>15</v>
      </c>
      <c r="C18" s="123" t="str">
        <f>+'Estudio Mercado'!C17</f>
        <v>Evento 2: Día de la Madre en Familia. Suministro de estación de algodonera y crispetera con su respetivo operario durante todo el evento.</v>
      </c>
      <c r="D18" s="112">
        <v>1</v>
      </c>
      <c r="E18" s="112" t="s">
        <v>115</v>
      </c>
      <c r="F18" s="129">
        <v>66000</v>
      </c>
      <c r="G18" s="129">
        <v>83300</v>
      </c>
      <c r="H18" s="129">
        <v>72900</v>
      </c>
      <c r="I18" s="129">
        <f t="shared" si="5"/>
        <v>8708.8078020664434</v>
      </c>
      <c r="J18" s="129">
        <f t="shared" si="6"/>
        <v>74066.666666666672</v>
      </c>
      <c r="K18" s="130">
        <f t="shared" si="7"/>
        <v>0.1175806633942364</v>
      </c>
      <c r="L18" s="129">
        <f t="shared" si="8"/>
        <v>74148</v>
      </c>
      <c r="M18" s="129">
        <f t="shared" si="9"/>
        <v>74148</v>
      </c>
      <c r="N18" s="131">
        <f t="shared" si="10"/>
        <v>78315.117599999998</v>
      </c>
      <c r="O18" s="131">
        <f t="shared" si="11"/>
        <v>88590.061029119999</v>
      </c>
      <c r="P18" s="131">
        <f t="shared" si="12"/>
        <v>96811.218692622337</v>
      </c>
      <c r="Q18" s="129">
        <f t="shared" si="13"/>
        <v>100780.47865901985</v>
      </c>
      <c r="R18" s="132">
        <f>+'Estudio Mercado'!L17</f>
        <v>4898</v>
      </c>
    </row>
    <row r="19" spans="2:18" ht="114.75" x14ac:dyDescent="0.2">
      <c r="B19" s="111">
        <v>16</v>
      </c>
      <c r="C19" s="123" t="str">
        <f>+'Estudio Mercado'!C18</f>
        <v>Evento 2: Día de la Madre en Familia. En el transcurso de la jornada se deben desarrollar las siguientes actividades:
-Actividades recreativas dirigidas a los funcionarios y sus familias. 
-Bingo bailable que incluya la entrega de 5 premios. 
-Se debe garantizar el personal requerido, animador del evento, 10 recreacionistas y elementos necesarios para el desarrollo de la actividad.</v>
      </c>
      <c r="D19" s="112">
        <v>1</v>
      </c>
      <c r="E19" s="112" t="s">
        <v>115</v>
      </c>
      <c r="F19" s="129">
        <v>66000</v>
      </c>
      <c r="G19" s="129">
        <v>83300</v>
      </c>
      <c r="H19" s="129">
        <v>72900</v>
      </c>
      <c r="I19" s="129">
        <f t="shared" si="5"/>
        <v>8708.8078020664434</v>
      </c>
      <c r="J19" s="129">
        <f t="shared" si="6"/>
        <v>74066.666666666672</v>
      </c>
      <c r="K19" s="130">
        <f t="shared" si="7"/>
        <v>0.1175806633942364</v>
      </c>
      <c r="L19" s="129">
        <f t="shared" si="8"/>
        <v>74148</v>
      </c>
      <c r="M19" s="129">
        <f t="shared" si="9"/>
        <v>74148</v>
      </c>
      <c r="N19" s="131">
        <f t="shared" si="10"/>
        <v>78315.117599999998</v>
      </c>
      <c r="O19" s="131">
        <f t="shared" si="11"/>
        <v>88590.061029119999</v>
      </c>
      <c r="P19" s="131">
        <f t="shared" si="12"/>
        <v>96811.218692622337</v>
      </c>
      <c r="Q19" s="129">
        <f t="shared" si="13"/>
        <v>100780.47865901985</v>
      </c>
      <c r="R19" s="132">
        <f>+'Estudio Mercado'!L18</f>
        <v>18240</v>
      </c>
    </row>
    <row r="20" spans="2:18" ht="25.5" x14ac:dyDescent="0.2">
      <c r="B20" s="111">
        <v>17</v>
      </c>
      <c r="C20" s="123" t="str">
        <f>+'Estudio Mercado'!C19</f>
        <v>Evento 2: Día de la Madre en Familia. Espectáculo musical por 1 hora.</v>
      </c>
      <c r="D20" s="112">
        <v>1</v>
      </c>
      <c r="E20" s="112" t="s">
        <v>115</v>
      </c>
      <c r="F20" s="129">
        <v>66000</v>
      </c>
      <c r="G20" s="129">
        <v>83300</v>
      </c>
      <c r="H20" s="129">
        <v>72900</v>
      </c>
      <c r="I20" s="129">
        <f t="shared" si="5"/>
        <v>8708.8078020664434</v>
      </c>
      <c r="J20" s="129">
        <f t="shared" si="6"/>
        <v>74066.666666666672</v>
      </c>
      <c r="K20" s="130">
        <f t="shared" si="7"/>
        <v>0.1175806633942364</v>
      </c>
      <c r="L20" s="129">
        <f t="shared" si="8"/>
        <v>74148</v>
      </c>
      <c r="M20" s="129">
        <f t="shared" si="9"/>
        <v>74148</v>
      </c>
      <c r="N20" s="131">
        <f t="shared" si="10"/>
        <v>78315.117599999998</v>
      </c>
      <c r="O20" s="131">
        <f t="shared" si="11"/>
        <v>88590.061029119999</v>
      </c>
      <c r="P20" s="131">
        <f t="shared" si="12"/>
        <v>96811.218692622337</v>
      </c>
      <c r="Q20" s="129">
        <f t="shared" si="13"/>
        <v>100780.47865901985</v>
      </c>
      <c r="R20" s="132">
        <f>+'Estudio Mercado'!L19</f>
        <v>6858</v>
      </c>
    </row>
    <row r="21" spans="2:18" ht="51" x14ac:dyDescent="0.2">
      <c r="B21" s="111">
        <v>18</v>
      </c>
      <c r="C21" s="123" t="str">
        <f>+'Estudio Mercado'!C20</f>
        <v>Evento 2: Día de la Madre en Familia. Actividad de pintura de alcancías en cerámica. Incluye instructor, elementos y materiales necesarios para el desarrollo de la actividad.</v>
      </c>
      <c r="D21" s="112">
        <v>1</v>
      </c>
      <c r="E21" s="112" t="s">
        <v>115</v>
      </c>
      <c r="F21" s="129">
        <v>66000</v>
      </c>
      <c r="G21" s="129">
        <v>83300</v>
      </c>
      <c r="H21" s="129">
        <v>72900</v>
      </c>
      <c r="I21" s="129">
        <f t="shared" si="5"/>
        <v>8708.8078020664434</v>
      </c>
      <c r="J21" s="129">
        <f t="shared" si="6"/>
        <v>74066.666666666672</v>
      </c>
      <c r="K21" s="130">
        <f t="shared" si="7"/>
        <v>0.1175806633942364</v>
      </c>
      <c r="L21" s="129">
        <f t="shared" si="8"/>
        <v>74148</v>
      </c>
      <c r="M21" s="129">
        <f t="shared" si="9"/>
        <v>74148</v>
      </c>
      <c r="N21" s="131">
        <f t="shared" si="10"/>
        <v>78315.117599999998</v>
      </c>
      <c r="O21" s="131">
        <f t="shared" si="11"/>
        <v>88590.061029119999</v>
      </c>
      <c r="P21" s="131">
        <f t="shared" si="12"/>
        <v>96811.218692622337</v>
      </c>
      <c r="Q21" s="129">
        <f t="shared" si="13"/>
        <v>100780.47865901985</v>
      </c>
      <c r="R21" s="132">
        <f>+'Estudio Mercado'!L20</f>
        <v>17747</v>
      </c>
    </row>
    <row r="22" spans="2:18" ht="102" x14ac:dyDescent="0.2">
      <c r="B22" s="111">
        <v>19</v>
      </c>
      <c r="C22" s="123" t="str">
        <f>+'Estudio Mercado'!C21</f>
        <v>Evento 3: Día de Amor y Amistad. Garantizar decoración de espacio designado que incluya stand de fotos con la temática compañerismo y tolerancia, silletería, animador, tarima y sonido (Dos monitores de 600rms de potencia, uno externo y uno para monitoreo, con amplificación interna, dos bajos dobles de 18 pulgadas con sistema activo con amplificación interna, 4 piñas con micrófono).</v>
      </c>
      <c r="D22" s="112">
        <v>1</v>
      </c>
      <c r="E22" s="112" t="s">
        <v>115</v>
      </c>
      <c r="F22" s="129">
        <v>66000</v>
      </c>
      <c r="G22" s="129">
        <v>83300</v>
      </c>
      <c r="H22" s="129">
        <v>72900</v>
      </c>
      <c r="I22" s="129">
        <f t="shared" si="5"/>
        <v>8708.8078020664434</v>
      </c>
      <c r="J22" s="129">
        <f t="shared" si="6"/>
        <v>74066.666666666672</v>
      </c>
      <c r="K22" s="130">
        <f t="shared" si="7"/>
        <v>0.1175806633942364</v>
      </c>
      <c r="L22" s="129">
        <f t="shared" si="8"/>
        <v>74148</v>
      </c>
      <c r="M22" s="129">
        <f t="shared" si="9"/>
        <v>74148</v>
      </c>
      <c r="N22" s="131">
        <f t="shared" si="10"/>
        <v>78315.117599999998</v>
      </c>
      <c r="O22" s="131">
        <f t="shared" si="11"/>
        <v>88590.061029119999</v>
      </c>
      <c r="P22" s="131">
        <f t="shared" si="12"/>
        <v>96811.218692622337</v>
      </c>
      <c r="Q22" s="129">
        <f t="shared" si="13"/>
        <v>100780.47865901985</v>
      </c>
      <c r="R22" s="132">
        <f>+'Estudio Mercado'!L21</f>
        <v>58667</v>
      </c>
    </row>
    <row r="23" spans="2:18" ht="51" x14ac:dyDescent="0.2">
      <c r="B23" s="111">
        <v>20</v>
      </c>
      <c r="C23" s="123" t="str">
        <f>+'Estudio Mercado'!C22</f>
        <v>Evento 3: Día de Amor y Amistad. Entregar y servir debidamente empacado plato de comida (2 proteínas, 1 opción de carbohidrato (arroz o papa), ensalada), con bebida (agua o jugo)</v>
      </c>
      <c r="D23" s="112">
        <v>1</v>
      </c>
      <c r="E23" s="112" t="s">
        <v>115</v>
      </c>
      <c r="F23" s="129">
        <v>66000</v>
      </c>
      <c r="G23" s="129">
        <v>83300</v>
      </c>
      <c r="H23" s="129">
        <v>72900</v>
      </c>
      <c r="I23" s="129">
        <f t="shared" si="5"/>
        <v>8708.8078020664434</v>
      </c>
      <c r="J23" s="129">
        <f t="shared" si="6"/>
        <v>74066.666666666672</v>
      </c>
      <c r="K23" s="130">
        <f t="shared" si="7"/>
        <v>0.1175806633942364</v>
      </c>
      <c r="L23" s="129">
        <f t="shared" si="8"/>
        <v>74148</v>
      </c>
      <c r="M23" s="129">
        <f t="shared" si="9"/>
        <v>74148</v>
      </c>
      <c r="N23" s="131">
        <f t="shared" si="10"/>
        <v>78315.117599999998</v>
      </c>
      <c r="O23" s="131">
        <f t="shared" si="11"/>
        <v>88590.061029119999</v>
      </c>
      <c r="P23" s="131">
        <f t="shared" si="12"/>
        <v>96811.218692622337</v>
      </c>
      <c r="Q23" s="129">
        <f t="shared" si="13"/>
        <v>100780.47865901985</v>
      </c>
      <c r="R23" s="132">
        <f>+'Estudio Mercado'!L22</f>
        <v>35000</v>
      </c>
    </row>
    <row r="24" spans="2:18" ht="27" hidden="1" customHeight="1" x14ac:dyDescent="0.2">
      <c r="B24" s="111">
        <v>21</v>
      </c>
      <c r="C24" s="112"/>
      <c r="D24" s="112">
        <v>1</v>
      </c>
      <c r="E24" s="112" t="s">
        <v>115</v>
      </c>
      <c r="F24" s="129">
        <v>66000</v>
      </c>
      <c r="G24" s="129">
        <v>83300</v>
      </c>
      <c r="H24" s="129">
        <v>72900</v>
      </c>
      <c r="I24" s="129">
        <f t="shared" si="5"/>
        <v>8708.8078020664434</v>
      </c>
      <c r="J24" s="129">
        <f t="shared" si="6"/>
        <v>74066.666666666672</v>
      </c>
      <c r="K24" s="130">
        <f t="shared" si="7"/>
        <v>0.1175806633942364</v>
      </c>
      <c r="L24" s="129">
        <f t="shared" si="8"/>
        <v>74148</v>
      </c>
      <c r="M24" s="129">
        <f t="shared" si="9"/>
        <v>74148</v>
      </c>
      <c r="N24" s="131">
        <f t="shared" si="10"/>
        <v>78315.117599999998</v>
      </c>
      <c r="O24" s="131">
        <f t="shared" si="11"/>
        <v>88590.061029119999</v>
      </c>
      <c r="P24" s="131">
        <f t="shared" si="12"/>
        <v>96811.218692622337</v>
      </c>
      <c r="Q24" s="129">
        <f t="shared" si="13"/>
        <v>100780.47865901985</v>
      </c>
      <c r="R24" s="132"/>
    </row>
    <row r="25" spans="2:18" ht="27" hidden="1" customHeight="1" x14ac:dyDescent="0.2">
      <c r="B25" s="111">
        <v>22</v>
      </c>
      <c r="C25" s="112"/>
      <c r="D25" s="112">
        <v>1</v>
      </c>
      <c r="E25" s="112" t="s">
        <v>115</v>
      </c>
      <c r="F25" s="129">
        <v>66000</v>
      </c>
      <c r="G25" s="129">
        <v>83300</v>
      </c>
      <c r="H25" s="129">
        <v>72900</v>
      </c>
      <c r="I25" s="129">
        <f t="shared" si="5"/>
        <v>8708.8078020664434</v>
      </c>
      <c r="J25" s="129">
        <f t="shared" si="6"/>
        <v>74066.666666666672</v>
      </c>
      <c r="K25" s="130">
        <f t="shared" si="7"/>
        <v>0.1175806633942364</v>
      </c>
      <c r="L25" s="129">
        <f t="shared" si="8"/>
        <v>74148</v>
      </c>
      <c r="M25" s="129">
        <f t="shared" si="9"/>
        <v>74148</v>
      </c>
      <c r="N25" s="131">
        <f t="shared" si="10"/>
        <v>78315.117599999998</v>
      </c>
      <c r="O25" s="131">
        <f t="shared" si="11"/>
        <v>88590.061029119999</v>
      </c>
      <c r="P25" s="131">
        <f t="shared" si="12"/>
        <v>96811.218692622337</v>
      </c>
      <c r="Q25" s="129">
        <f t="shared" si="13"/>
        <v>100780.47865901985</v>
      </c>
      <c r="R25" s="132"/>
    </row>
    <row r="26" spans="2:18" ht="27" hidden="1" customHeight="1" x14ac:dyDescent="0.2">
      <c r="B26" s="111">
        <v>23</v>
      </c>
      <c r="C26" s="112"/>
      <c r="D26" s="112">
        <v>1</v>
      </c>
      <c r="E26" s="112" t="s">
        <v>115</v>
      </c>
      <c r="F26" s="129">
        <v>66000</v>
      </c>
      <c r="G26" s="129">
        <v>83300</v>
      </c>
      <c r="H26" s="129">
        <v>72900</v>
      </c>
      <c r="I26" s="129">
        <f t="shared" si="5"/>
        <v>8708.8078020664434</v>
      </c>
      <c r="J26" s="129">
        <f t="shared" si="6"/>
        <v>74066.666666666672</v>
      </c>
      <c r="K26" s="130">
        <f t="shared" si="7"/>
        <v>0.1175806633942364</v>
      </c>
      <c r="L26" s="129">
        <f t="shared" si="8"/>
        <v>74148</v>
      </c>
      <c r="M26" s="129">
        <f t="shared" si="9"/>
        <v>74148</v>
      </c>
      <c r="N26" s="131">
        <f t="shared" si="10"/>
        <v>78315.117599999998</v>
      </c>
      <c r="O26" s="131">
        <f t="shared" si="11"/>
        <v>88590.061029119999</v>
      </c>
      <c r="P26" s="131">
        <f t="shared" si="12"/>
        <v>96811.218692622337</v>
      </c>
      <c r="Q26" s="129">
        <f t="shared" si="13"/>
        <v>100780.47865901985</v>
      </c>
      <c r="R26" s="132"/>
    </row>
    <row r="27" spans="2:18" ht="27" hidden="1" customHeight="1" x14ac:dyDescent="0.2">
      <c r="B27" s="111">
        <v>24</v>
      </c>
      <c r="C27" s="112"/>
      <c r="D27" s="112">
        <v>1</v>
      </c>
      <c r="E27" s="112" t="s">
        <v>115</v>
      </c>
      <c r="F27" s="129">
        <v>66000</v>
      </c>
      <c r="G27" s="129">
        <v>83300</v>
      </c>
      <c r="H27" s="129">
        <v>72900</v>
      </c>
      <c r="I27" s="129">
        <f t="shared" si="5"/>
        <v>8708.8078020664434</v>
      </c>
      <c r="J27" s="129">
        <f t="shared" si="6"/>
        <v>74066.666666666672</v>
      </c>
      <c r="K27" s="130">
        <f t="shared" si="7"/>
        <v>0.1175806633942364</v>
      </c>
      <c r="L27" s="129">
        <f t="shared" si="8"/>
        <v>74148</v>
      </c>
      <c r="M27" s="129">
        <f t="shared" si="9"/>
        <v>74148</v>
      </c>
      <c r="N27" s="131">
        <f t="shared" si="10"/>
        <v>78315.117599999998</v>
      </c>
      <c r="O27" s="131">
        <f t="shared" si="11"/>
        <v>88590.061029119999</v>
      </c>
      <c r="P27" s="131">
        <f t="shared" si="12"/>
        <v>96811.218692622337</v>
      </c>
      <c r="Q27" s="129">
        <f t="shared" si="13"/>
        <v>100780.47865901985</v>
      </c>
      <c r="R27" s="132"/>
    </row>
    <row r="28" spans="2:18" ht="27" hidden="1" customHeight="1" x14ac:dyDescent="0.2">
      <c r="B28" s="111">
        <v>25</v>
      </c>
      <c r="C28" s="112"/>
      <c r="D28" s="112">
        <v>1</v>
      </c>
      <c r="E28" s="112" t="s">
        <v>115</v>
      </c>
      <c r="F28" s="129">
        <v>66000</v>
      </c>
      <c r="G28" s="129">
        <v>83300</v>
      </c>
      <c r="H28" s="129">
        <v>72900</v>
      </c>
      <c r="I28" s="129">
        <f t="shared" si="5"/>
        <v>8708.8078020664434</v>
      </c>
      <c r="J28" s="129">
        <f t="shared" si="6"/>
        <v>74066.666666666672</v>
      </c>
      <c r="K28" s="130">
        <f t="shared" si="7"/>
        <v>0.1175806633942364</v>
      </c>
      <c r="L28" s="129">
        <f t="shared" si="8"/>
        <v>74148</v>
      </c>
      <c r="M28" s="129">
        <f t="shared" si="9"/>
        <v>74148</v>
      </c>
      <c r="N28" s="131">
        <f t="shared" si="10"/>
        <v>78315.117599999998</v>
      </c>
      <c r="O28" s="131">
        <f t="shared" si="11"/>
        <v>88590.061029119999</v>
      </c>
      <c r="P28" s="131">
        <f t="shared" si="12"/>
        <v>96811.218692622337</v>
      </c>
      <c r="Q28" s="129">
        <f t="shared" si="13"/>
        <v>100780.47865901985</v>
      </c>
      <c r="R28" s="132"/>
    </row>
    <row r="29" spans="2:18" ht="27" hidden="1" customHeight="1" x14ac:dyDescent="0.2">
      <c r="B29" s="111">
        <v>26</v>
      </c>
      <c r="C29" s="112"/>
      <c r="D29" s="112">
        <v>1</v>
      </c>
      <c r="E29" s="112" t="s">
        <v>115</v>
      </c>
      <c r="F29" s="129">
        <v>66000</v>
      </c>
      <c r="G29" s="129">
        <v>83300</v>
      </c>
      <c r="H29" s="129">
        <v>72900</v>
      </c>
      <c r="I29" s="129">
        <f t="shared" si="5"/>
        <v>8708.8078020664434</v>
      </c>
      <c r="J29" s="129">
        <f t="shared" si="6"/>
        <v>74066.666666666672</v>
      </c>
      <c r="K29" s="130">
        <f t="shared" si="7"/>
        <v>0.1175806633942364</v>
      </c>
      <c r="L29" s="129">
        <f t="shared" si="8"/>
        <v>74148</v>
      </c>
      <c r="M29" s="129">
        <f t="shared" si="9"/>
        <v>74148</v>
      </c>
      <c r="N29" s="131">
        <f t="shared" si="10"/>
        <v>78315.117599999998</v>
      </c>
      <c r="O29" s="131">
        <f t="shared" si="11"/>
        <v>88590.061029119999</v>
      </c>
      <c r="P29" s="131">
        <f t="shared" si="12"/>
        <v>96811.218692622337</v>
      </c>
      <c r="Q29" s="129">
        <f t="shared" si="13"/>
        <v>100780.47865901985</v>
      </c>
      <c r="R29" s="132"/>
    </row>
    <row r="30" spans="2:18" ht="27" hidden="1" customHeight="1" x14ac:dyDescent="0.2">
      <c r="B30" s="111">
        <v>27</v>
      </c>
      <c r="C30" s="112"/>
      <c r="D30" s="112">
        <v>1</v>
      </c>
      <c r="E30" s="112" t="s">
        <v>115</v>
      </c>
      <c r="F30" s="129">
        <v>66000</v>
      </c>
      <c r="G30" s="129">
        <v>83300</v>
      </c>
      <c r="H30" s="129">
        <v>72900</v>
      </c>
      <c r="I30" s="129">
        <f t="shared" si="5"/>
        <v>8708.8078020664434</v>
      </c>
      <c r="J30" s="129">
        <f t="shared" si="6"/>
        <v>74066.666666666672</v>
      </c>
      <c r="K30" s="130">
        <f t="shared" si="7"/>
        <v>0.1175806633942364</v>
      </c>
      <c r="L30" s="129">
        <f t="shared" si="8"/>
        <v>74148</v>
      </c>
      <c r="M30" s="129">
        <f t="shared" si="9"/>
        <v>74148</v>
      </c>
      <c r="N30" s="131">
        <f t="shared" si="10"/>
        <v>78315.117599999998</v>
      </c>
      <c r="O30" s="131">
        <f t="shared" si="11"/>
        <v>88590.061029119999</v>
      </c>
      <c r="P30" s="131">
        <f t="shared" si="12"/>
        <v>96811.218692622337</v>
      </c>
      <c r="Q30" s="129">
        <f t="shared" si="13"/>
        <v>100780.47865901985</v>
      </c>
      <c r="R30" s="132"/>
    </row>
    <row r="31" spans="2:18" ht="27" hidden="1" customHeight="1" x14ac:dyDescent="0.2">
      <c r="B31" s="111">
        <v>28</v>
      </c>
      <c r="C31" s="112"/>
      <c r="D31" s="112">
        <v>1</v>
      </c>
      <c r="E31" s="112" t="s">
        <v>115</v>
      </c>
      <c r="F31" s="129">
        <v>66000</v>
      </c>
      <c r="G31" s="129">
        <v>83300</v>
      </c>
      <c r="H31" s="129">
        <v>72900</v>
      </c>
      <c r="I31" s="129">
        <f t="shared" si="5"/>
        <v>8708.8078020664434</v>
      </c>
      <c r="J31" s="129">
        <f t="shared" si="6"/>
        <v>74066.666666666672</v>
      </c>
      <c r="K31" s="130">
        <f t="shared" si="7"/>
        <v>0.1175806633942364</v>
      </c>
      <c r="L31" s="129">
        <f t="shared" si="8"/>
        <v>74148</v>
      </c>
      <c r="M31" s="129">
        <f t="shared" si="9"/>
        <v>74148</v>
      </c>
      <c r="N31" s="131">
        <f t="shared" si="10"/>
        <v>78315.117599999998</v>
      </c>
      <c r="O31" s="131">
        <f t="shared" si="11"/>
        <v>88590.061029119999</v>
      </c>
      <c r="P31" s="131">
        <f t="shared" si="12"/>
        <v>96811.218692622337</v>
      </c>
      <c r="Q31" s="129">
        <f t="shared" si="13"/>
        <v>100780.47865901985</v>
      </c>
      <c r="R31" s="132"/>
    </row>
    <row r="32" spans="2:18" ht="27" hidden="1" customHeight="1" x14ac:dyDescent="0.2">
      <c r="B32" s="111">
        <v>29</v>
      </c>
      <c r="C32" s="112"/>
      <c r="D32" s="112">
        <v>1</v>
      </c>
      <c r="E32" s="112" t="s">
        <v>115</v>
      </c>
      <c r="F32" s="129">
        <v>66000</v>
      </c>
      <c r="G32" s="129">
        <v>83300</v>
      </c>
      <c r="H32" s="129">
        <v>72900</v>
      </c>
      <c r="I32" s="129">
        <f t="shared" si="5"/>
        <v>8708.8078020664434</v>
      </c>
      <c r="J32" s="129">
        <f t="shared" si="6"/>
        <v>74066.666666666672</v>
      </c>
      <c r="K32" s="130">
        <f t="shared" si="7"/>
        <v>0.1175806633942364</v>
      </c>
      <c r="L32" s="129">
        <f t="shared" si="8"/>
        <v>74148</v>
      </c>
      <c r="M32" s="129">
        <f t="shared" si="9"/>
        <v>74148</v>
      </c>
      <c r="N32" s="131">
        <f t="shared" si="10"/>
        <v>78315.117599999998</v>
      </c>
      <c r="O32" s="131">
        <f t="shared" si="11"/>
        <v>88590.061029119999</v>
      </c>
      <c r="P32" s="131">
        <f t="shared" si="12"/>
        <v>96811.218692622337</v>
      </c>
      <c r="Q32" s="129">
        <f t="shared" si="13"/>
        <v>100780.47865901985</v>
      </c>
      <c r="R32" s="132"/>
    </row>
    <row r="33" spans="2:18" ht="27" hidden="1" customHeight="1" x14ac:dyDescent="0.2">
      <c r="B33" s="111">
        <v>30</v>
      </c>
      <c r="C33" s="112"/>
      <c r="D33" s="112">
        <v>1</v>
      </c>
      <c r="E33" s="112" t="s">
        <v>115</v>
      </c>
      <c r="F33" s="129">
        <v>66000</v>
      </c>
      <c r="G33" s="129">
        <v>83300</v>
      </c>
      <c r="H33" s="129">
        <v>72900</v>
      </c>
      <c r="I33" s="129">
        <f t="shared" si="5"/>
        <v>8708.8078020664434</v>
      </c>
      <c r="J33" s="129">
        <f t="shared" si="6"/>
        <v>74066.666666666672</v>
      </c>
      <c r="K33" s="130">
        <f t="shared" si="7"/>
        <v>0.1175806633942364</v>
      </c>
      <c r="L33" s="129">
        <f t="shared" si="8"/>
        <v>74148</v>
      </c>
      <c r="M33" s="129">
        <f t="shared" si="9"/>
        <v>74148</v>
      </c>
      <c r="N33" s="131">
        <f t="shared" si="10"/>
        <v>78315.117599999998</v>
      </c>
      <c r="O33" s="131">
        <f t="shared" si="11"/>
        <v>88590.061029119999</v>
      </c>
      <c r="P33" s="131">
        <f t="shared" si="12"/>
        <v>96811.218692622337</v>
      </c>
      <c r="Q33" s="129">
        <f t="shared" si="13"/>
        <v>100780.47865901985</v>
      </c>
      <c r="R33" s="132"/>
    </row>
    <row r="34" spans="2:18" ht="27" hidden="1" customHeight="1" x14ac:dyDescent="0.2">
      <c r="B34" s="111">
        <v>31</v>
      </c>
      <c r="C34" s="112"/>
      <c r="D34" s="112">
        <v>1</v>
      </c>
      <c r="E34" s="112" t="s">
        <v>115</v>
      </c>
      <c r="F34" s="129">
        <v>66000</v>
      </c>
      <c r="G34" s="129">
        <v>83300</v>
      </c>
      <c r="H34" s="129">
        <v>72900</v>
      </c>
      <c r="I34" s="129">
        <f t="shared" si="5"/>
        <v>8708.8078020664434</v>
      </c>
      <c r="J34" s="129">
        <f t="shared" si="6"/>
        <v>74066.666666666672</v>
      </c>
      <c r="K34" s="130">
        <f t="shared" si="7"/>
        <v>0.1175806633942364</v>
      </c>
      <c r="L34" s="129">
        <f t="shared" si="8"/>
        <v>74148</v>
      </c>
      <c r="M34" s="129">
        <f t="shared" si="9"/>
        <v>74148</v>
      </c>
      <c r="N34" s="131">
        <f t="shared" si="10"/>
        <v>78315.117599999998</v>
      </c>
      <c r="O34" s="131">
        <f t="shared" si="11"/>
        <v>88590.061029119999</v>
      </c>
      <c r="P34" s="131">
        <f t="shared" si="12"/>
        <v>96811.218692622337</v>
      </c>
      <c r="Q34" s="129">
        <f t="shared" si="13"/>
        <v>100780.47865901985</v>
      </c>
      <c r="R34" s="132"/>
    </row>
    <row r="35" spans="2:18" ht="27" hidden="1" customHeight="1" x14ac:dyDescent="0.2">
      <c r="B35" s="111">
        <v>32</v>
      </c>
      <c r="C35" s="112"/>
      <c r="D35" s="112">
        <v>1</v>
      </c>
      <c r="E35" s="112" t="s">
        <v>115</v>
      </c>
      <c r="F35" s="129">
        <v>66000</v>
      </c>
      <c r="G35" s="129">
        <v>83300</v>
      </c>
      <c r="H35" s="129">
        <v>72900</v>
      </c>
      <c r="I35" s="129">
        <f t="shared" si="5"/>
        <v>8708.8078020664434</v>
      </c>
      <c r="J35" s="129">
        <f t="shared" si="6"/>
        <v>74066.666666666672</v>
      </c>
      <c r="K35" s="130">
        <f t="shared" si="7"/>
        <v>0.1175806633942364</v>
      </c>
      <c r="L35" s="129">
        <f t="shared" si="8"/>
        <v>74148</v>
      </c>
      <c r="M35" s="129">
        <f t="shared" si="9"/>
        <v>74148</v>
      </c>
      <c r="N35" s="131">
        <f t="shared" si="10"/>
        <v>78315.117599999998</v>
      </c>
      <c r="O35" s="131">
        <f t="shared" si="11"/>
        <v>88590.061029119999</v>
      </c>
      <c r="P35" s="131">
        <f t="shared" si="12"/>
        <v>96811.218692622337</v>
      </c>
      <c r="Q35" s="129">
        <f t="shared" si="13"/>
        <v>100780.47865901985</v>
      </c>
      <c r="R35" s="132"/>
    </row>
    <row r="36" spans="2:18" ht="27" hidden="1" customHeight="1" x14ac:dyDescent="0.2">
      <c r="B36" s="111">
        <v>33</v>
      </c>
      <c r="C36" s="112"/>
      <c r="D36" s="112">
        <v>1</v>
      </c>
      <c r="E36" s="112" t="s">
        <v>115</v>
      </c>
      <c r="F36" s="129">
        <v>66000</v>
      </c>
      <c r="G36" s="129">
        <v>83300</v>
      </c>
      <c r="H36" s="129">
        <v>72900</v>
      </c>
      <c r="I36" s="129">
        <f t="shared" si="5"/>
        <v>8708.8078020664434</v>
      </c>
      <c r="J36" s="129">
        <f t="shared" si="6"/>
        <v>74066.666666666672</v>
      </c>
      <c r="K36" s="130">
        <f t="shared" si="7"/>
        <v>0.1175806633942364</v>
      </c>
      <c r="L36" s="129">
        <f t="shared" si="8"/>
        <v>74148</v>
      </c>
      <c r="M36" s="129">
        <f t="shared" si="9"/>
        <v>74148</v>
      </c>
      <c r="N36" s="131">
        <f t="shared" si="10"/>
        <v>78315.117599999998</v>
      </c>
      <c r="O36" s="131">
        <f t="shared" si="11"/>
        <v>88590.061029119999</v>
      </c>
      <c r="P36" s="131">
        <f t="shared" si="12"/>
        <v>96811.218692622337</v>
      </c>
      <c r="Q36" s="129">
        <f t="shared" si="13"/>
        <v>100780.47865901985</v>
      </c>
      <c r="R36" s="132"/>
    </row>
    <row r="37" spans="2:18" ht="27" hidden="1" customHeight="1" x14ac:dyDescent="0.2">
      <c r="B37" s="111">
        <v>34</v>
      </c>
      <c r="C37" s="112"/>
      <c r="D37" s="112">
        <v>1</v>
      </c>
      <c r="E37" s="112" t="s">
        <v>115</v>
      </c>
      <c r="F37" s="129">
        <v>66000</v>
      </c>
      <c r="G37" s="129">
        <v>83300</v>
      </c>
      <c r="H37" s="129">
        <v>72900</v>
      </c>
      <c r="I37" s="129">
        <f t="shared" si="5"/>
        <v>8708.8078020664434</v>
      </c>
      <c r="J37" s="129">
        <f t="shared" si="6"/>
        <v>74066.666666666672</v>
      </c>
      <c r="K37" s="130">
        <f t="shared" si="7"/>
        <v>0.1175806633942364</v>
      </c>
      <c r="L37" s="129">
        <f t="shared" si="8"/>
        <v>74148</v>
      </c>
      <c r="M37" s="129">
        <f t="shared" si="9"/>
        <v>74148</v>
      </c>
      <c r="N37" s="131">
        <f t="shared" si="10"/>
        <v>78315.117599999998</v>
      </c>
      <c r="O37" s="131">
        <f t="shared" si="11"/>
        <v>88590.061029119999</v>
      </c>
      <c r="P37" s="131">
        <f t="shared" si="12"/>
        <v>96811.218692622337</v>
      </c>
      <c r="Q37" s="129">
        <f t="shared" si="13"/>
        <v>100780.47865901985</v>
      </c>
      <c r="R37" s="132"/>
    </row>
    <row r="38" spans="2:18" ht="27" hidden="1" customHeight="1" x14ac:dyDescent="0.2">
      <c r="B38" s="111">
        <v>35</v>
      </c>
      <c r="C38" s="112"/>
      <c r="D38" s="112">
        <v>1</v>
      </c>
      <c r="E38" s="112" t="s">
        <v>115</v>
      </c>
      <c r="F38" s="129">
        <v>66000</v>
      </c>
      <c r="G38" s="129">
        <v>83300</v>
      </c>
      <c r="H38" s="129">
        <v>72900</v>
      </c>
      <c r="I38" s="129">
        <f t="shared" si="5"/>
        <v>8708.8078020664434</v>
      </c>
      <c r="J38" s="129">
        <f t="shared" si="6"/>
        <v>74066.666666666672</v>
      </c>
      <c r="K38" s="130">
        <f t="shared" si="7"/>
        <v>0.1175806633942364</v>
      </c>
      <c r="L38" s="129">
        <f t="shared" si="8"/>
        <v>74148</v>
      </c>
      <c r="M38" s="129">
        <f t="shared" si="9"/>
        <v>74148</v>
      </c>
      <c r="N38" s="131">
        <f t="shared" si="10"/>
        <v>78315.117599999998</v>
      </c>
      <c r="O38" s="131">
        <f t="shared" si="11"/>
        <v>88590.061029119999</v>
      </c>
      <c r="P38" s="131">
        <f t="shared" si="12"/>
        <v>96811.218692622337</v>
      </c>
      <c r="Q38" s="129">
        <f t="shared" si="13"/>
        <v>100780.47865901985</v>
      </c>
      <c r="R38" s="132"/>
    </row>
    <row r="39" spans="2:18" ht="27" hidden="1" customHeight="1" x14ac:dyDescent="0.2">
      <c r="B39" s="111">
        <v>36</v>
      </c>
      <c r="C39" s="112"/>
      <c r="D39" s="112">
        <v>1</v>
      </c>
      <c r="E39" s="112" t="s">
        <v>115</v>
      </c>
      <c r="F39" s="129">
        <v>66000</v>
      </c>
      <c r="G39" s="129">
        <v>83300</v>
      </c>
      <c r="H39" s="129">
        <v>72900</v>
      </c>
      <c r="I39" s="129">
        <f t="shared" si="5"/>
        <v>8708.8078020664434</v>
      </c>
      <c r="J39" s="129">
        <f t="shared" si="6"/>
        <v>74066.666666666672</v>
      </c>
      <c r="K39" s="130">
        <f t="shared" si="7"/>
        <v>0.1175806633942364</v>
      </c>
      <c r="L39" s="129">
        <f t="shared" si="8"/>
        <v>74148</v>
      </c>
      <c r="M39" s="129">
        <f t="shared" si="9"/>
        <v>74148</v>
      </c>
      <c r="N39" s="131">
        <f t="shared" si="10"/>
        <v>78315.117599999998</v>
      </c>
      <c r="O39" s="131">
        <f t="shared" si="11"/>
        <v>88590.061029119999</v>
      </c>
      <c r="P39" s="131">
        <f t="shared" si="12"/>
        <v>96811.218692622337</v>
      </c>
      <c r="Q39" s="129">
        <f t="shared" si="13"/>
        <v>100780.47865901985</v>
      </c>
      <c r="R39" s="132"/>
    </row>
    <row r="40" spans="2:18" ht="27" hidden="1" customHeight="1" x14ac:dyDescent="0.2">
      <c r="B40" s="111">
        <v>37</v>
      </c>
      <c r="C40" s="112"/>
      <c r="D40" s="112">
        <v>1</v>
      </c>
      <c r="E40" s="112" t="s">
        <v>115</v>
      </c>
      <c r="F40" s="129">
        <v>66000</v>
      </c>
      <c r="G40" s="129">
        <v>83300</v>
      </c>
      <c r="H40" s="129">
        <v>72900</v>
      </c>
      <c r="I40" s="129">
        <f t="shared" si="5"/>
        <v>8708.8078020664434</v>
      </c>
      <c r="J40" s="129">
        <f t="shared" si="6"/>
        <v>74066.666666666672</v>
      </c>
      <c r="K40" s="130">
        <f t="shared" si="7"/>
        <v>0.1175806633942364</v>
      </c>
      <c r="L40" s="129">
        <f t="shared" si="8"/>
        <v>74148</v>
      </c>
      <c r="M40" s="129">
        <f t="shared" si="9"/>
        <v>74148</v>
      </c>
      <c r="N40" s="131">
        <f t="shared" si="10"/>
        <v>78315.117599999998</v>
      </c>
      <c r="O40" s="131">
        <f t="shared" si="11"/>
        <v>88590.061029119999</v>
      </c>
      <c r="P40" s="131">
        <f t="shared" si="12"/>
        <v>96811.218692622337</v>
      </c>
      <c r="Q40" s="129">
        <f t="shared" si="13"/>
        <v>100780.47865901985</v>
      </c>
      <c r="R40" s="132"/>
    </row>
    <row r="41" spans="2:18" ht="27" hidden="1" customHeight="1" x14ac:dyDescent="0.2">
      <c r="B41" s="111">
        <v>38</v>
      </c>
      <c r="C41" s="112"/>
      <c r="D41" s="112">
        <v>1</v>
      </c>
      <c r="E41" s="112" t="s">
        <v>115</v>
      </c>
      <c r="F41" s="129">
        <v>66000</v>
      </c>
      <c r="G41" s="129">
        <v>83300</v>
      </c>
      <c r="H41" s="129">
        <v>72900</v>
      </c>
      <c r="I41" s="129">
        <f t="shared" si="5"/>
        <v>8708.8078020664434</v>
      </c>
      <c r="J41" s="129">
        <f t="shared" si="6"/>
        <v>74066.666666666672</v>
      </c>
      <c r="K41" s="130">
        <f t="shared" si="7"/>
        <v>0.1175806633942364</v>
      </c>
      <c r="L41" s="129">
        <f t="shared" si="8"/>
        <v>74148</v>
      </c>
      <c r="M41" s="129">
        <f t="shared" si="9"/>
        <v>74148</v>
      </c>
      <c r="N41" s="131">
        <f t="shared" si="10"/>
        <v>78315.117599999998</v>
      </c>
      <c r="O41" s="131">
        <f t="shared" si="11"/>
        <v>88590.061029119999</v>
      </c>
      <c r="P41" s="131">
        <f t="shared" si="12"/>
        <v>96811.218692622337</v>
      </c>
      <c r="Q41" s="129">
        <f t="shared" si="13"/>
        <v>100780.47865901985</v>
      </c>
      <c r="R41" s="132"/>
    </row>
    <row r="42" spans="2:18" ht="27" hidden="1" customHeight="1" x14ac:dyDescent="0.2">
      <c r="B42" s="111">
        <v>39</v>
      </c>
      <c r="C42" s="112"/>
      <c r="D42" s="112">
        <v>1</v>
      </c>
      <c r="E42" s="112" t="s">
        <v>115</v>
      </c>
      <c r="F42" s="129">
        <v>66000</v>
      </c>
      <c r="G42" s="129">
        <v>83300</v>
      </c>
      <c r="H42" s="129">
        <v>72900</v>
      </c>
      <c r="I42" s="129">
        <f t="shared" si="5"/>
        <v>8708.8078020664434</v>
      </c>
      <c r="J42" s="129">
        <f t="shared" si="6"/>
        <v>74066.666666666672</v>
      </c>
      <c r="K42" s="130">
        <f t="shared" si="7"/>
        <v>0.1175806633942364</v>
      </c>
      <c r="L42" s="129">
        <f t="shared" si="8"/>
        <v>74148</v>
      </c>
      <c r="M42" s="129">
        <f t="shared" si="9"/>
        <v>74148</v>
      </c>
      <c r="N42" s="131">
        <f t="shared" si="10"/>
        <v>78315.117599999998</v>
      </c>
      <c r="O42" s="131">
        <f t="shared" si="11"/>
        <v>88590.061029119999</v>
      </c>
      <c r="P42" s="131">
        <f t="shared" si="12"/>
        <v>96811.218692622337</v>
      </c>
      <c r="Q42" s="129">
        <f t="shared" si="13"/>
        <v>100780.47865901985</v>
      </c>
      <c r="R42" s="132"/>
    </row>
    <row r="43" spans="2:18" ht="27" hidden="1" customHeight="1" x14ac:dyDescent="0.2">
      <c r="B43" s="111">
        <v>40</v>
      </c>
      <c r="C43" s="112"/>
      <c r="D43" s="112">
        <v>1</v>
      </c>
      <c r="E43" s="112" t="s">
        <v>115</v>
      </c>
      <c r="F43" s="129">
        <v>66000</v>
      </c>
      <c r="G43" s="129">
        <v>83300</v>
      </c>
      <c r="H43" s="129">
        <v>72900</v>
      </c>
      <c r="I43" s="129">
        <f t="shared" si="5"/>
        <v>8708.8078020664434</v>
      </c>
      <c r="J43" s="129">
        <f t="shared" si="6"/>
        <v>74066.666666666672</v>
      </c>
      <c r="K43" s="130">
        <f t="shared" si="7"/>
        <v>0.1175806633942364</v>
      </c>
      <c r="L43" s="129">
        <f t="shared" si="8"/>
        <v>74148</v>
      </c>
      <c r="M43" s="129">
        <f t="shared" si="9"/>
        <v>74148</v>
      </c>
      <c r="N43" s="131">
        <f t="shared" si="10"/>
        <v>78315.117599999998</v>
      </c>
      <c r="O43" s="131">
        <f t="shared" si="11"/>
        <v>88590.061029119999</v>
      </c>
      <c r="P43" s="131">
        <f t="shared" si="12"/>
        <v>96811.218692622337</v>
      </c>
      <c r="Q43" s="129">
        <f t="shared" si="13"/>
        <v>100780.47865901985</v>
      </c>
      <c r="R43" s="132"/>
    </row>
    <row r="44" spans="2:18" ht="27" hidden="1" customHeight="1" x14ac:dyDescent="0.2">
      <c r="B44" s="111">
        <v>41</v>
      </c>
      <c r="C44" s="112"/>
      <c r="D44" s="112">
        <v>1</v>
      </c>
      <c r="E44" s="112" t="s">
        <v>115</v>
      </c>
      <c r="F44" s="129">
        <v>66000</v>
      </c>
      <c r="G44" s="129">
        <v>83300</v>
      </c>
      <c r="H44" s="129">
        <v>72900</v>
      </c>
      <c r="I44" s="129">
        <f t="shared" si="5"/>
        <v>8708.8078020664434</v>
      </c>
      <c r="J44" s="129">
        <f t="shared" si="6"/>
        <v>74066.666666666672</v>
      </c>
      <c r="K44" s="130">
        <f t="shared" si="7"/>
        <v>0.1175806633942364</v>
      </c>
      <c r="L44" s="129">
        <f t="shared" si="8"/>
        <v>74148</v>
      </c>
      <c r="M44" s="129">
        <f t="shared" si="9"/>
        <v>74148</v>
      </c>
      <c r="N44" s="131">
        <f t="shared" si="10"/>
        <v>78315.117599999998</v>
      </c>
      <c r="O44" s="131">
        <f t="shared" si="11"/>
        <v>88590.061029119999</v>
      </c>
      <c r="P44" s="131">
        <f t="shared" si="12"/>
        <v>96811.218692622337</v>
      </c>
      <c r="Q44" s="129">
        <f t="shared" si="13"/>
        <v>100780.47865901985</v>
      </c>
      <c r="R44" s="132"/>
    </row>
    <row r="45" spans="2:18" ht="27" hidden="1" customHeight="1" x14ac:dyDescent="0.2">
      <c r="B45" s="111">
        <v>42</v>
      </c>
      <c r="C45" s="112"/>
      <c r="D45" s="112">
        <v>1</v>
      </c>
      <c r="E45" s="112" t="s">
        <v>115</v>
      </c>
      <c r="F45" s="129">
        <v>66000</v>
      </c>
      <c r="G45" s="129">
        <v>83300</v>
      </c>
      <c r="H45" s="129">
        <v>72900</v>
      </c>
      <c r="I45" s="129">
        <f t="shared" si="5"/>
        <v>8708.8078020664434</v>
      </c>
      <c r="J45" s="129">
        <f t="shared" si="6"/>
        <v>74066.666666666672</v>
      </c>
      <c r="K45" s="130">
        <f t="shared" si="7"/>
        <v>0.1175806633942364</v>
      </c>
      <c r="L45" s="129">
        <f t="shared" si="8"/>
        <v>74148</v>
      </c>
      <c r="M45" s="129">
        <f t="shared" si="9"/>
        <v>74148</v>
      </c>
      <c r="N45" s="131">
        <f t="shared" si="10"/>
        <v>78315.117599999998</v>
      </c>
      <c r="O45" s="131">
        <f t="shared" si="11"/>
        <v>88590.061029119999</v>
      </c>
      <c r="P45" s="131">
        <f t="shared" si="12"/>
        <v>96811.218692622337</v>
      </c>
      <c r="Q45" s="129">
        <f t="shared" si="13"/>
        <v>100780.47865901985</v>
      </c>
      <c r="R45" s="132"/>
    </row>
    <row r="46" spans="2:18" ht="27" hidden="1" customHeight="1" x14ac:dyDescent="0.2">
      <c r="B46" s="111">
        <v>43</v>
      </c>
      <c r="C46" s="112"/>
      <c r="D46" s="112">
        <v>1</v>
      </c>
      <c r="E46" s="112" t="s">
        <v>115</v>
      </c>
      <c r="F46" s="129">
        <v>66000</v>
      </c>
      <c r="G46" s="129">
        <v>83300</v>
      </c>
      <c r="H46" s="129">
        <v>72900</v>
      </c>
      <c r="I46" s="129">
        <f t="shared" si="5"/>
        <v>8708.8078020664434</v>
      </c>
      <c r="J46" s="129">
        <f t="shared" si="6"/>
        <v>74066.666666666672</v>
      </c>
      <c r="K46" s="130">
        <f t="shared" si="7"/>
        <v>0.1175806633942364</v>
      </c>
      <c r="L46" s="129">
        <f t="shared" si="8"/>
        <v>74148</v>
      </c>
      <c r="M46" s="129">
        <f t="shared" si="9"/>
        <v>74148</v>
      </c>
      <c r="N46" s="131">
        <f t="shared" si="10"/>
        <v>78315.117599999998</v>
      </c>
      <c r="O46" s="131">
        <f t="shared" si="11"/>
        <v>88590.061029119999</v>
      </c>
      <c r="P46" s="131">
        <f t="shared" si="12"/>
        <v>96811.218692622337</v>
      </c>
      <c r="Q46" s="129">
        <f t="shared" si="13"/>
        <v>100780.47865901985</v>
      </c>
      <c r="R46" s="132"/>
    </row>
    <row r="47" spans="2:18" ht="27" hidden="1" customHeight="1" x14ac:dyDescent="0.2">
      <c r="B47" s="111">
        <v>44</v>
      </c>
      <c r="C47" s="112"/>
      <c r="D47" s="112">
        <v>1</v>
      </c>
      <c r="E47" s="112" t="s">
        <v>115</v>
      </c>
      <c r="F47" s="129">
        <v>66000</v>
      </c>
      <c r="G47" s="129">
        <v>83300</v>
      </c>
      <c r="H47" s="129">
        <v>72900</v>
      </c>
      <c r="I47" s="129">
        <f t="shared" si="5"/>
        <v>8708.8078020664434</v>
      </c>
      <c r="J47" s="129">
        <f t="shared" si="6"/>
        <v>74066.666666666672</v>
      </c>
      <c r="K47" s="130">
        <f t="shared" si="7"/>
        <v>0.1175806633942364</v>
      </c>
      <c r="L47" s="129">
        <f t="shared" si="8"/>
        <v>74148</v>
      </c>
      <c r="M47" s="129">
        <f t="shared" si="9"/>
        <v>74148</v>
      </c>
      <c r="N47" s="131">
        <f t="shared" si="10"/>
        <v>78315.117599999998</v>
      </c>
      <c r="O47" s="131">
        <f t="shared" si="11"/>
        <v>88590.061029119999</v>
      </c>
      <c r="P47" s="131">
        <f t="shared" si="12"/>
        <v>96811.218692622337</v>
      </c>
      <c r="Q47" s="129">
        <f t="shared" si="13"/>
        <v>100780.47865901985</v>
      </c>
      <c r="R47" s="132"/>
    </row>
    <row r="48" spans="2:18" ht="27" hidden="1" customHeight="1" x14ac:dyDescent="0.2">
      <c r="B48" s="111">
        <v>45</v>
      </c>
      <c r="C48" s="112"/>
      <c r="D48" s="112">
        <v>1</v>
      </c>
      <c r="E48" s="112" t="s">
        <v>115</v>
      </c>
      <c r="F48" s="129">
        <v>66000</v>
      </c>
      <c r="G48" s="129">
        <v>83300</v>
      </c>
      <c r="H48" s="129">
        <v>72900</v>
      </c>
      <c r="I48" s="129">
        <f t="shared" si="5"/>
        <v>8708.8078020664434</v>
      </c>
      <c r="J48" s="129">
        <f t="shared" si="6"/>
        <v>74066.666666666672</v>
      </c>
      <c r="K48" s="130">
        <f t="shared" si="7"/>
        <v>0.1175806633942364</v>
      </c>
      <c r="L48" s="129">
        <f t="shared" si="8"/>
        <v>74148</v>
      </c>
      <c r="M48" s="129">
        <f t="shared" si="9"/>
        <v>74148</v>
      </c>
      <c r="N48" s="131">
        <f t="shared" si="10"/>
        <v>78315.117599999998</v>
      </c>
      <c r="O48" s="131">
        <f t="shared" si="11"/>
        <v>88590.061029119999</v>
      </c>
      <c r="P48" s="131">
        <f t="shared" si="12"/>
        <v>96811.218692622337</v>
      </c>
      <c r="Q48" s="129">
        <f t="shared" si="13"/>
        <v>100780.47865901985</v>
      </c>
      <c r="R48" s="132"/>
    </row>
    <row r="49" spans="2:18" ht="27" hidden="1" customHeight="1" thickBot="1" x14ac:dyDescent="0.25">
      <c r="B49" s="111">
        <v>46</v>
      </c>
      <c r="C49" s="133"/>
      <c r="D49" s="133">
        <v>1</v>
      </c>
      <c r="E49" s="133" t="s">
        <v>115</v>
      </c>
      <c r="F49" s="134">
        <v>66000</v>
      </c>
      <c r="G49" s="134">
        <v>83300</v>
      </c>
      <c r="H49" s="134">
        <v>72900</v>
      </c>
      <c r="I49" s="134">
        <f t="shared" si="5"/>
        <v>8708.8078020664434</v>
      </c>
      <c r="J49" s="134">
        <f t="shared" si="6"/>
        <v>74066.666666666672</v>
      </c>
      <c r="K49" s="135">
        <f t="shared" si="7"/>
        <v>0.1175806633942364</v>
      </c>
      <c r="L49" s="134">
        <f t="shared" si="8"/>
        <v>74148</v>
      </c>
      <c r="M49" s="134">
        <f t="shared" si="9"/>
        <v>74148</v>
      </c>
      <c r="N49" s="136">
        <f t="shared" si="10"/>
        <v>78315.117599999998</v>
      </c>
      <c r="O49" s="136">
        <f t="shared" si="11"/>
        <v>88590.061029119999</v>
      </c>
      <c r="P49" s="136">
        <f t="shared" si="12"/>
        <v>96811.218692622337</v>
      </c>
      <c r="Q49" s="134">
        <f t="shared" si="13"/>
        <v>100780.47865901985</v>
      </c>
      <c r="R49" s="137"/>
    </row>
  </sheetData>
  <mergeCells count="1">
    <mergeCell ref="C2:R2"/>
  </mergeCells>
  <pageMargins left="0.7" right="0.7" top="0.75" bottom="0.75" header="0.3" footer="0.3"/>
  <pageSetup scale="85" orientation="portrait" r:id="rId1"/>
  <headerFooter>
    <oddFooter>&amp;R_x000D_&amp;1#&amp;"Calibri"&amp;10&amp;K000000 Información Pública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575CB-7439-41D0-BC5C-A9517625A33A}">
  <sheetPr>
    <pageSetUpPr fitToPage="1"/>
  </sheetPr>
  <dimension ref="B1:M29"/>
  <sheetViews>
    <sheetView tabSelected="1" view="pageBreakPreview" topLeftCell="C1" zoomScaleNormal="85" zoomScaleSheetLayoutView="100" workbookViewId="0">
      <selection activeCell="C24" sqref="C24:I24"/>
    </sheetView>
  </sheetViews>
  <sheetFormatPr baseColWidth="10" defaultColWidth="11.42578125" defaultRowHeight="12.75" x14ac:dyDescent="0.2"/>
  <cols>
    <col min="1" max="1" width="7.85546875" style="13" customWidth="1"/>
    <col min="2" max="2" width="11.42578125" style="103" customWidth="1"/>
    <col min="3" max="3" width="73.140625" style="103" customWidth="1"/>
    <col min="4" max="4" width="11.28515625" style="103" customWidth="1"/>
    <col min="5" max="5" width="12.5703125" style="103" customWidth="1"/>
    <col min="6" max="7" width="14.85546875" style="103" customWidth="1"/>
    <col min="8" max="8" width="13" style="103" hidden="1" customWidth="1"/>
    <col min="9" max="9" width="15.85546875" style="103" hidden="1" customWidth="1"/>
    <col min="10" max="11" width="13.85546875" style="103" hidden="1" customWidth="1"/>
    <col min="12" max="12" width="21.5703125" style="103" customWidth="1"/>
    <col min="13" max="13" width="21.5703125" style="103" hidden="1" customWidth="1"/>
    <col min="14" max="16384" width="11.42578125" style="13"/>
  </cols>
  <sheetData>
    <row r="1" spans="2:13" ht="75" customHeight="1" thickBot="1" x14ac:dyDescent="0.25">
      <c r="B1" s="105"/>
      <c r="C1" s="148" t="s">
        <v>211</v>
      </c>
      <c r="D1" s="148"/>
      <c r="E1" s="148"/>
      <c r="F1" s="148"/>
      <c r="G1" s="148"/>
      <c r="H1" s="148"/>
      <c r="I1" s="148"/>
      <c r="J1" s="148"/>
      <c r="K1" s="148"/>
      <c r="L1" s="149"/>
      <c r="M1" s="13"/>
    </row>
    <row r="2" spans="2:13" s="103" customFormat="1" ht="71.25" customHeight="1" x14ac:dyDescent="0.2">
      <c r="B2" s="106" t="s">
        <v>3</v>
      </c>
      <c r="C2" s="107" t="s">
        <v>106</v>
      </c>
      <c r="D2" s="107" t="s">
        <v>107</v>
      </c>
      <c r="E2" s="107" t="s">
        <v>108</v>
      </c>
      <c r="F2" s="107" t="s">
        <v>207</v>
      </c>
      <c r="G2" s="107" t="s">
        <v>206</v>
      </c>
      <c r="H2" s="107" t="s">
        <v>111</v>
      </c>
      <c r="I2" s="107" t="s">
        <v>112</v>
      </c>
      <c r="J2" s="107" t="s">
        <v>113</v>
      </c>
      <c r="K2" s="108" t="s">
        <v>164</v>
      </c>
      <c r="L2" s="109" t="s">
        <v>114</v>
      </c>
      <c r="M2" s="110" t="s">
        <v>165</v>
      </c>
    </row>
    <row r="3" spans="2:13" s="103" customFormat="1" ht="114.75" x14ac:dyDescent="0.2">
      <c r="B3" s="111">
        <v>1</v>
      </c>
      <c r="C3" s="123" t="s">
        <v>186</v>
      </c>
      <c r="D3" s="112">
        <v>1</v>
      </c>
      <c r="E3" s="112" t="s">
        <v>115</v>
      </c>
      <c r="F3" s="113">
        <v>40000</v>
      </c>
      <c r="G3" s="113">
        <f>13000000/250</f>
        <v>52000</v>
      </c>
      <c r="H3" s="113">
        <f>STDEVA(F3:G3)</f>
        <v>8485.2813742385697</v>
      </c>
      <c r="I3" s="113">
        <f>AVERAGE(F3:G3)</f>
        <v>46000</v>
      </c>
      <c r="J3" s="124">
        <f>+H3/I3</f>
        <v>0.18446263857040368</v>
      </c>
      <c r="K3" s="115">
        <f>ROUNDUP((AVERAGE(F3:G3)),0)</f>
        <v>46000</v>
      </c>
      <c r="L3" s="116">
        <f>ROUNDUP((HARMEAN(F3:G3)),0)</f>
        <v>45218</v>
      </c>
      <c r="M3" s="117">
        <f>ROUNDUP((GEOMEAN(F3:G3)),0)</f>
        <v>45608</v>
      </c>
    </row>
    <row r="4" spans="2:13" s="103" customFormat="1" ht="114.75" x14ac:dyDescent="0.2">
      <c r="B4" s="111">
        <v>2</v>
      </c>
      <c r="C4" s="123" t="s">
        <v>190</v>
      </c>
      <c r="D4" s="112">
        <v>1</v>
      </c>
      <c r="E4" s="112" t="s">
        <v>115</v>
      </c>
      <c r="F4" s="113">
        <v>30000</v>
      </c>
      <c r="G4" s="113">
        <f>20000000/250</f>
        <v>80000</v>
      </c>
      <c r="H4" s="113">
        <f t="shared" ref="H4:H22" si="0">STDEVA(F4:G4)</f>
        <v>35355.33905932738</v>
      </c>
      <c r="I4" s="113">
        <f t="shared" ref="I4:I22" si="1">AVERAGE(F4:G4)</f>
        <v>55000</v>
      </c>
      <c r="J4" s="114">
        <f t="shared" ref="J4:J22" si="2">+H4/I4</f>
        <v>0.64282434653322507</v>
      </c>
      <c r="K4" s="115">
        <f t="shared" ref="K4:K22" si="3">ROUNDUP((AVERAGE(F4:G4)),0)</f>
        <v>55000</v>
      </c>
      <c r="L4" s="116">
        <f t="shared" ref="L4:L22" si="4">ROUNDUP((HARMEAN(F4:G4)),0)</f>
        <v>43637</v>
      </c>
      <c r="M4" s="117">
        <f t="shared" ref="M4:M22" si="5">ROUNDUP((GEOMEAN(F4:G4)),0)</f>
        <v>48990</v>
      </c>
    </row>
    <row r="5" spans="2:13" s="103" customFormat="1" ht="51" x14ac:dyDescent="0.2">
      <c r="B5" s="118">
        <v>3</v>
      </c>
      <c r="C5" s="123" t="s">
        <v>189</v>
      </c>
      <c r="D5" s="112">
        <v>1</v>
      </c>
      <c r="E5" s="119" t="s">
        <v>115</v>
      </c>
      <c r="F5" s="120">
        <v>24000</v>
      </c>
      <c r="G5" s="113">
        <f>4000000/150</f>
        <v>26666.666666666668</v>
      </c>
      <c r="H5" s="120">
        <f t="shared" si="0"/>
        <v>1885.6180831641275</v>
      </c>
      <c r="I5" s="120">
        <f t="shared" si="1"/>
        <v>25333.333333333336</v>
      </c>
      <c r="J5" s="125">
        <f t="shared" si="2"/>
        <v>7.443229275647871E-2</v>
      </c>
      <c r="K5" s="115">
        <f t="shared" si="3"/>
        <v>25334</v>
      </c>
      <c r="L5" s="116">
        <f t="shared" si="4"/>
        <v>25264</v>
      </c>
      <c r="M5" s="117">
        <f t="shared" si="5"/>
        <v>25299</v>
      </c>
    </row>
    <row r="6" spans="2:13" s="103" customFormat="1" ht="25.5" x14ac:dyDescent="0.2">
      <c r="B6" s="118">
        <v>4</v>
      </c>
      <c r="C6" s="123" t="s">
        <v>187</v>
      </c>
      <c r="D6" s="112">
        <v>1</v>
      </c>
      <c r="E6" s="119" t="s">
        <v>115</v>
      </c>
      <c r="F6" s="120">
        <v>6667</v>
      </c>
      <c r="G6" s="113">
        <f>900000/250</f>
        <v>3600</v>
      </c>
      <c r="H6" s="120">
        <f t="shared" si="0"/>
        <v>2168.6964978991414</v>
      </c>
      <c r="I6" s="120">
        <f t="shared" si="1"/>
        <v>5133.5</v>
      </c>
      <c r="J6" s="121">
        <f t="shared" si="2"/>
        <v>0.42245962752491312</v>
      </c>
      <c r="K6" s="115">
        <f t="shared" si="3"/>
        <v>5134</v>
      </c>
      <c r="L6" s="116">
        <f t="shared" si="4"/>
        <v>4676</v>
      </c>
      <c r="M6" s="117">
        <f t="shared" si="5"/>
        <v>4900</v>
      </c>
    </row>
    <row r="7" spans="2:13" s="103" customFormat="1" ht="25.5" x14ac:dyDescent="0.2">
      <c r="B7" s="118">
        <v>5</v>
      </c>
      <c r="C7" s="123" t="s">
        <v>205</v>
      </c>
      <c r="D7" s="112">
        <v>1</v>
      </c>
      <c r="E7" s="119" t="s">
        <v>115</v>
      </c>
      <c r="F7" s="120">
        <v>6667</v>
      </c>
      <c r="G7" s="113">
        <f>455000/150</f>
        <v>3033.3333333333335</v>
      </c>
      <c r="H7" s="120">
        <f t="shared" si="0"/>
        <v>2569.3903405715168</v>
      </c>
      <c r="I7" s="120">
        <f t="shared" si="1"/>
        <v>4850.166666666667</v>
      </c>
      <c r="J7" s="121">
        <f t="shared" si="2"/>
        <v>0.52975299967111444</v>
      </c>
      <c r="K7" s="115">
        <f t="shared" si="3"/>
        <v>4851</v>
      </c>
      <c r="L7" s="116">
        <f t="shared" si="4"/>
        <v>4170</v>
      </c>
      <c r="M7" s="117">
        <f t="shared" si="5"/>
        <v>4498</v>
      </c>
    </row>
    <row r="8" spans="2:13" s="103" customFormat="1" ht="38.25" x14ac:dyDescent="0.2">
      <c r="B8" s="118">
        <v>6</v>
      </c>
      <c r="C8" s="123" t="s">
        <v>188</v>
      </c>
      <c r="D8" s="112">
        <v>1</v>
      </c>
      <c r="E8" s="119" t="s">
        <v>115</v>
      </c>
      <c r="F8" s="120">
        <v>30000</v>
      </c>
      <c r="G8" s="113">
        <f>3500000/150</f>
        <v>23333.333333333332</v>
      </c>
      <c r="H8" s="120">
        <f t="shared" si="0"/>
        <v>4714.0452079103534</v>
      </c>
      <c r="I8" s="120">
        <f t="shared" si="1"/>
        <v>26666.666666666664</v>
      </c>
      <c r="J8" s="122">
        <f t="shared" si="2"/>
        <v>0.17677669529663828</v>
      </c>
      <c r="K8" s="115">
        <f t="shared" si="3"/>
        <v>26667</v>
      </c>
      <c r="L8" s="116">
        <f t="shared" si="4"/>
        <v>26250</v>
      </c>
      <c r="M8" s="117">
        <f t="shared" si="5"/>
        <v>26458</v>
      </c>
    </row>
    <row r="9" spans="2:13" s="103" customFormat="1" ht="89.25" x14ac:dyDescent="0.2">
      <c r="B9" s="118">
        <v>7</v>
      </c>
      <c r="C9" s="123" t="s">
        <v>193</v>
      </c>
      <c r="D9" s="112">
        <v>1</v>
      </c>
      <c r="E9" s="119" t="s">
        <v>115</v>
      </c>
      <c r="F9" s="120">
        <v>14000</v>
      </c>
      <c r="G9" s="113">
        <f>13000000/500</f>
        <v>26000</v>
      </c>
      <c r="H9" s="120">
        <f t="shared" si="0"/>
        <v>8485.2813742385697</v>
      </c>
      <c r="I9" s="120">
        <f t="shared" si="1"/>
        <v>20000</v>
      </c>
      <c r="J9" s="121">
        <f t="shared" si="2"/>
        <v>0.42426406871192851</v>
      </c>
      <c r="K9" s="115">
        <f t="shared" si="3"/>
        <v>20000</v>
      </c>
      <c r="L9" s="116">
        <f t="shared" si="4"/>
        <v>18200</v>
      </c>
      <c r="M9" s="117">
        <f t="shared" si="5"/>
        <v>19079</v>
      </c>
    </row>
    <row r="10" spans="2:13" s="103" customFormat="1" ht="89.25" x14ac:dyDescent="0.2">
      <c r="B10" s="118">
        <v>8</v>
      </c>
      <c r="C10" s="123" t="s">
        <v>194</v>
      </c>
      <c r="D10" s="112">
        <v>1</v>
      </c>
      <c r="E10" s="119" t="s">
        <v>115</v>
      </c>
      <c r="F10" s="120">
        <v>30000</v>
      </c>
      <c r="G10" s="113">
        <f>10000000/500</f>
        <v>20000</v>
      </c>
      <c r="H10" s="120">
        <f t="shared" si="0"/>
        <v>7071.0678118654751</v>
      </c>
      <c r="I10" s="120">
        <f t="shared" si="1"/>
        <v>25000</v>
      </c>
      <c r="J10" s="121">
        <f t="shared" si="2"/>
        <v>0.28284271247461901</v>
      </c>
      <c r="K10" s="115">
        <f t="shared" si="3"/>
        <v>25000</v>
      </c>
      <c r="L10" s="116">
        <f t="shared" si="4"/>
        <v>24000</v>
      </c>
      <c r="M10" s="117">
        <f t="shared" si="5"/>
        <v>24495</v>
      </c>
    </row>
    <row r="11" spans="2:13" s="103" customFormat="1" ht="39.75" customHeight="1" x14ac:dyDescent="0.2">
      <c r="B11" s="118">
        <v>9</v>
      </c>
      <c r="C11" s="123" t="s">
        <v>195</v>
      </c>
      <c r="D11" s="112">
        <v>1</v>
      </c>
      <c r="E11" s="119" t="s">
        <v>115</v>
      </c>
      <c r="F11" s="120">
        <f>45600/2</f>
        <v>22800</v>
      </c>
      <c r="G11" s="113">
        <f>12500000/500</f>
        <v>25000</v>
      </c>
      <c r="H11" s="120">
        <f t="shared" si="0"/>
        <v>1555.6349186104046</v>
      </c>
      <c r="I11" s="120">
        <f t="shared" si="1"/>
        <v>23900</v>
      </c>
      <c r="J11" s="125">
        <f t="shared" si="2"/>
        <v>6.508932713851065E-2</v>
      </c>
      <c r="K11" s="115">
        <f t="shared" si="3"/>
        <v>23900</v>
      </c>
      <c r="L11" s="116">
        <f t="shared" si="4"/>
        <v>23850</v>
      </c>
      <c r="M11" s="117">
        <f t="shared" si="5"/>
        <v>23875</v>
      </c>
    </row>
    <row r="12" spans="2:13" s="103" customFormat="1" ht="38.25" x14ac:dyDescent="0.2">
      <c r="B12" s="118">
        <v>10</v>
      </c>
      <c r="C12" s="123" t="s">
        <v>196</v>
      </c>
      <c r="D12" s="112">
        <v>1</v>
      </c>
      <c r="E12" s="119" t="s">
        <v>115</v>
      </c>
      <c r="F12" s="120">
        <v>22800</v>
      </c>
      <c r="G12" s="113">
        <f>11000000/500</f>
        <v>22000</v>
      </c>
      <c r="H12" s="120">
        <f t="shared" si="0"/>
        <v>565.68542494923804</v>
      </c>
      <c r="I12" s="120">
        <f t="shared" si="1"/>
        <v>22400</v>
      </c>
      <c r="J12" s="125">
        <f t="shared" si="2"/>
        <v>2.525381361380527E-2</v>
      </c>
      <c r="K12" s="115">
        <f t="shared" si="3"/>
        <v>22400</v>
      </c>
      <c r="L12" s="116">
        <f t="shared" si="4"/>
        <v>22393</v>
      </c>
      <c r="M12" s="117">
        <f t="shared" si="5"/>
        <v>22397</v>
      </c>
    </row>
    <row r="13" spans="2:13" s="103" customFormat="1" ht="51" x14ac:dyDescent="0.2">
      <c r="B13" s="118">
        <v>11</v>
      </c>
      <c r="C13" s="123" t="s">
        <v>197</v>
      </c>
      <c r="D13" s="112">
        <v>1</v>
      </c>
      <c r="E13" s="119" t="s">
        <v>115</v>
      </c>
      <c r="F13" s="120">
        <v>45000</v>
      </c>
      <c r="G13" s="113">
        <f>9500000/300</f>
        <v>31666.666666666668</v>
      </c>
      <c r="H13" s="120">
        <f t="shared" si="0"/>
        <v>9428.0904158206049</v>
      </c>
      <c r="I13" s="120">
        <f t="shared" si="1"/>
        <v>38333.333333333336</v>
      </c>
      <c r="J13" s="121">
        <f t="shared" si="2"/>
        <v>0.24595018476053751</v>
      </c>
      <c r="K13" s="115">
        <f t="shared" si="3"/>
        <v>38334</v>
      </c>
      <c r="L13" s="116">
        <f t="shared" si="4"/>
        <v>37174</v>
      </c>
      <c r="M13" s="117">
        <f t="shared" si="5"/>
        <v>37750</v>
      </c>
    </row>
    <row r="14" spans="2:13" s="103" customFormat="1" ht="51" x14ac:dyDescent="0.2">
      <c r="B14" s="118">
        <v>12</v>
      </c>
      <c r="C14" s="123" t="s">
        <v>198</v>
      </c>
      <c r="D14" s="112">
        <v>1</v>
      </c>
      <c r="E14" s="119" t="s">
        <v>115</v>
      </c>
      <c r="F14" s="120">
        <v>40000</v>
      </c>
      <c r="G14" s="113">
        <f>5600000/200</f>
        <v>28000</v>
      </c>
      <c r="H14" s="120">
        <f t="shared" si="0"/>
        <v>8485.2813742385697</v>
      </c>
      <c r="I14" s="120">
        <f t="shared" si="1"/>
        <v>34000</v>
      </c>
      <c r="J14" s="121">
        <f t="shared" si="2"/>
        <v>0.24956709924231088</v>
      </c>
      <c r="K14" s="115">
        <f t="shared" si="3"/>
        <v>34000</v>
      </c>
      <c r="L14" s="116">
        <f t="shared" si="4"/>
        <v>32942</v>
      </c>
      <c r="M14" s="117">
        <f t="shared" si="5"/>
        <v>33467</v>
      </c>
    </row>
    <row r="15" spans="2:13" s="103" customFormat="1" ht="25.5" x14ac:dyDescent="0.2">
      <c r="B15" s="118">
        <v>13</v>
      </c>
      <c r="C15" s="123" t="s">
        <v>191</v>
      </c>
      <c r="D15" s="112">
        <v>1</v>
      </c>
      <c r="E15" s="119" t="s">
        <v>115</v>
      </c>
      <c r="F15" s="120">
        <v>4800</v>
      </c>
      <c r="G15" s="113">
        <f>900000/500</f>
        <v>1800</v>
      </c>
      <c r="H15" s="120">
        <f t="shared" si="0"/>
        <v>2121.3203435596424</v>
      </c>
      <c r="I15" s="120">
        <f t="shared" si="1"/>
        <v>3300</v>
      </c>
      <c r="J15" s="121">
        <f t="shared" si="2"/>
        <v>0.64282434653322496</v>
      </c>
      <c r="K15" s="115">
        <f t="shared" si="3"/>
        <v>3300</v>
      </c>
      <c r="L15" s="116">
        <f t="shared" si="4"/>
        <v>2619</v>
      </c>
      <c r="M15" s="117">
        <f t="shared" si="5"/>
        <v>2940</v>
      </c>
    </row>
    <row r="16" spans="2:13" s="103" customFormat="1" ht="25.5" x14ac:dyDescent="0.2">
      <c r="B16" s="118">
        <v>14</v>
      </c>
      <c r="C16" s="123" t="s">
        <v>192</v>
      </c>
      <c r="D16" s="112">
        <v>1</v>
      </c>
      <c r="E16" s="119" t="s">
        <v>115</v>
      </c>
      <c r="F16" s="120">
        <v>4800</v>
      </c>
      <c r="G16" s="113">
        <f>1200000/500</f>
        <v>2400</v>
      </c>
      <c r="H16" s="120">
        <f t="shared" si="0"/>
        <v>1697.0562748477141</v>
      </c>
      <c r="I16" s="120">
        <f t="shared" si="1"/>
        <v>3600</v>
      </c>
      <c r="J16" s="121">
        <f t="shared" si="2"/>
        <v>0.47140452079103168</v>
      </c>
      <c r="K16" s="115">
        <f t="shared" si="3"/>
        <v>3600</v>
      </c>
      <c r="L16" s="116">
        <f t="shared" si="4"/>
        <v>3200</v>
      </c>
      <c r="M16" s="117">
        <f t="shared" si="5"/>
        <v>3395</v>
      </c>
    </row>
    <row r="17" spans="2:13" s="103" customFormat="1" ht="25.5" x14ac:dyDescent="0.2">
      <c r="B17" s="118">
        <v>15</v>
      </c>
      <c r="C17" s="123" t="s">
        <v>202</v>
      </c>
      <c r="D17" s="112">
        <v>1</v>
      </c>
      <c r="E17" s="119" t="s">
        <v>115</v>
      </c>
      <c r="F17" s="120">
        <v>4800</v>
      </c>
      <c r="G17" s="113">
        <f>2500000/500</f>
        <v>5000</v>
      </c>
      <c r="H17" s="120">
        <f t="shared" si="0"/>
        <v>141.42135623730951</v>
      </c>
      <c r="I17" s="120">
        <f t="shared" si="1"/>
        <v>4900</v>
      </c>
      <c r="J17" s="125">
        <f t="shared" si="2"/>
        <v>2.8861501272920309E-2</v>
      </c>
      <c r="K17" s="115">
        <f t="shared" si="3"/>
        <v>4900</v>
      </c>
      <c r="L17" s="116">
        <f t="shared" si="4"/>
        <v>4898</v>
      </c>
      <c r="M17" s="117">
        <f t="shared" si="5"/>
        <v>4899</v>
      </c>
    </row>
    <row r="18" spans="2:13" s="103" customFormat="1" ht="76.5" x14ac:dyDescent="0.2">
      <c r="B18" s="118">
        <v>16</v>
      </c>
      <c r="C18" s="123" t="s">
        <v>199</v>
      </c>
      <c r="D18" s="112">
        <v>1</v>
      </c>
      <c r="E18" s="119" t="s">
        <v>115</v>
      </c>
      <c r="F18" s="120">
        <v>12000</v>
      </c>
      <c r="G18" s="113">
        <f>19000000/500</f>
        <v>38000</v>
      </c>
      <c r="H18" s="120">
        <f t="shared" si="0"/>
        <v>18384.776310850237</v>
      </c>
      <c r="I18" s="120">
        <f t="shared" si="1"/>
        <v>25000</v>
      </c>
      <c r="J18" s="121">
        <f t="shared" si="2"/>
        <v>0.73539105243400948</v>
      </c>
      <c r="K18" s="115">
        <f t="shared" si="3"/>
        <v>25000</v>
      </c>
      <c r="L18" s="116">
        <f t="shared" si="4"/>
        <v>18240</v>
      </c>
      <c r="M18" s="117">
        <f t="shared" si="5"/>
        <v>21355</v>
      </c>
    </row>
    <row r="19" spans="2:13" s="103" customFormat="1" x14ac:dyDescent="0.2">
      <c r="B19" s="118">
        <v>17</v>
      </c>
      <c r="C19" s="123" t="s">
        <v>200</v>
      </c>
      <c r="D19" s="112">
        <v>1</v>
      </c>
      <c r="E19" s="119" t="s">
        <v>115</v>
      </c>
      <c r="F19" s="120">
        <v>4800</v>
      </c>
      <c r="G19" s="113">
        <f>6000000/500</f>
        <v>12000</v>
      </c>
      <c r="H19" s="120">
        <f t="shared" si="0"/>
        <v>5091.1688245431424</v>
      </c>
      <c r="I19" s="120">
        <f t="shared" si="1"/>
        <v>8400</v>
      </c>
      <c r="J19" s="121">
        <f t="shared" si="2"/>
        <v>0.60609152673132649</v>
      </c>
      <c r="K19" s="115">
        <f t="shared" si="3"/>
        <v>8400</v>
      </c>
      <c r="L19" s="116">
        <f t="shared" si="4"/>
        <v>6858</v>
      </c>
      <c r="M19" s="117">
        <f t="shared" si="5"/>
        <v>7590</v>
      </c>
    </row>
    <row r="20" spans="2:13" s="103" customFormat="1" ht="39.75" customHeight="1" x14ac:dyDescent="0.2">
      <c r="B20" s="118">
        <v>18</v>
      </c>
      <c r="C20" s="123" t="s">
        <v>201</v>
      </c>
      <c r="D20" s="112">
        <v>1</v>
      </c>
      <c r="E20" s="119" t="s">
        <v>115</v>
      </c>
      <c r="F20" s="120">
        <v>18000</v>
      </c>
      <c r="G20" s="113">
        <f>3500000/200</f>
        <v>17500</v>
      </c>
      <c r="H20" s="120">
        <f t="shared" si="0"/>
        <v>353.55339059327378</v>
      </c>
      <c r="I20" s="120">
        <f t="shared" si="1"/>
        <v>17750</v>
      </c>
      <c r="J20" s="125">
        <f t="shared" si="2"/>
        <v>1.9918500878494297E-2</v>
      </c>
      <c r="K20" s="115">
        <f t="shared" si="3"/>
        <v>17750</v>
      </c>
      <c r="L20" s="116">
        <f t="shared" si="4"/>
        <v>17747</v>
      </c>
      <c r="M20" s="117">
        <f t="shared" si="5"/>
        <v>17749</v>
      </c>
    </row>
    <row r="21" spans="2:13" s="103" customFormat="1" ht="63.75" x14ac:dyDescent="0.2">
      <c r="B21" s="118">
        <v>19</v>
      </c>
      <c r="C21" s="123" t="s">
        <v>203</v>
      </c>
      <c r="D21" s="112">
        <v>1</v>
      </c>
      <c r="E21" s="119" t="s">
        <v>115</v>
      </c>
      <c r="F21" s="120">
        <f>8000000/200</f>
        <v>40000</v>
      </c>
      <c r="G21" s="113">
        <f>22000000/200</f>
        <v>110000</v>
      </c>
      <c r="H21" s="120">
        <f t="shared" si="0"/>
        <v>49497.474683058324</v>
      </c>
      <c r="I21" s="120">
        <f t="shared" si="1"/>
        <v>75000</v>
      </c>
      <c r="J21" s="121">
        <f t="shared" si="2"/>
        <v>0.65996632910744435</v>
      </c>
      <c r="K21" s="115">
        <f t="shared" si="3"/>
        <v>75000</v>
      </c>
      <c r="L21" s="116">
        <f t="shared" si="4"/>
        <v>58667</v>
      </c>
      <c r="M21" s="117">
        <f t="shared" si="5"/>
        <v>66333</v>
      </c>
    </row>
    <row r="22" spans="2:13" s="103" customFormat="1" ht="39" thickBot="1" x14ac:dyDescent="0.25">
      <c r="B22" s="118">
        <v>20</v>
      </c>
      <c r="C22" s="123" t="s">
        <v>204</v>
      </c>
      <c r="D22" s="112">
        <v>1</v>
      </c>
      <c r="E22" s="119" t="s">
        <v>115</v>
      </c>
      <c r="F22" s="120">
        <f>7000000/200</f>
        <v>35000</v>
      </c>
      <c r="G22" s="113">
        <f>7000000/200</f>
        <v>35000</v>
      </c>
      <c r="H22" s="120">
        <f t="shared" si="0"/>
        <v>0</v>
      </c>
      <c r="I22" s="120">
        <f t="shared" si="1"/>
        <v>35000</v>
      </c>
      <c r="J22" s="125">
        <f t="shared" si="2"/>
        <v>0</v>
      </c>
      <c r="K22" s="115">
        <f t="shared" si="3"/>
        <v>35000</v>
      </c>
      <c r="L22" s="116">
        <f t="shared" si="4"/>
        <v>35000</v>
      </c>
      <c r="M22" s="117">
        <f t="shared" si="5"/>
        <v>35000</v>
      </c>
    </row>
    <row r="23" spans="2:13" ht="27" customHeight="1" x14ac:dyDescent="0.2">
      <c r="B23" s="150" t="s">
        <v>152</v>
      </c>
      <c r="C23" s="153" t="s">
        <v>153</v>
      </c>
      <c r="D23" s="153"/>
      <c r="E23" s="153"/>
      <c r="F23" s="153"/>
      <c r="G23" s="153"/>
      <c r="H23" s="153"/>
      <c r="I23" s="154"/>
      <c r="J23" s="155" t="s">
        <v>154</v>
      </c>
      <c r="K23" s="156"/>
      <c r="L23" s="157"/>
      <c r="M23" s="13"/>
    </row>
    <row r="24" spans="2:13" ht="14.25" customHeight="1" x14ac:dyDescent="0.2">
      <c r="B24" s="151"/>
      <c r="C24" s="158" t="s">
        <v>155</v>
      </c>
      <c r="D24" s="158"/>
      <c r="E24" s="158"/>
      <c r="F24" s="158"/>
      <c r="G24" s="158"/>
      <c r="H24" s="158"/>
      <c r="I24" s="159"/>
      <c r="J24" s="160" t="s">
        <v>175</v>
      </c>
      <c r="K24" s="161"/>
      <c r="L24" s="162"/>
      <c r="M24" s="13"/>
    </row>
    <row r="25" spans="2:13" ht="14.25" customHeight="1" x14ac:dyDescent="0.2">
      <c r="B25" s="151"/>
      <c r="C25" s="158" t="s">
        <v>156</v>
      </c>
      <c r="D25" s="158"/>
      <c r="E25" s="158"/>
      <c r="F25" s="158"/>
      <c r="G25" s="158"/>
      <c r="H25" s="158"/>
      <c r="I25" s="159"/>
      <c r="J25" s="160"/>
      <c r="K25" s="161"/>
      <c r="L25" s="162"/>
      <c r="M25" s="13"/>
    </row>
    <row r="26" spans="2:13" ht="14.25" customHeight="1" x14ac:dyDescent="0.2">
      <c r="B26" s="151"/>
      <c r="C26" s="158" t="s">
        <v>157</v>
      </c>
      <c r="D26" s="158"/>
      <c r="E26" s="158"/>
      <c r="F26" s="158"/>
      <c r="G26" s="158"/>
      <c r="H26" s="158"/>
      <c r="I26" s="159"/>
      <c r="J26" s="160"/>
      <c r="K26" s="161"/>
      <c r="L26" s="162"/>
      <c r="M26" s="13"/>
    </row>
    <row r="27" spans="2:13" ht="31.5" customHeight="1" thickBot="1" x14ac:dyDescent="0.25">
      <c r="B27" s="152"/>
      <c r="C27" s="166" t="s">
        <v>208</v>
      </c>
      <c r="D27" s="166"/>
      <c r="E27" s="166"/>
      <c r="F27" s="166"/>
      <c r="G27" s="166"/>
      <c r="H27" s="166"/>
      <c r="I27" s="167"/>
      <c r="J27" s="163"/>
      <c r="K27" s="164"/>
      <c r="L27" s="165"/>
      <c r="M27" s="13"/>
    </row>
    <row r="29" spans="2:13" x14ac:dyDescent="0.2">
      <c r="C29" s="104"/>
    </row>
  </sheetData>
  <autoFilter ref="B2:L27" xr:uid="{AE81F97A-2D4C-42B9-97F3-0D24CD8BB3C8}"/>
  <mergeCells count="9">
    <mergeCell ref="C1:L1"/>
    <mergeCell ref="B23:B27"/>
    <mergeCell ref="C23:I23"/>
    <mergeCell ref="J23:L23"/>
    <mergeCell ref="C24:I24"/>
    <mergeCell ref="J24:L27"/>
    <mergeCell ref="C25:I25"/>
    <mergeCell ref="C26:I26"/>
    <mergeCell ref="C27:I27"/>
  </mergeCells>
  <pageMargins left="0.7" right="0.7" top="0.75" bottom="0.75" header="0.3" footer="0.3"/>
  <pageSetup scale="74" fitToHeight="0" orientation="landscape" r:id="rId1"/>
  <headerFooter>
    <oddFooter>&amp;R_x000D_&amp;1#&amp;"Calibri"&amp;10&amp;K000000 Información Pública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59A09-BF1B-4861-B13C-08E4D5354D44}">
  <dimension ref="B1:M54"/>
  <sheetViews>
    <sheetView view="pageBreakPreview" topLeftCell="C25" zoomScaleNormal="85" zoomScaleSheetLayoutView="100" workbookViewId="0">
      <selection activeCell="H58" sqref="H58:H59"/>
    </sheetView>
  </sheetViews>
  <sheetFormatPr baseColWidth="10" defaultColWidth="11.42578125" defaultRowHeight="12.75" x14ac:dyDescent="0.2"/>
  <cols>
    <col min="1" max="1" width="7.85546875" customWidth="1"/>
    <col min="2" max="2" width="11.42578125" style="1" customWidth="1"/>
    <col min="3" max="3" width="73.140625" style="1" customWidth="1"/>
    <col min="4" max="4" width="11.28515625" style="1" customWidth="1"/>
    <col min="5" max="5" width="12.5703125" style="1" customWidth="1"/>
    <col min="6" max="7" width="14.85546875" style="1" customWidth="1"/>
    <col min="8" max="8" width="13" style="1" customWidth="1"/>
    <col min="9" max="9" width="15.85546875" style="1" customWidth="1"/>
    <col min="10" max="11" width="13.85546875" style="1" customWidth="1"/>
    <col min="12" max="12" width="21.5703125" style="1" customWidth="1"/>
    <col min="13" max="13" width="21.5703125" style="1" hidden="1" customWidth="1"/>
  </cols>
  <sheetData>
    <row r="1" spans="2:13" ht="75" customHeight="1" thickBot="1" x14ac:dyDescent="0.25">
      <c r="B1" s="86"/>
      <c r="C1" s="168" t="s">
        <v>163</v>
      </c>
      <c r="D1" s="168"/>
      <c r="E1" s="168"/>
      <c r="F1" s="168"/>
      <c r="G1" s="168"/>
      <c r="H1" s="168"/>
      <c r="I1" s="168"/>
      <c r="J1" s="168"/>
      <c r="K1" s="168"/>
      <c r="L1" s="169"/>
      <c r="M1"/>
    </row>
    <row r="2" spans="2:13" s="82" customFormat="1" ht="71.25" customHeight="1" x14ac:dyDescent="0.2">
      <c r="B2" s="83" t="s">
        <v>3</v>
      </c>
      <c r="C2" s="84" t="s">
        <v>106</v>
      </c>
      <c r="D2" s="84" t="s">
        <v>107</v>
      </c>
      <c r="E2" s="84" t="s">
        <v>108</v>
      </c>
      <c r="F2" s="84" t="s">
        <v>109</v>
      </c>
      <c r="G2" s="84" t="s">
        <v>110</v>
      </c>
      <c r="H2" s="84" t="s">
        <v>111</v>
      </c>
      <c r="I2" s="84" t="s">
        <v>112</v>
      </c>
      <c r="J2" s="84" t="s">
        <v>113</v>
      </c>
      <c r="K2" s="96" t="s">
        <v>164</v>
      </c>
      <c r="L2" s="95" t="s">
        <v>114</v>
      </c>
      <c r="M2" s="94" t="s">
        <v>165</v>
      </c>
    </row>
    <row r="3" spans="2:13" s="1" customFormat="1" ht="90" x14ac:dyDescent="0.2">
      <c r="B3" s="87">
        <v>1</v>
      </c>
      <c r="C3" s="88" t="s">
        <v>166</v>
      </c>
      <c r="D3" s="88">
        <v>1</v>
      </c>
      <c r="E3" s="88" t="s">
        <v>115</v>
      </c>
      <c r="F3" s="101">
        <v>49800</v>
      </c>
      <c r="G3" s="101">
        <v>220000</v>
      </c>
      <c r="H3" s="101">
        <f t="shared" ref="H3:H47" si="0">STDEVA(F3:G3)</f>
        <v>120349.5741579504</v>
      </c>
      <c r="I3" s="101">
        <f t="shared" ref="I3:I47" si="1">AVERAGE(F3:G3)</f>
        <v>134900</v>
      </c>
      <c r="J3" s="92">
        <f>+H3/I3</f>
        <v>0.89213917092624462</v>
      </c>
      <c r="K3" s="98">
        <f>ROUNDUP((AVERAGE(F3:G3)),0)</f>
        <v>134900</v>
      </c>
      <c r="L3" s="100">
        <f>ROUNDUP((HARMEAN(F3:G3)),0)</f>
        <v>81216</v>
      </c>
      <c r="M3" s="99">
        <f>ROUNDUP((GEOMEAN(F3:G3)),0)</f>
        <v>104671</v>
      </c>
    </row>
    <row r="4" spans="2:13" s="1" customFormat="1" ht="75" x14ac:dyDescent="0.2">
      <c r="B4" s="87">
        <v>2</v>
      </c>
      <c r="C4" s="88" t="s">
        <v>116</v>
      </c>
      <c r="D4" s="88">
        <v>1</v>
      </c>
      <c r="E4" s="88" t="s">
        <v>115</v>
      </c>
      <c r="F4" s="101">
        <v>10000</v>
      </c>
      <c r="G4" s="101">
        <v>17000</v>
      </c>
      <c r="H4" s="101">
        <f t="shared" si="0"/>
        <v>4949.7474683058326</v>
      </c>
      <c r="I4" s="101">
        <f t="shared" si="1"/>
        <v>13500</v>
      </c>
      <c r="J4" s="92">
        <f t="shared" ref="J4:J47" si="2">+H4/I4</f>
        <v>0.36664796061524685</v>
      </c>
      <c r="K4" s="98">
        <f t="shared" ref="K4:K47" si="3">ROUNDUP((AVERAGE(F4:G4)),0)</f>
        <v>13500</v>
      </c>
      <c r="L4" s="100">
        <f t="shared" ref="L4:L47" si="4">ROUNDUP((HARMEAN(F4:G4)),0)</f>
        <v>12593</v>
      </c>
      <c r="M4" s="99">
        <f t="shared" ref="M4:M47" si="5">ROUNDUP((GEOMEAN(F4:G4)),0)</f>
        <v>13039</v>
      </c>
    </row>
    <row r="5" spans="2:13" s="1" customFormat="1" ht="120" x14ac:dyDescent="0.2">
      <c r="B5" s="89">
        <v>3</v>
      </c>
      <c r="C5" s="90" t="s">
        <v>167</v>
      </c>
      <c r="D5" s="88">
        <v>1</v>
      </c>
      <c r="E5" s="90" t="s">
        <v>115</v>
      </c>
      <c r="F5" s="102">
        <v>49800</v>
      </c>
      <c r="G5" s="102">
        <v>250000</v>
      </c>
      <c r="H5" s="102">
        <f t="shared" si="0"/>
        <v>141562.77759354681</v>
      </c>
      <c r="I5" s="102">
        <f t="shared" si="1"/>
        <v>149900</v>
      </c>
      <c r="J5" s="93">
        <f t="shared" si="2"/>
        <v>0.94438143824914478</v>
      </c>
      <c r="K5" s="98">
        <f t="shared" si="3"/>
        <v>149900</v>
      </c>
      <c r="L5" s="100">
        <f t="shared" si="4"/>
        <v>83056</v>
      </c>
      <c r="M5" s="99">
        <f t="shared" si="5"/>
        <v>111580</v>
      </c>
    </row>
    <row r="6" spans="2:13" s="1" customFormat="1" ht="75" x14ac:dyDescent="0.2">
      <c r="B6" s="89">
        <v>4</v>
      </c>
      <c r="C6" s="90" t="s">
        <v>117</v>
      </c>
      <c r="D6" s="88">
        <v>1</v>
      </c>
      <c r="E6" s="90" t="s">
        <v>115</v>
      </c>
      <c r="F6" s="102">
        <v>10000</v>
      </c>
      <c r="G6" s="102">
        <v>12000</v>
      </c>
      <c r="H6" s="102">
        <f t="shared" si="0"/>
        <v>1414.2135623730951</v>
      </c>
      <c r="I6" s="102">
        <f t="shared" si="1"/>
        <v>11000</v>
      </c>
      <c r="J6" s="91">
        <f t="shared" si="2"/>
        <v>0.12856486930664501</v>
      </c>
      <c r="K6" s="98">
        <f t="shared" si="3"/>
        <v>11000</v>
      </c>
      <c r="L6" s="100">
        <f t="shared" si="4"/>
        <v>10910</v>
      </c>
      <c r="M6" s="99">
        <f t="shared" si="5"/>
        <v>10955</v>
      </c>
    </row>
    <row r="7" spans="2:13" s="1" customFormat="1" ht="105" x14ac:dyDescent="0.2">
      <c r="B7" s="89">
        <v>5</v>
      </c>
      <c r="C7" s="90" t="s">
        <v>168</v>
      </c>
      <c r="D7" s="88">
        <v>1</v>
      </c>
      <c r="E7" s="90" t="s">
        <v>115</v>
      </c>
      <c r="F7" s="102">
        <v>49800</v>
      </c>
      <c r="G7" s="102">
        <v>180000</v>
      </c>
      <c r="H7" s="102">
        <f t="shared" si="0"/>
        <v>92065.302910488492</v>
      </c>
      <c r="I7" s="102">
        <f t="shared" si="1"/>
        <v>114900</v>
      </c>
      <c r="J7" s="93">
        <f t="shared" si="2"/>
        <v>0.80126460322444293</v>
      </c>
      <c r="K7" s="98">
        <f t="shared" si="3"/>
        <v>114900</v>
      </c>
      <c r="L7" s="100">
        <f t="shared" si="4"/>
        <v>78016</v>
      </c>
      <c r="M7" s="99">
        <f t="shared" si="5"/>
        <v>94679</v>
      </c>
    </row>
    <row r="8" spans="2:13" s="1" customFormat="1" ht="75" x14ac:dyDescent="0.2">
      <c r="B8" s="89">
        <v>6</v>
      </c>
      <c r="C8" s="90" t="s">
        <v>118</v>
      </c>
      <c r="D8" s="88">
        <v>1</v>
      </c>
      <c r="E8" s="90" t="s">
        <v>115</v>
      </c>
      <c r="F8" s="102">
        <v>10000</v>
      </c>
      <c r="G8" s="102">
        <v>28000</v>
      </c>
      <c r="H8" s="102">
        <f t="shared" si="0"/>
        <v>12727.922061357855</v>
      </c>
      <c r="I8" s="102">
        <f t="shared" si="1"/>
        <v>19000</v>
      </c>
      <c r="J8" s="93">
        <f t="shared" si="2"/>
        <v>0.66989063480830813</v>
      </c>
      <c r="K8" s="98">
        <f t="shared" si="3"/>
        <v>19000</v>
      </c>
      <c r="L8" s="100">
        <f t="shared" si="4"/>
        <v>14737</v>
      </c>
      <c r="M8" s="99">
        <f t="shared" si="5"/>
        <v>16734</v>
      </c>
    </row>
    <row r="9" spans="2:13" s="1" customFormat="1" ht="105" x14ac:dyDescent="0.2">
      <c r="B9" s="89">
        <v>7</v>
      </c>
      <c r="C9" s="90" t="s">
        <v>169</v>
      </c>
      <c r="D9" s="88">
        <v>1</v>
      </c>
      <c r="E9" s="90" t="s">
        <v>115</v>
      </c>
      <c r="F9" s="102">
        <v>40000</v>
      </c>
      <c r="G9" s="102">
        <v>160000</v>
      </c>
      <c r="H9" s="102">
        <f t="shared" si="0"/>
        <v>84852.813742385697</v>
      </c>
      <c r="I9" s="102">
        <f t="shared" si="1"/>
        <v>100000</v>
      </c>
      <c r="J9" s="93">
        <f t="shared" si="2"/>
        <v>0.84852813742385702</v>
      </c>
      <c r="K9" s="98">
        <f t="shared" si="3"/>
        <v>100000</v>
      </c>
      <c r="L9" s="100">
        <f t="shared" si="4"/>
        <v>64000</v>
      </c>
      <c r="M9" s="99">
        <f t="shared" si="5"/>
        <v>80000</v>
      </c>
    </row>
    <row r="10" spans="2:13" s="1" customFormat="1" ht="75" x14ac:dyDescent="0.2">
      <c r="B10" s="89">
        <v>8</v>
      </c>
      <c r="C10" s="90" t="s">
        <v>119</v>
      </c>
      <c r="D10" s="88">
        <v>1</v>
      </c>
      <c r="E10" s="90" t="s">
        <v>115</v>
      </c>
      <c r="F10" s="102">
        <v>45000</v>
      </c>
      <c r="G10" s="102">
        <v>29000</v>
      </c>
      <c r="H10" s="102">
        <f t="shared" si="0"/>
        <v>11313.708498984761</v>
      </c>
      <c r="I10" s="102">
        <f t="shared" si="1"/>
        <v>37000</v>
      </c>
      <c r="J10" s="93">
        <f t="shared" si="2"/>
        <v>0.30577590537796651</v>
      </c>
      <c r="K10" s="98">
        <f t="shared" si="3"/>
        <v>37000</v>
      </c>
      <c r="L10" s="100">
        <f t="shared" si="4"/>
        <v>35271</v>
      </c>
      <c r="M10" s="99">
        <f t="shared" si="5"/>
        <v>36125</v>
      </c>
    </row>
    <row r="11" spans="2:13" s="1" customFormat="1" ht="39.75" customHeight="1" x14ac:dyDescent="0.2">
      <c r="B11" s="89">
        <v>9</v>
      </c>
      <c r="C11" s="90" t="s">
        <v>120</v>
      </c>
      <c r="D11" s="88">
        <v>1</v>
      </c>
      <c r="E11" s="90" t="s">
        <v>115</v>
      </c>
      <c r="F11" s="102">
        <v>18000</v>
      </c>
      <c r="G11" s="102">
        <v>32000</v>
      </c>
      <c r="H11" s="102">
        <f t="shared" si="0"/>
        <v>9899.4949366116653</v>
      </c>
      <c r="I11" s="102">
        <f t="shared" si="1"/>
        <v>25000</v>
      </c>
      <c r="J11" s="93">
        <f t="shared" si="2"/>
        <v>0.3959797974644666</v>
      </c>
      <c r="K11" s="98">
        <f t="shared" si="3"/>
        <v>25000</v>
      </c>
      <c r="L11" s="100">
        <f t="shared" si="4"/>
        <v>23040</v>
      </c>
      <c r="M11" s="99">
        <f t="shared" si="5"/>
        <v>24000</v>
      </c>
    </row>
    <row r="12" spans="2:13" s="1" customFormat="1" ht="120" x14ac:dyDescent="0.2">
      <c r="B12" s="89">
        <v>10</v>
      </c>
      <c r="C12" s="90" t="s">
        <v>170</v>
      </c>
      <c r="D12" s="88">
        <v>1</v>
      </c>
      <c r="E12" s="90" t="s">
        <v>115</v>
      </c>
      <c r="F12" s="102">
        <v>200000</v>
      </c>
      <c r="G12" s="102">
        <v>180000</v>
      </c>
      <c r="H12" s="102">
        <f t="shared" si="0"/>
        <v>14142.13562373095</v>
      </c>
      <c r="I12" s="102">
        <f t="shared" si="1"/>
        <v>190000</v>
      </c>
      <c r="J12" s="97">
        <f t="shared" si="2"/>
        <v>7.4432292756478682E-2</v>
      </c>
      <c r="K12" s="98">
        <f t="shared" si="3"/>
        <v>190000</v>
      </c>
      <c r="L12" s="100">
        <f t="shared" si="4"/>
        <v>189474</v>
      </c>
      <c r="M12" s="99">
        <f t="shared" si="5"/>
        <v>189737</v>
      </c>
    </row>
    <row r="13" spans="2:13" s="1" customFormat="1" ht="75" x14ac:dyDescent="0.2">
      <c r="B13" s="89">
        <v>11</v>
      </c>
      <c r="C13" s="90" t="s">
        <v>121</v>
      </c>
      <c r="D13" s="88">
        <v>1</v>
      </c>
      <c r="E13" s="90" t="s">
        <v>115</v>
      </c>
      <c r="F13" s="102">
        <v>10000</v>
      </c>
      <c r="G13" s="102">
        <v>28000</v>
      </c>
      <c r="H13" s="102">
        <f t="shared" si="0"/>
        <v>12727.922061357855</v>
      </c>
      <c r="I13" s="102">
        <f t="shared" si="1"/>
        <v>19000</v>
      </c>
      <c r="J13" s="93">
        <f t="shared" si="2"/>
        <v>0.66989063480830813</v>
      </c>
      <c r="K13" s="98">
        <f t="shared" si="3"/>
        <v>19000</v>
      </c>
      <c r="L13" s="100">
        <f t="shared" si="4"/>
        <v>14737</v>
      </c>
      <c r="M13" s="99">
        <f t="shared" si="5"/>
        <v>16734</v>
      </c>
    </row>
    <row r="14" spans="2:13" s="1" customFormat="1" ht="135" x14ac:dyDescent="0.2">
      <c r="B14" s="89">
        <v>12</v>
      </c>
      <c r="C14" s="90" t="s">
        <v>171</v>
      </c>
      <c r="D14" s="88">
        <v>1</v>
      </c>
      <c r="E14" s="90" t="s">
        <v>115</v>
      </c>
      <c r="F14" s="102">
        <v>30000</v>
      </c>
      <c r="G14" s="102">
        <v>35000</v>
      </c>
      <c r="H14" s="102">
        <f t="shared" si="0"/>
        <v>3535.5339059327375</v>
      </c>
      <c r="I14" s="102">
        <f t="shared" si="1"/>
        <v>32500</v>
      </c>
      <c r="J14" s="91">
        <f t="shared" si="2"/>
        <v>0.10878565864408424</v>
      </c>
      <c r="K14" s="98">
        <f t="shared" si="3"/>
        <v>32500</v>
      </c>
      <c r="L14" s="100">
        <f t="shared" si="4"/>
        <v>32308</v>
      </c>
      <c r="M14" s="99">
        <f t="shared" si="5"/>
        <v>32404</v>
      </c>
    </row>
    <row r="15" spans="2:13" s="1" customFormat="1" ht="75" x14ac:dyDescent="0.2">
      <c r="B15" s="89">
        <v>13</v>
      </c>
      <c r="C15" s="90" t="s">
        <v>122</v>
      </c>
      <c r="D15" s="88">
        <v>1</v>
      </c>
      <c r="E15" s="90" t="s">
        <v>115</v>
      </c>
      <c r="F15" s="102">
        <v>10000</v>
      </c>
      <c r="G15" s="102">
        <v>28000</v>
      </c>
      <c r="H15" s="102">
        <f t="shared" si="0"/>
        <v>12727.922061357855</v>
      </c>
      <c r="I15" s="102">
        <f t="shared" si="1"/>
        <v>19000</v>
      </c>
      <c r="J15" s="93">
        <f t="shared" si="2"/>
        <v>0.66989063480830813</v>
      </c>
      <c r="K15" s="98">
        <f t="shared" si="3"/>
        <v>19000</v>
      </c>
      <c r="L15" s="100">
        <f t="shared" si="4"/>
        <v>14737</v>
      </c>
      <c r="M15" s="99">
        <f t="shared" si="5"/>
        <v>16734</v>
      </c>
    </row>
    <row r="16" spans="2:13" s="1" customFormat="1" ht="120" x14ac:dyDescent="0.2">
      <c r="B16" s="89">
        <v>14</v>
      </c>
      <c r="C16" s="90" t="s">
        <v>172</v>
      </c>
      <c r="D16" s="88">
        <v>1</v>
      </c>
      <c r="E16" s="90" t="s">
        <v>115</v>
      </c>
      <c r="F16" s="102">
        <v>59800</v>
      </c>
      <c r="G16" s="102">
        <v>90000</v>
      </c>
      <c r="H16" s="102">
        <f t="shared" si="0"/>
        <v>21354.624791833736</v>
      </c>
      <c r="I16" s="102">
        <f t="shared" si="1"/>
        <v>74900</v>
      </c>
      <c r="J16" s="93">
        <f t="shared" si="2"/>
        <v>0.28510847519137161</v>
      </c>
      <c r="K16" s="98">
        <f t="shared" si="3"/>
        <v>74900</v>
      </c>
      <c r="L16" s="100">
        <f t="shared" si="4"/>
        <v>71856</v>
      </c>
      <c r="M16" s="99">
        <f t="shared" si="5"/>
        <v>73363</v>
      </c>
    </row>
    <row r="17" spans="2:13" s="1" customFormat="1" ht="75" x14ac:dyDescent="0.2">
      <c r="B17" s="89">
        <v>15</v>
      </c>
      <c r="C17" s="90" t="s">
        <v>123</v>
      </c>
      <c r="D17" s="88">
        <v>1</v>
      </c>
      <c r="E17" s="90" t="s">
        <v>115</v>
      </c>
      <c r="F17" s="102">
        <v>20000</v>
      </c>
      <c r="G17" s="102">
        <v>28000</v>
      </c>
      <c r="H17" s="102">
        <f t="shared" si="0"/>
        <v>5656.8542494923804</v>
      </c>
      <c r="I17" s="102">
        <f t="shared" si="1"/>
        <v>24000</v>
      </c>
      <c r="J17" s="93">
        <f t="shared" si="2"/>
        <v>0.23570226039551584</v>
      </c>
      <c r="K17" s="98">
        <f t="shared" si="3"/>
        <v>24000</v>
      </c>
      <c r="L17" s="100">
        <f t="shared" si="4"/>
        <v>23334</v>
      </c>
      <c r="M17" s="99">
        <f t="shared" si="5"/>
        <v>23665</v>
      </c>
    </row>
    <row r="18" spans="2:13" s="1" customFormat="1" ht="120" x14ac:dyDescent="0.2">
      <c r="B18" s="89">
        <v>16</v>
      </c>
      <c r="C18" s="90" t="s">
        <v>173</v>
      </c>
      <c r="D18" s="88">
        <v>1</v>
      </c>
      <c r="E18" s="90" t="s">
        <v>115</v>
      </c>
      <c r="F18" s="102">
        <v>40000</v>
      </c>
      <c r="G18" s="102">
        <v>35000</v>
      </c>
      <c r="H18" s="102">
        <f t="shared" si="0"/>
        <v>3535.5339059327375</v>
      </c>
      <c r="I18" s="102">
        <f t="shared" si="1"/>
        <v>37500</v>
      </c>
      <c r="J18" s="97">
        <f t="shared" si="2"/>
        <v>9.4280904158206336E-2</v>
      </c>
      <c r="K18" s="98">
        <f t="shared" si="3"/>
        <v>37500</v>
      </c>
      <c r="L18" s="100">
        <f t="shared" si="4"/>
        <v>37334</v>
      </c>
      <c r="M18" s="99">
        <f t="shared" si="5"/>
        <v>37417</v>
      </c>
    </row>
    <row r="19" spans="2:13" s="1" customFormat="1" ht="75" x14ac:dyDescent="0.2">
      <c r="B19" s="89">
        <v>17</v>
      </c>
      <c r="C19" s="90" t="s">
        <v>124</v>
      </c>
      <c r="D19" s="88">
        <v>1</v>
      </c>
      <c r="E19" s="90" t="s">
        <v>115</v>
      </c>
      <c r="F19" s="102">
        <v>20000</v>
      </c>
      <c r="G19" s="102">
        <v>28000</v>
      </c>
      <c r="H19" s="102">
        <f t="shared" si="0"/>
        <v>5656.8542494923804</v>
      </c>
      <c r="I19" s="102">
        <f t="shared" si="1"/>
        <v>24000</v>
      </c>
      <c r="J19" s="93">
        <f t="shared" si="2"/>
        <v>0.23570226039551584</v>
      </c>
      <c r="K19" s="98">
        <f t="shared" si="3"/>
        <v>24000</v>
      </c>
      <c r="L19" s="100">
        <f t="shared" si="4"/>
        <v>23334</v>
      </c>
      <c r="M19" s="99">
        <f t="shared" si="5"/>
        <v>23665</v>
      </c>
    </row>
    <row r="20" spans="2:13" s="1" customFormat="1" ht="39.75" customHeight="1" x14ac:dyDescent="0.2">
      <c r="B20" s="89">
        <v>18</v>
      </c>
      <c r="C20" s="90" t="s">
        <v>125</v>
      </c>
      <c r="D20" s="88">
        <v>1</v>
      </c>
      <c r="E20" s="90" t="s">
        <v>115</v>
      </c>
      <c r="F20" s="102">
        <v>130000</v>
      </c>
      <c r="G20" s="102">
        <v>180000</v>
      </c>
      <c r="H20" s="102">
        <f t="shared" si="0"/>
        <v>35355.33905932738</v>
      </c>
      <c r="I20" s="102">
        <f t="shared" si="1"/>
        <v>155000</v>
      </c>
      <c r="J20" s="93">
        <f t="shared" si="2"/>
        <v>0.22809896167307986</v>
      </c>
      <c r="K20" s="98">
        <f t="shared" si="3"/>
        <v>155000</v>
      </c>
      <c r="L20" s="100">
        <f t="shared" si="4"/>
        <v>150968</v>
      </c>
      <c r="M20" s="99">
        <f t="shared" si="5"/>
        <v>152971</v>
      </c>
    </row>
    <row r="21" spans="2:13" s="1" customFormat="1" ht="39.75" customHeight="1" x14ac:dyDescent="0.2">
      <c r="B21" s="89">
        <v>19</v>
      </c>
      <c r="C21" s="90" t="s">
        <v>126</v>
      </c>
      <c r="D21" s="88">
        <v>1</v>
      </c>
      <c r="E21" s="90" t="s">
        <v>115</v>
      </c>
      <c r="F21" s="102">
        <v>200000</v>
      </c>
      <c r="G21" s="102">
        <v>360000</v>
      </c>
      <c r="H21" s="102">
        <f t="shared" si="0"/>
        <v>113137.0849898476</v>
      </c>
      <c r="I21" s="102">
        <f t="shared" si="1"/>
        <v>280000</v>
      </c>
      <c r="J21" s="93">
        <f t="shared" si="2"/>
        <v>0.40406101782088427</v>
      </c>
      <c r="K21" s="98">
        <f t="shared" si="3"/>
        <v>280000</v>
      </c>
      <c r="L21" s="100">
        <f t="shared" si="4"/>
        <v>257143</v>
      </c>
      <c r="M21" s="99">
        <f t="shared" si="5"/>
        <v>268329</v>
      </c>
    </row>
    <row r="22" spans="2:13" s="1" customFormat="1" ht="39.75" customHeight="1" x14ac:dyDescent="0.2">
      <c r="B22" s="89">
        <v>20</v>
      </c>
      <c r="C22" s="90" t="s">
        <v>127</v>
      </c>
      <c r="D22" s="88">
        <v>1</v>
      </c>
      <c r="E22" s="90" t="s">
        <v>115</v>
      </c>
      <c r="F22" s="102">
        <v>130000</v>
      </c>
      <c r="G22" s="102">
        <v>120000</v>
      </c>
      <c r="H22" s="102">
        <f t="shared" si="0"/>
        <v>7071.0678118654751</v>
      </c>
      <c r="I22" s="102">
        <f t="shared" si="1"/>
        <v>125000</v>
      </c>
      <c r="J22" s="97">
        <f t="shared" si="2"/>
        <v>5.6568542494923803E-2</v>
      </c>
      <c r="K22" s="98">
        <f t="shared" si="3"/>
        <v>125000</v>
      </c>
      <c r="L22" s="100">
        <f t="shared" si="4"/>
        <v>124800</v>
      </c>
      <c r="M22" s="99">
        <f t="shared" si="5"/>
        <v>124900</v>
      </c>
    </row>
    <row r="23" spans="2:13" s="1" customFormat="1" ht="39.75" customHeight="1" x14ac:dyDescent="0.2">
      <c r="B23" s="89">
        <v>21</v>
      </c>
      <c r="C23" s="90" t="s">
        <v>128</v>
      </c>
      <c r="D23" s="88">
        <v>1</v>
      </c>
      <c r="E23" s="90" t="s">
        <v>115</v>
      </c>
      <c r="F23" s="102">
        <v>200000</v>
      </c>
      <c r="G23" s="102">
        <v>240000</v>
      </c>
      <c r="H23" s="102">
        <f t="shared" si="0"/>
        <v>28284.2712474619</v>
      </c>
      <c r="I23" s="102">
        <f t="shared" si="1"/>
        <v>220000</v>
      </c>
      <c r="J23" s="91">
        <f t="shared" si="2"/>
        <v>0.12856486930664501</v>
      </c>
      <c r="K23" s="98">
        <f t="shared" si="3"/>
        <v>220000</v>
      </c>
      <c r="L23" s="100">
        <f t="shared" si="4"/>
        <v>218182</v>
      </c>
      <c r="M23" s="99">
        <f t="shared" si="5"/>
        <v>219090</v>
      </c>
    </row>
    <row r="24" spans="2:13" s="1" customFormat="1" ht="39.75" customHeight="1" x14ac:dyDescent="0.2">
      <c r="B24" s="89">
        <v>22</v>
      </c>
      <c r="C24" s="90" t="s">
        <v>129</v>
      </c>
      <c r="D24" s="88">
        <v>1</v>
      </c>
      <c r="E24" s="90" t="s">
        <v>115</v>
      </c>
      <c r="F24" s="102">
        <v>130000</v>
      </c>
      <c r="G24" s="102">
        <v>120000</v>
      </c>
      <c r="H24" s="102">
        <f t="shared" si="0"/>
        <v>7071.0678118654751</v>
      </c>
      <c r="I24" s="102">
        <f t="shared" si="1"/>
        <v>125000</v>
      </c>
      <c r="J24" s="97">
        <f t="shared" si="2"/>
        <v>5.6568542494923803E-2</v>
      </c>
      <c r="K24" s="98">
        <f t="shared" si="3"/>
        <v>125000</v>
      </c>
      <c r="L24" s="100">
        <f t="shared" si="4"/>
        <v>124800</v>
      </c>
      <c r="M24" s="99">
        <f t="shared" si="5"/>
        <v>124900</v>
      </c>
    </row>
    <row r="25" spans="2:13" s="1" customFormat="1" ht="39.75" customHeight="1" x14ac:dyDescent="0.2">
      <c r="B25" s="89">
        <v>23</v>
      </c>
      <c r="C25" s="90" t="s">
        <v>130</v>
      </c>
      <c r="D25" s="88">
        <v>1</v>
      </c>
      <c r="E25" s="90" t="s">
        <v>115</v>
      </c>
      <c r="F25" s="102">
        <v>200000</v>
      </c>
      <c r="G25" s="102">
        <v>240000</v>
      </c>
      <c r="H25" s="102">
        <f t="shared" si="0"/>
        <v>28284.2712474619</v>
      </c>
      <c r="I25" s="102">
        <f t="shared" si="1"/>
        <v>220000</v>
      </c>
      <c r="J25" s="91">
        <f t="shared" si="2"/>
        <v>0.12856486930664501</v>
      </c>
      <c r="K25" s="98">
        <f t="shared" si="3"/>
        <v>220000</v>
      </c>
      <c r="L25" s="100">
        <f t="shared" si="4"/>
        <v>218182</v>
      </c>
      <c r="M25" s="99">
        <f t="shared" si="5"/>
        <v>219090</v>
      </c>
    </row>
    <row r="26" spans="2:13" s="1" customFormat="1" ht="39.75" customHeight="1" x14ac:dyDescent="0.2">
      <c r="B26" s="89">
        <v>24</v>
      </c>
      <c r="C26" s="90" t="s">
        <v>131</v>
      </c>
      <c r="D26" s="88">
        <v>1</v>
      </c>
      <c r="E26" s="90" t="s">
        <v>115</v>
      </c>
      <c r="F26" s="102">
        <v>130000</v>
      </c>
      <c r="G26" s="102">
        <v>250000</v>
      </c>
      <c r="H26" s="102">
        <f t="shared" si="0"/>
        <v>84852.813742385697</v>
      </c>
      <c r="I26" s="102">
        <f t="shared" si="1"/>
        <v>190000</v>
      </c>
      <c r="J26" s="93">
        <f t="shared" si="2"/>
        <v>0.44659375653887207</v>
      </c>
      <c r="K26" s="98">
        <f t="shared" si="3"/>
        <v>190000</v>
      </c>
      <c r="L26" s="100">
        <f t="shared" si="4"/>
        <v>171053</v>
      </c>
      <c r="M26" s="99">
        <f t="shared" si="5"/>
        <v>180278</v>
      </c>
    </row>
    <row r="27" spans="2:13" s="1" customFormat="1" ht="39.75" customHeight="1" x14ac:dyDescent="0.2">
      <c r="B27" s="89">
        <v>25</v>
      </c>
      <c r="C27" s="90" t="s">
        <v>132</v>
      </c>
      <c r="D27" s="88">
        <v>1</v>
      </c>
      <c r="E27" s="90" t="s">
        <v>115</v>
      </c>
      <c r="F27" s="102">
        <v>200000</v>
      </c>
      <c r="G27" s="102">
        <v>360000</v>
      </c>
      <c r="H27" s="102">
        <f t="shared" si="0"/>
        <v>113137.0849898476</v>
      </c>
      <c r="I27" s="102">
        <f t="shared" si="1"/>
        <v>280000</v>
      </c>
      <c r="J27" s="93">
        <f t="shared" si="2"/>
        <v>0.40406101782088427</v>
      </c>
      <c r="K27" s="98">
        <f t="shared" si="3"/>
        <v>280000</v>
      </c>
      <c r="L27" s="100">
        <f t="shared" si="4"/>
        <v>257143</v>
      </c>
      <c r="M27" s="99">
        <f t="shared" si="5"/>
        <v>268329</v>
      </c>
    </row>
    <row r="28" spans="2:13" s="1" customFormat="1" ht="39.75" customHeight="1" x14ac:dyDescent="0.2">
      <c r="B28" s="89">
        <v>26</v>
      </c>
      <c r="C28" s="90" t="s">
        <v>133</v>
      </c>
      <c r="D28" s="88">
        <v>1</v>
      </c>
      <c r="E28" s="90" t="s">
        <v>115</v>
      </c>
      <c r="F28" s="102">
        <v>130000</v>
      </c>
      <c r="G28" s="102">
        <v>250000</v>
      </c>
      <c r="H28" s="102">
        <f t="shared" si="0"/>
        <v>84852.813742385697</v>
      </c>
      <c r="I28" s="102">
        <f t="shared" si="1"/>
        <v>190000</v>
      </c>
      <c r="J28" s="93">
        <f t="shared" si="2"/>
        <v>0.44659375653887207</v>
      </c>
      <c r="K28" s="98">
        <f t="shared" si="3"/>
        <v>190000</v>
      </c>
      <c r="L28" s="100">
        <f t="shared" si="4"/>
        <v>171053</v>
      </c>
      <c r="M28" s="99">
        <f t="shared" si="5"/>
        <v>180278</v>
      </c>
    </row>
    <row r="29" spans="2:13" s="1" customFormat="1" ht="39.75" customHeight="1" x14ac:dyDescent="0.2">
      <c r="B29" s="89">
        <v>27</v>
      </c>
      <c r="C29" s="90" t="s">
        <v>134</v>
      </c>
      <c r="D29" s="88">
        <v>1</v>
      </c>
      <c r="E29" s="90" t="s">
        <v>115</v>
      </c>
      <c r="F29" s="102">
        <v>200000</v>
      </c>
      <c r="G29" s="102">
        <v>360000</v>
      </c>
      <c r="H29" s="102">
        <f t="shared" si="0"/>
        <v>113137.0849898476</v>
      </c>
      <c r="I29" s="102">
        <f t="shared" si="1"/>
        <v>280000</v>
      </c>
      <c r="J29" s="93">
        <f t="shared" si="2"/>
        <v>0.40406101782088427</v>
      </c>
      <c r="K29" s="98">
        <f t="shared" si="3"/>
        <v>280000</v>
      </c>
      <c r="L29" s="100">
        <f t="shared" si="4"/>
        <v>257143</v>
      </c>
      <c r="M29" s="99">
        <f t="shared" si="5"/>
        <v>268329</v>
      </c>
    </row>
    <row r="30" spans="2:13" s="1" customFormat="1" ht="39.75" customHeight="1" x14ac:dyDescent="0.2">
      <c r="B30" s="89">
        <v>28</v>
      </c>
      <c r="C30" s="90" t="s">
        <v>135</v>
      </c>
      <c r="D30" s="88">
        <v>1</v>
      </c>
      <c r="E30" s="90" t="s">
        <v>115</v>
      </c>
      <c r="F30" s="102">
        <v>130000</v>
      </c>
      <c r="G30" s="102">
        <v>250000</v>
      </c>
      <c r="H30" s="102">
        <f t="shared" si="0"/>
        <v>84852.813742385697</v>
      </c>
      <c r="I30" s="102">
        <f t="shared" si="1"/>
        <v>190000</v>
      </c>
      <c r="J30" s="93">
        <f t="shared" si="2"/>
        <v>0.44659375653887207</v>
      </c>
      <c r="K30" s="98">
        <f t="shared" si="3"/>
        <v>190000</v>
      </c>
      <c r="L30" s="100">
        <f t="shared" si="4"/>
        <v>171053</v>
      </c>
      <c r="M30" s="99">
        <f t="shared" si="5"/>
        <v>180278</v>
      </c>
    </row>
    <row r="31" spans="2:13" s="1" customFormat="1" ht="39.75" customHeight="1" x14ac:dyDescent="0.2">
      <c r="B31" s="89">
        <v>29</v>
      </c>
      <c r="C31" s="90" t="s">
        <v>136</v>
      </c>
      <c r="D31" s="88">
        <v>1</v>
      </c>
      <c r="E31" s="90" t="s">
        <v>115</v>
      </c>
      <c r="F31" s="102">
        <v>200000</v>
      </c>
      <c r="G31" s="102">
        <v>360000</v>
      </c>
      <c r="H31" s="102">
        <f t="shared" si="0"/>
        <v>113137.0849898476</v>
      </c>
      <c r="I31" s="102">
        <f t="shared" si="1"/>
        <v>280000</v>
      </c>
      <c r="J31" s="93">
        <f t="shared" si="2"/>
        <v>0.40406101782088427</v>
      </c>
      <c r="K31" s="98">
        <f t="shared" si="3"/>
        <v>280000</v>
      </c>
      <c r="L31" s="100">
        <f t="shared" si="4"/>
        <v>257143</v>
      </c>
      <c r="M31" s="99">
        <f t="shared" si="5"/>
        <v>268329</v>
      </c>
    </row>
    <row r="32" spans="2:13" s="1" customFormat="1" ht="39.75" customHeight="1" x14ac:dyDescent="0.2">
      <c r="B32" s="89">
        <v>30</v>
      </c>
      <c r="C32" s="90" t="s">
        <v>137</v>
      </c>
      <c r="D32" s="88">
        <v>1</v>
      </c>
      <c r="E32" s="90" t="s">
        <v>115</v>
      </c>
      <c r="F32" s="102">
        <v>100000</v>
      </c>
      <c r="G32" s="102">
        <v>90000</v>
      </c>
      <c r="H32" s="102">
        <f t="shared" si="0"/>
        <v>7071.0678118654751</v>
      </c>
      <c r="I32" s="102">
        <f t="shared" si="1"/>
        <v>95000</v>
      </c>
      <c r="J32" s="97">
        <f t="shared" si="2"/>
        <v>7.4432292756478682E-2</v>
      </c>
      <c r="K32" s="98">
        <f t="shared" si="3"/>
        <v>95000</v>
      </c>
      <c r="L32" s="100">
        <f t="shared" si="4"/>
        <v>94737</v>
      </c>
      <c r="M32" s="99">
        <f t="shared" si="5"/>
        <v>94869</v>
      </c>
    </row>
    <row r="33" spans="2:13" s="1" customFormat="1" ht="39.75" customHeight="1" x14ac:dyDescent="0.2">
      <c r="B33" s="89">
        <v>31</v>
      </c>
      <c r="C33" s="90" t="s">
        <v>138</v>
      </c>
      <c r="D33" s="88">
        <v>1</v>
      </c>
      <c r="E33" s="90" t="s">
        <v>115</v>
      </c>
      <c r="F33" s="102">
        <v>80000</v>
      </c>
      <c r="G33" s="102">
        <v>150000</v>
      </c>
      <c r="H33" s="102">
        <f t="shared" si="0"/>
        <v>49497.474683058324</v>
      </c>
      <c r="I33" s="102">
        <f t="shared" si="1"/>
        <v>115000</v>
      </c>
      <c r="J33" s="93">
        <f t="shared" si="2"/>
        <v>0.43041282333094194</v>
      </c>
      <c r="K33" s="98">
        <f t="shared" si="3"/>
        <v>115000</v>
      </c>
      <c r="L33" s="100">
        <f t="shared" si="4"/>
        <v>104348</v>
      </c>
      <c r="M33" s="99">
        <f t="shared" si="5"/>
        <v>109545</v>
      </c>
    </row>
    <row r="34" spans="2:13" s="1" customFormat="1" ht="39.75" customHeight="1" x14ac:dyDescent="0.2">
      <c r="B34" s="89">
        <v>32</v>
      </c>
      <c r="C34" s="90" t="s">
        <v>139</v>
      </c>
      <c r="D34" s="88">
        <v>1</v>
      </c>
      <c r="E34" s="90" t="s">
        <v>115</v>
      </c>
      <c r="F34" s="102">
        <v>250000</v>
      </c>
      <c r="G34" s="102">
        <v>70000</v>
      </c>
      <c r="H34" s="102">
        <f t="shared" si="0"/>
        <v>127279.22061357855</v>
      </c>
      <c r="I34" s="102">
        <f t="shared" si="1"/>
        <v>160000</v>
      </c>
      <c r="J34" s="93">
        <f t="shared" si="2"/>
        <v>0.79549512883486595</v>
      </c>
      <c r="K34" s="98">
        <f t="shared" si="3"/>
        <v>160000</v>
      </c>
      <c r="L34" s="100">
        <f t="shared" si="4"/>
        <v>109375</v>
      </c>
      <c r="M34" s="99">
        <f t="shared" si="5"/>
        <v>132288</v>
      </c>
    </row>
    <row r="35" spans="2:13" s="1" customFormat="1" ht="39.75" customHeight="1" x14ac:dyDescent="0.2">
      <c r="B35" s="89">
        <v>33</v>
      </c>
      <c r="C35" s="90" t="s">
        <v>140</v>
      </c>
      <c r="D35" s="88">
        <v>1</v>
      </c>
      <c r="E35" s="90" t="s">
        <v>115</v>
      </c>
      <c r="F35" s="102">
        <v>80000</v>
      </c>
      <c r="G35" s="102">
        <v>100000</v>
      </c>
      <c r="H35" s="102">
        <f t="shared" si="0"/>
        <v>14142.13562373095</v>
      </c>
      <c r="I35" s="102">
        <f t="shared" si="1"/>
        <v>90000</v>
      </c>
      <c r="J35" s="91">
        <f t="shared" si="2"/>
        <v>0.15713484026367722</v>
      </c>
      <c r="K35" s="98">
        <f t="shared" si="3"/>
        <v>90000</v>
      </c>
      <c r="L35" s="100">
        <f t="shared" si="4"/>
        <v>88889</v>
      </c>
      <c r="M35" s="99">
        <f t="shared" si="5"/>
        <v>89443</v>
      </c>
    </row>
    <row r="36" spans="2:13" s="1" customFormat="1" ht="39.75" customHeight="1" x14ac:dyDescent="0.2">
      <c r="B36" s="89">
        <v>34</v>
      </c>
      <c r="C36" s="90" t="s">
        <v>141</v>
      </c>
      <c r="D36" s="88">
        <v>1</v>
      </c>
      <c r="E36" s="90" t="s">
        <v>115</v>
      </c>
      <c r="F36" s="102">
        <v>250000</v>
      </c>
      <c r="G36" s="102">
        <v>70000</v>
      </c>
      <c r="H36" s="102">
        <f t="shared" si="0"/>
        <v>127279.22061357855</v>
      </c>
      <c r="I36" s="102">
        <f t="shared" si="1"/>
        <v>160000</v>
      </c>
      <c r="J36" s="93">
        <f t="shared" si="2"/>
        <v>0.79549512883486595</v>
      </c>
      <c r="K36" s="98">
        <f t="shared" si="3"/>
        <v>160000</v>
      </c>
      <c r="L36" s="100">
        <f t="shared" si="4"/>
        <v>109375</v>
      </c>
      <c r="M36" s="99">
        <f t="shared" si="5"/>
        <v>132288</v>
      </c>
    </row>
    <row r="37" spans="2:13" s="1" customFormat="1" ht="39.75" customHeight="1" x14ac:dyDescent="0.2">
      <c r="B37" s="89">
        <v>35</v>
      </c>
      <c r="C37" s="90" t="s">
        <v>142</v>
      </c>
      <c r="D37" s="88">
        <v>1</v>
      </c>
      <c r="E37" s="90" t="s">
        <v>115</v>
      </c>
      <c r="F37" s="102">
        <v>80000</v>
      </c>
      <c r="G37" s="102">
        <v>100000</v>
      </c>
      <c r="H37" s="102">
        <f t="shared" si="0"/>
        <v>14142.13562373095</v>
      </c>
      <c r="I37" s="102">
        <f t="shared" si="1"/>
        <v>90000</v>
      </c>
      <c r="J37" s="91">
        <f t="shared" si="2"/>
        <v>0.15713484026367722</v>
      </c>
      <c r="K37" s="98">
        <f t="shared" si="3"/>
        <v>90000</v>
      </c>
      <c r="L37" s="100">
        <f t="shared" si="4"/>
        <v>88889</v>
      </c>
      <c r="M37" s="99">
        <f t="shared" si="5"/>
        <v>89443</v>
      </c>
    </row>
    <row r="38" spans="2:13" s="1" customFormat="1" ht="39.75" customHeight="1" x14ac:dyDescent="0.2">
      <c r="B38" s="89">
        <v>36</v>
      </c>
      <c r="C38" s="90" t="s">
        <v>143</v>
      </c>
      <c r="D38" s="88">
        <v>1</v>
      </c>
      <c r="E38" s="90" t="s">
        <v>115</v>
      </c>
      <c r="F38" s="102">
        <v>250000</v>
      </c>
      <c r="G38" s="102">
        <v>300000</v>
      </c>
      <c r="H38" s="102">
        <f t="shared" si="0"/>
        <v>35355.33905932738</v>
      </c>
      <c r="I38" s="102">
        <f t="shared" si="1"/>
        <v>275000</v>
      </c>
      <c r="J38" s="91">
        <f t="shared" si="2"/>
        <v>0.12856486930664501</v>
      </c>
      <c r="K38" s="98">
        <f t="shared" si="3"/>
        <v>275000</v>
      </c>
      <c r="L38" s="100">
        <f t="shared" si="4"/>
        <v>272728</v>
      </c>
      <c r="M38" s="99">
        <f t="shared" si="5"/>
        <v>273862</v>
      </c>
    </row>
    <row r="39" spans="2:13" s="1" customFormat="1" ht="39.75" customHeight="1" x14ac:dyDescent="0.2">
      <c r="B39" s="89">
        <v>37</v>
      </c>
      <c r="C39" s="90" t="s">
        <v>144</v>
      </c>
      <c r="D39" s="88">
        <v>1</v>
      </c>
      <c r="E39" s="90" t="s">
        <v>115</v>
      </c>
      <c r="F39" s="102">
        <v>250000</v>
      </c>
      <c r="G39" s="102">
        <v>400000</v>
      </c>
      <c r="H39" s="102">
        <f t="shared" si="0"/>
        <v>106066.01717798212</v>
      </c>
      <c r="I39" s="102">
        <f t="shared" si="1"/>
        <v>325000</v>
      </c>
      <c r="J39" s="93">
        <f t="shared" si="2"/>
        <v>0.32635697593225271</v>
      </c>
      <c r="K39" s="98">
        <f t="shared" si="3"/>
        <v>325000</v>
      </c>
      <c r="L39" s="100">
        <f t="shared" si="4"/>
        <v>307693</v>
      </c>
      <c r="M39" s="99">
        <f t="shared" si="5"/>
        <v>316228</v>
      </c>
    </row>
    <row r="40" spans="2:13" s="1" customFormat="1" ht="39.75" customHeight="1" x14ac:dyDescent="0.2">
      <c r="B40" s="89">
        <v>38</v>
      </c>
      <c r="C40" s="90" t="s">
        <v>145</v>
      </c>
      <c r="D40" s="88">
        <v>1</v>
      </c>
      <c r="E40" s="90" t="s">
        <v>115</v>
      </c>
      <c r="F40" s="102">
        <v>80000</v>
      </c>
      <c r="G40" s="102">
        <v>200000</v>
      </c>
      <c r="H40" s="102">
        <f t="shared" si="0"/>
        <v>84852.813742385697</v>
      </c>
      <c r="I40" s="102">
        <f t="shared" si="1"/>
        <v>140000</v>
      </c>
      <c r="J40" s="93">
        <f t="shared" si="2"/>
        <v>0.60609152673132638</v>
      </c>
      <c r="K40" s="98">
        <f t="shared" si="3"/>
        <v>140000</v>
      </c>
      <c r="L40" s="100">
        <f t="shared" si="4"/>
        <v>114286</v>
      </c>
      <c r="M40" s="99">
        <f t="shared" si="5"/>
        <v>126492</v>
      </c>
    </row>
    <row r="41" spans="2:13" s="1" customFormat="1" ht="75" x14ac:dyDescent="0.2">
      <c r="B41" s="89">
        <v>39</v>
      </c>
      <c r="C41" s="90" t="s">
        <v>146</v>
      </c>
      <c r="D41" s="88">
        <v>1</v>
      </c>
      <c r="E41" s="90" t="s">
        <v>115</v>
      </c>
      <c r="F41" s="102">
        <v>20000</v>
      </c>
      <c r="G41" s="102">
        <v>28000</v>
      </c>
      <c r="H41" s="102">
        <f t="shared" si="0"/>
        <v>5656.8542494923804</v>
      </c>
      <c r="I41" s="102">
        <f t="shared" si="1"/>
        <v>24000</v>
      </c>
      <c r="J41" s="93">
        <f t="shared" si="2"/>
        <v>0.23570226039551584</v>
      </c>
      <c r="K41" s="98">
        <f t="shared" si="3"/>
        <v>24000</v>
      </c>
      <c r="L41" s="100">
        <f t="shared" si="4"/>
        <v>23334</v>
      </c>
      <c r="M41" s="99">
        <f t="shared" si="5"/>
        <v>23665</v>
      </c>
    </row>
    <row r="42" spans="2:13" s="1" customFormat="1" ht="45" x14ac:dyDescent="0.2">
      <c r="B42" s="89">
        <v>40</v>
      </c>
      <c r="C42" s="90" t="s">
        <v>174</v>
      </c>
      <c r="D42" s="88">
        <v>1</v>
      </c>
      <c r="E42" s="90" t="s">
        <v>115</v>
      </c>
      <c r="F42" s="102">
        <v>40000</v>
      </c>
      <c r="G42" s="102">
        <v>35000</v>
      </c>
      <c r="H42" s="102">
        <f t="shared" si="0"/>
        <v>3535.5339059327375</v>
      </c>
      <c r="I42" s="102">
        <f t="shared" si="1"/>
        <v>37500</v>
      </c>
      <c r="J42" s="97">
        <f t="shared" si="2"/>
        <v>9.4280904158206336E-2</v>
      </c>
      <c r="K42" s="98">
        <f t="shared" si="3"/>
        <v>37500</v>
      </c>
      <c r="L42" s="100">
        <f t="shared" si="4"/>
        <v>37334</v>
      </c>
      <c r="M42" s="99">
        <f t="shared" si="5"/>
        <v>37417</v>
      </c>
    </row>
    <row r="43" spans="2:13" s="1" customFormat="1" ht="75" x14ac:dyDescent="0.2">
      <c r="B43" s="89">
        <v>41</v>
      </c>
      <c r="C43" s="90" t="s">
        <v>147</v>
      </c>
      <c r="D43" s="88">
        <v>1</v>
      </c>
      <c r="E43" s="90" t="s">
        <v>115</v>
      </c>
      <c r="F43" s="102">
        <v>20000</v>
      </c>
      <c r="G43" s="102">
        <v>28000</v>
      </c>
      <c r="H43" s="102">
        <f t="shared" si="0"/>
        <v>5656.8542494923804</v>
      </c>
      <c r="I43" s="102">
        <f t="shared" si="1"/>
        <v>24000</v>
      </c>
      <c r="J43" s="93">
        <f t="shared" si="2"/>
        <v>0.23570226039551584</v>
      </c>
      <c r="K43" s="98">
        <f t="shared" si="3"/>
        <v>24000</v>
      </c>
      <c r="L43" s="100">
        <f t="shared" si="4"/>
        <v>23334</v>
      </c>
      <c r="M43" s="99">
        <f t="shared" si="5"/>
        <v>23665</v>
      </c>
    </row>
    <row r="44" spans="2:13" s="1" customFormat="1" ht="60" x14ac:dyDescent="0.2">
      <c r="B44" s="89">
        <v>42</v>
      </c>
      <c r="C44" s="90" t="s">
        <v>148</v>
      </c>
      <c r="D44" s="88">
        <v>1</v>
      </c>
      <c r="E44" s="90" t="s">
        <v>115</v>
      </c>
      <c r="F44" s="102">
        <v>30000</v>
      </c>
      <c r="G44" s="102">
        <v>5000</v>
      </c>
      <c r="H44" s="102">
        <f t="shared" si="0"/>
        <v>17677.66952966369</v>
      </c>
      <c r="I44" s="102">
        <f t="shared" si="1"/>
        <v>17500</v>
      </c>
      <c r="J44" s="93">
        <f t="shared" si="2"/>
        <v>1.0101525445522108</v>
      </c>
      <c r="K44" s="98">
        <f t="shared" si="3"/>
        <v>17500</v>
      </c>
      <c r="L44" s="100">
        <f t="shared" si="4"/>
        <v>8572</v>
      </c>
      <c r="M44" s="99">
        <f t="shared" si="5"/>
        <v>12248</v>
      </c>
    </row>
    <row r="45" spans="2:13" s="1" customFormat="1" ht="39.75" customHeight="1" x14ac:dyDescent="0.2">
      <c r="B45" s="89">
        <v>43</v>
      </c>
      <c r="C45" s="90" t="s">
        <v>149</v>
      </c>
      <c r="D45" s="88">
        <v>1</v>
      </c>
      <c r="E45" s="90" t="s">
        <v>115</v>
      </c>
      <c r="F45" s="102">
        <v>7000</v>
      </c>
      <c r="G45" s="102">
        <v>300000</v>
      </c>
      <c r="H45" s="102">
        <f t="shared" si="0"/>
        <v>207182.28688765841</v>
      </c>
      <c r="I45" s="102">
        <f t="shared" si="1"/>
        <v>153500</v>
      </c>
      <c r="J45" s="93">
        <f t="shared" si="2"/>
        <v>1.3497217386818137</v>
      </c>
      <c r="K45" s="98">
        <f t="shared" si="3"/>
        <v>153500</v>
      </c>
      <c r="L45" s="100">
        <f t="shared" si="4"/>
        <v>13681</v>
      </c>
      <c r="M45" s="99">
        <f t="shared" si="5"/>
        <v>45826</v>
      </c>
    </row>
    <row r="46" spans="2:13" s="1" customFormat="1" ht="39.75" customHeight="1" x14ac:dyDescent="0.2">
      <c r="B46" s="89"/>
      <c r="C46" s="90" t="s">
        <v>150</v>
      </c>
      <c r="D46" s="88">
        <v>1</v>
      </c>
      <c r="E46" s="90" t="s">
        <v>115</v>
      </c>
      <c r="F46" s="102">
        <v>16000</v>
      </c>
      <c r="G46" s="102">
        <v>0</v>
      </c>
      <c r="H46" s="102">
        <v>16000</v>
      </c>
      <c r="I46" s="102">
        <v>16000</v>
      </c>
      <c r="J46" s="93">
        <f t="shared" si="2"/>
        <v>1</v>
      </c>
      <c r="K46" s="98">
        <f t="shared" si="3"/>
        <v>8000</v>
      </c>
      <c r="L46" s="100">
        <v>8000</v>
      </c>
      <c r="M46" s="99">
        <v>8000</v>
      </c>
    </row>
    <row r="47" spans="2:13" s="1" customFormat="1" ht="39.75" customHeight="1" thickBot="1" x14ac:dyDescent="0.25">
      <c r="B47" s="89">
        <v>44</v>
      </c>
      <c r="C47" s="90" t="s">
        <v>151</v>
      </c>
      <c r="D47" s="88">
        <v>1</v>
      </c>
      <c r="E47" s="90" t="s">
        <v>115</v>
      </c>
      <c r="F47" s="102">
        <v>85000</v>
      </c>
      <c r="G47" s="102">
        <v>250000</v>
      </c>
      <c r="H47" s="102">
        <f t="shared" si="0"/>
        <v>116672.61889578034</v>
      </c>
      <c r="I47" s="102">
        <f t="shared" si="1"/>
        <v>167500</v>
      </c>
      <c r="J47" s="93">
        <f t="shared" si="2"/>
        <v>0.69655294863152439</v>
      </c>
      <c r="K47" s="98">
        <f t="shared" si="3"/>
        <v>167500</v>
      </c>
      <c r="L47" s="100">
        <f t="shared" si="4"/>
        <v>126866</v>
      </c>
      <c r="M47" s="99">
        <f t="shared" si="5"/>
        <v>145774</v>
      </c>
    </row>
    <row r="48" spans="2:13" ht="27" customHeight="1" x14ac:dyDescent="0.2">
      <c r="B48" s="170" t="s">
        <v>152</v>
      </c>
      <c r="C48" s="173" t="s">
        <v>153</v>
      </c>
      <c r="D48" s="173"/>
      <c r="E48" s="173"/>
      <c r="F48" s="173"/>
      <c r="G48" s="173"/>
      <c r="H48" s="173"/>
      <c r="I48" s="174"/>
      <c r="J48" s="175" t="s">
        <v>154</v>
      </c>
      <c r="K48" s="176"/>
      <c r="L48" s="177"/>
      <c r="M48"/>
    </row>
    <row r="49" spans="2:13" ht="14.25" customHeight="1" x14ac:dyDescent="0.2">
      <c r="B49" s="171"/>
      <c r="C49" s="178" t="s">
        <v>155</v>
      </c>
      <c r="D49" s="178"/>
      <c r="E49" s="178"/>
      <c r="F49" s="178"/>
      <c r="G49" s="178"/>
      <c r="H49" s="178"/>
      <c r="I49" s="179"/>
      <c r="J49" s="180" t="s">
        <v>175</v>
      </c>
      <c r="K49" s="181"/>
      <c r="L49" s="182"/>
      <c r="M49"/>
    </row>
    <row r="50" spans="2:13" ht="14.25" customHeight="1" x14ac:dyDescent="0.2">
      <c r="B50" s="171"/>
      <c r="C50" s="178" t="s">
        <v>156</v>
      </c>
      <c r="D50" s="178"/>
      <c r="E50" s="178"/>
      <c r="F50" s="178"/>
      <c r="G50" s="178"/>
      <c r="H50" s="178"/>
      <c r="I50" s="179"/>
      <c r="J50" s="180"/>
      <c r="K50" s="181"/>
      <c r="L50" s="182"/>
      <c r="M50"/>
    </row>
    <row r="51" spans="2:13" ht="14.25" customHeight="1" x14ac:dyDescent="0.2">
      <c r="B51" s="171"/>
      <c r="C51" s="178" t="s">
        <v>157</v>
      </c>
      <c r="D51" s="178"/>
      <c r="E51" s="178"/>
      <c r="F51" s="178"/>
      <c r="G51" s="178"/>
      <c r="H51" s="178"/>
      <c r="I51" s="179"/>
      <c r="J51" s="180"/>
      <c r="K51" s="181"/>
      <c r="L51" s="182"/>
      <c r="M51"/>
    </row>
    <row r="52" spans="2:13" ht="31.5" customHeight="1" thickBot="1" x14ac:dyDescent="0.25">
      <c r="B52" s="172"/>
      <c r="C52" s="186" t="s">
        <v>158</v>
      </c>
      <c r="D52" s="186"/>
      <c r="E52" s="186"/>
      <c r="F52" s="186"/>
      <c r="G52" s="186"/>
      <c r="H52" s="186"/>
      <c r="I52" s="187"/>
      <c r="J52" s="183"/>
      <c r="K52" s="184"/>
      <c r="L52" s="185"/>
      <c r="M52"/>
    </row>
    <row r="54" spans="2:13" x14ac:dyDescent="0.2">
      <c r="C54" s="85"/>
    </row>
  </sheetData>
  <autoFilter ref="B2:L52" xr:uid="{AE81F97A-2D4C-42B9-97F3-0D24CD8BB3C8}"/>
  <mergeCells count="9">
    <mergeCell ref="C1:L1"/>
    <mergeCell ref="B48:B52"/>
    <mergeCell ref="C48:I48"/>
    <mergeCell ref="J48:L48"/>
    <mergeCell ref="C49:I49"/>
    <mergeCell ref="J49:L52"/>
    <mergeCell ref="C50:I50"/>
    <mergeCell ref="C51:I51"/>
    <mergeCell ref="C52:I52"/>
  </mergeCells>
  <pageMargins left="0.7" right="0.7" top="0.75" bottom="0.75" header="0.3" footer="0.3"/>
  <pageSetup scale="48" orientation="portrait" r:id="rId1"/>
  <headerFooter>
    <oddFooter>&amp;R_x000D_&amp;1#&amp;"Calibri"&amp;10&amp;K000000 Información Pública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J1048514"/>
  <sheetViews>
    <sheetView view="pageBreakPreview" zoomScale="85" zoomScaleSheetLayoutView="85" workbookViewId="0">
      <selection activeCell="I68" sqref="I68"/>
    </sheetView>
  </sheetViews>
  <sheetFormatPr baseColWidth="10" defaultColWidth="11.42578125" defaultRowHeight="12.75" x14ac:dyDescent="0.2"/>
  <cols>
    <col min="1" max="1" width="3.42578125" customWidth="1"/>
    <col min="2" max="2" width="7.140625" style="1" customWidth="1"/>
    <col min="3" max="3" width="39.7109375" customWidth="1"/>
    <col min="4" max="4" width="29.140625" customWidth="1"/>
    <col min="5" max="5" width="17" customWidth="1"/>
    <col min="6" max="6" width="13.85546875" style="1" customWidth="1"/>
    <col min="7" max="7" width="11.7109375" style="1" customWidth="1"/>
    <col min="8" max="8" width="15" customWidth="1"/>
    <col min="9" max="9" width="12.42578125" bestFit="1" customWidth="1"/>
    <col min="10" max="10" width="11.85546875" bestFit="1" customWidth="1"/>
  </cols>
  <sheetData>
    <row r="1" spans="2:8" ht="13.5" thickBot="1" x14ac:dyDescent="0.25"/>
    <row r="2" spans="2:8" ht="47.25" customHeight="1" thickBot="1" x14ac:dyDescent="0.25">
      <c r="B2" s="188" t="s">
        <v>176</v>
      </c>
      <c r="C2" s="189"/>
      <c r="D2" s="189"/>
      <c r="E2" s="189"/>
      <c r="F2" s="189"/>
      <c r="G2" s="189"/>
      <c r="H2" s="190"/>
    </row>
    <row r="3" spans="2:8" ht="25.5" customHeight="1" thickBot="1" x14ac:dyDescent="0.25">
      <c r="B3" s="15" t="s">
        <v>3</v>
      </c>
      <c r="C3" s="2" t="s">
        <v>177</v>
      </c>
      <c r="D3" s="16" t="s">
        <v>178</v>
      </c>
      <c r="E3" s="17" t="s">
        <v>179</v>
      </c>
      <c r="F3" s="2" t="s">
        <v>180</v>
      </c>
      <c r="G3" s="2" t="s">
        <v>181</v>
      </c>
      <c r="H3" s="18" t="s">
        <v>182</v>
      </c>
    </row>
    <row r="4" spans="2:8" x14ac:dyDescent="0.2">
      <c r="B4" s="12">
        <v>1</v>
      </c>
      <c r="C4" s="32" t="s">
        <v>9</v>
      </c>
      <c r="D4" s="33" t="s">
        <v>10</v>
      </c>
      <c r="E4" s="39">
        <v>3</v>
      </c>
      <c r="F4" s="9">
        <v>42702</v>
      </c>
      <c r="G4" s="79">
        <v>456692.77500000002</v>
      </c>
      <c r="H4" s="10">
        <f t="shared" ref="H4:H53" si="0">G4*E4</f>
        <v>1370078.3250000002</v>
      </c>
    </row>
    <row r="5" spans="2:8" x14ac:dyDescent="0.2">
      <c r="B5" s="12">
        <v>2</v>
      </c>
      <c r="C5" s="34" t="s">
        <v>11</v>
      </c>
      <c r="D5" s="35" t="s">
        <v>12</v>
      </c>
      <c r="E5" s="40">
        <v>3</v>
      </c>
      <c r="F5" s="9">
        <v>42702</v>
      </c>
      <c r="G5" s="80">
        <v>441352.42499999999</v>
      </c>
      <c r="H5" s="10">
        <f t="shared" si="0"/>
        <v>1324057.2749999999</v>
      </c>
    </row>
    <row r="6" spans="2:8" x14ac:dyDescent="0.2">
      <c r="B6" s="12">
        <v>3</v>
      </c>
      <c r="C6" s="34" t="s">
        <v>13</v>
      </c>
      <c r="D6" s="36" t="s">
        <v>14</v>
      </c>
      <c r="E6" s="40">
        <v>3</v>
      </c>
      <c r="F6" s="9">
        <v>42702</v>
      </c>
      <c r="G6" s="80">
        <v>429194.22500000003</v>
      </c>
      <c r="H6" s="10">
        <f t="shared" si="0"/>
        <v>1287582.675</v>
      </c>
    </row>
    <row r="7" spans="2:8" ht="25.5" x14ac:dyDescent="0.2">
      <c r="B7" s="12">
        <v>4</v>
      </c>
      <c r="C7" s="34" t="s">
        <v>15</v>
      </c>
      <c r="D7" s="36" t="s">
        <v>16</v>
      </c>
      <c r="E7" s="40">
        <v>3</v>
      </c>
      <c r="F7" s="9">
        <v>42702</v>
      </c>
      <c r="G7" s="80">
        <v>430923.25</v>
      </c>
      <c r="H7" s="10">
        <f t="shared" si="0"/>
        <v>1292769.75</v>
      </c>
    </row>
    <row r="8" spans="2:8" x14ac:dyDescent="0.2">
      <c r="B8" s="12">
        <v>5</v>
      </c>
      <c r="C8" s="34" t="s">
        <v>17</v>
      </c>
      <c r="D8" s="36" t="s">
        <v>18</v>
      </c>
      <c r="E8" s="40">
        <v>3</v>
      </c>
      <c r="F8" s="9">
        <v>42702</v>
      </c>
      <c r="G8" s="80">
        <v>369709.10000000003</v>
      </c>
      <c r="H8" s="10">
        <f t="shared" si="0"/>
        <v>1109127.3</v>
      </c>
    </row>
    <row r="9" spans="2:8" x14ac:dyDescent="0.2">
      <c r="B9" s="12">
        <v>6</v>
      </c>
      <c r="C9" s="34" t="s">
        <v>19</v>
      </c>
      <c r="D9" s="35" t="s">
        <v>12</v>
      </c>
      <c r="E9" s="40">
        <v>3</v>
      </c>
      <c r="F9" s="9">
        <v>42702</v>
      </c>
      <c r="G9" s="80">
        <v>256693.95</v>
      </c>
      <c r="H9" s="10">
        <f t="shared" si="0"/>
        <v>770081.85000000009</v>
      </c>
    </row>
    <row r="10" spans="2:8" ht="25.5" x14ac:dyDescent="0.2">
      <c r="B10" s="12">
        <v>7</v>
      </c>
      <c r="C10" s="34" t="s">
        <v>20</v>
      </c>
      <c r="D10" s="35" t="s">
        <v>21</v>
      </c>
      <c r="E10" s="40">
        <v>3</v>
      </c>
      <c r="F10" s="9">
        <v>42702</v>
      </c>
      <c r="G10" s="80">
        <v>310078.27500000002</v>
      </c>
      <c r="H10" s="10">
        <f t="shared" si="0"/>
        <v>930234.82500000007</v>
      </c>
    </row>
    <row r="11" spans="2:8" ht="25.5" x14ac:dyDescent="0.2">
      <c r="B11" s="12">
        <v>8</v>
      </c>
      <c r="C11" s="34" t="s">
        <v>22</v>
      </c>
      <c r="D11" s="36" t="s">
        <v>23</v>
      </c>
      <c r="E11" s="40">
        <v>3</v>
      </c>
      <c r="F11" s="9">
        <v>42702</v>
      </c>
      <c r="G11" s="80">
        <v>367181.05</v>
      </c>
      <c r="H11" s="10">
        <f t="shared" si="0"/>
        <v>1101543.1499999999</v>
      </c>
    </row>
    <row r="12" spans="2:8" ht="51" x14ac:dyDescent="0.2">
      <c r="B12" s="12">
        <v>9</v>
      </c>
      <c r="C12" s="34" t="s">
        <v>24</v>
      </c>
      <c r="D12" s="36" t="s">
        <v>25</v>
      </c>
      <c r="E12" s="40">
        <v>3</v>
      </c>
      <c r="F12" s="9">
        <v>42702</v>
      </c>
      <c r="G12" s="80">
        <v>241686.85</v>
      </c>
      <c r="H12" s="10">
        <f t="shared" si="0"/>
        <v>725060.55</v>
      </c>
    </row>
    <row r="13" spans="2:8" ht="25.5" x14ac:dyDescent="0.2">
      <c r="B13" s="12">
        <v>10</v>
      </c>
      <c r="C13" s="34" t="s">
        <v>26</v>
      </c>
      <c r="D13" s="35" t="s">
        <v>27</v>
      </c>
      <c r="E13" s="40">
        <v>3</v>
      </c>
      <c r="F13" s="9">
        <v>42702</v>
      </c>
      <c r="G13" s="80">
        <v>261318.375</v>
      </c>
      <c r="H13" s="10">
        <f t="shared" si="0"/>
        <v>783955.125</v>
      </c>
    </row>
    <row r="14" spans="2:8" ht="25.5" x14ac:dyDescent="0.2">
      <c r="B14" s="12">
        <v>11</v>
      </c>
      <c r="C14" s="34" t="s">
        <v>28</v>
      </c>
      <c r="D14" s="36" t="s">
        <v>29</v>
      </c>
      <c r="E14" s="40">
        <v>3</v>
      </c>
      <c r="F14" s="9">
        <v>42702</v>
      </c>
      <c r="G14" s="80">
        <v>261318.375</v>
      </c>
      <c r="H14" s="10">
        <f t="shared" si="0"/>
        <v>783955.125</v>
      </c>
    </row>
    <row r="15" spans="2:8" ht="25.5" x14ac:dyDescent="0.2">
      <c r="B15" s="12">
        <v>12</v>
      </c>
      <c r="C15" s="34" t="s">
        <v>30</v>
      </c>
      <c r="D15" s="35" t="s">
        <v>31</v>
      </c>
      <c r="E15" s="40">
        <v>3</v>
      </c>
      <c r="F15" s="9">
        <v>42702</v>
      </c>
      <c r="G15" s="80">
        <v>294518.60000000003</v>
      </c>
      <c r="H15" s="10">
        <f t="shared" si="0"/>
        <v>883555.8</v>
      </c>
    </row>
    <row r="16" spans="2:8" ht="25.5" x14ac:dyDescent="0.2">
      <c r="B16" s="12">
        <v>13</v>
      </c>
      <c r="C16" s="34" t="s">
        <v>32</v>
      </c>
      <c r="D16" s="35" t="s">
        <v>33</v>
      </c>
      <c r="E16" s="40">
        <v>3</v>
      </c>
      <c r="F16" s="9">
        <v>42702</v>
      </c>
      <c r="G16" s="80">
        <v>449041.2</v>
      </c>
      <c r="H16" s="10">
        <f t="shared" si="0"/>
        <v>1347123.6</v>
      </c>
    </row>
    <row r="17" spans="2:9" ht="38.25" x14ac:dyDescent="0.2">
      <c r="B17" s="12">
        <v>14</v>
      </c>
      <c r="C17" s="34" t="s">
        <v>34</v>
      </c>
      <c r="D17" s="35" t="s">
        <v>35</v>
      </c>
      <c r="E17" s="40">
        <v>3</v>
      </c>
      <c r="F17" s="9">
        <v>42702</v>
      </c>
      <c r="G17" s="80">
        <v>322513.92499999999</v>
      </c>
      <c r="H17" s="10">
        <f t="shared" si="0"/>
        <v>967541.77499999991</v>
      </c>
    </row>
    <row r="18" spans="2:9" ht="25.5" x14ac:dyDescent="0.2">
      <c r="B18" s="12">
        <v>15</v>
      </c>
      <c r="C18" s="34" t="s">
        <v>36</v>
      </c>
      <c r="D18" s="36" t="s">
        <v>37</v>
      </c>
      <c r="E18" s="40">
        <v>3</v>
      </c>
      <c r="F18" s="9">
        <v>42702</v>
      </c>
      <c r="G18" s="80">
        <v>479649.05</v>
      </c>
      <c r="H18" s="10">
        <f t="shared" si="0"/>
        <v>1438947.15</v>
      </c>
    </row>
    <row r="19" spans="2:9" s="13" customFormat="1" ht="25.5" x14ac:dyDescent="0.2">
      <c r="B19" s="12">
        <v>16</v>
      </c>
      <c r="C19" s="34" t="s">
        <v>38</v>
      </c>
      <c r="D19" s="36" t="s">
        <v>39</v>
      </c>
      <c r="E19" s="40">
        <v>3</v>
      </c>
      <c r="F19" s="9">
        <v>42702</v>
      </c>
      <c r="G19" s="80">
        <v>540971.70000000007</v>
      </c>
      <c r="H19" s="10">
        <f t="shared" si="0"/>
        <v>1622915.1</v>
      </c>
      <c r="I19"/>
    </row>
    <row r="20" spans="2:9" ht="38.25" x14ac:dyDescent="0.2">
      <c r="B20" s="12">
        <v>17</v>
      </c>
      <c r="C20" s="34" t="s">
        <v>40</v>
      </c>
      <c r="D20" s="35" t="s">
        <v>41</v>
      </c>
      <c r="E20" s="40">
        <v>3</v>
      </c>
      <c r="F20" s="9">
        <v>42702</v>
      </c>
      <c r="G20" s="80">
        <v>512157.97500000003</v>
      </c>
      <c r="H20" s="10">
        <f t="shared" si="0"/>
        <v>1536473.925</v>
      </c>
    </row>
    <row r="21" spans="2:9" ht="38.25" x14ac:dyDescent="0.2">
      <c r="B21" s="12">
        <v>18</v>
      </c>
      <c r="C21" s="34" t="s">
        <v>42</v>
      </c>
      <c r="D21" s="36" t="s">
        <v>43</v>
      </c>
      <c r="E21" s="40">
        <v>3</v>
      </c>
      <c r="F21" s="9">
        <v>42702</v>
      </c>
      <c r="G21" s="80">
        <v>345214.45</v>
      </c>
      <c r="H21" s="10">
        <f t="shared" si="0"/>
        <v>1035643.3500000001</v>
      </c>
    </row>
    <row r="22" spans="2:9" ht="25.5" x14ac:dyDescent="0.2">
      <c r="B22" s="12">
        <v>19</v>
      </c>
      <c r="C22" s="34" t="s">
        <v>44</v>
      </c>
      <c r="D22" s="36" t="s">
        <v>45</v>
      </c>
      <c r="E22" s="40">
        <v>3</v>
      </c>
      <c r="F22" s="9">
        <v>42702</v>
      </c>
      <c r="G22" s="80">
        <v>325960.35000000003</v>
      </c>
      <c r="H22" s="10">
        <f t="shared" si="0"/>
        <v>977881.05</v>
      </c>
    </row>
    <row r="23" spans="2:9" x14ac:dyDescent="0.2">
      <c r="B23" s="12">
        <v>20</v>
      </c>
      <c r="C23" s="34" t="s">
        <v>46</v>
      </c>
      <c r="D23" s="35" t="s">
        <v>12</v>
      </c>
      <c r="E23" s="40">
        <v>3</v>
      </c>
      <c r="F23" s="9">
        <v>42702</v>
      </c>
      <c r="G23" s="80">
        <v>473179.35000000003</v>
      </c>
      <c r="H23" s="10">
        <f t="shared" si="0"/>
        <v>1419538.05</v>
      </c>
    </row>
    <row r="24" spans="2:9" x14ac:dyDescent="0.2">
      <c r="B24" s="12">
        <v>21</v>
      </c>
      <c r="C24" s="34" t="s">
        <v>47</v>
      </c>
      <c r="D24" s="35" t="s">
        <v>48</v>
      </c>
      <c r="E24" s="40">
        <v>3</v>
      </c>
      <c r="F24" s="9">
        <v>42702</v>
      </c>
      <c r="G24" s="80">
        <v>492534.97500000003</v>
      </c>
      <c r="H24" s="10">
        <f t="shared" si="0"/>
        <v>1477604.925</v>
      </c>
    </row>
    <row r="25" spans="2:9" x14ac:dyDescent="0.2">
      <c r="B25" s="12">
        <v>22</v>
      </c>
      <c r="C25" s="34" t="s">
        <v>49</v>
      </c>
      <c r="D25" s="35" t="s">
        <v>50</v>
      </c>
      <c r="E25" s="40">
        <v>3</v>
      </c>
      <c r="F25" s="9">
        <v>42702</v>
      </c>
      <c r="G25" s="80">
        <v>779439.97499999998</v>
      </c>
      <c r="H25" s="10">
        <f t="shared" si="0"/>
        <v>2338319.9249999998</v>
      </c>
    </row>
    <row r="26" spans="2:9" x14ac:dyDescent="0.2">
      <c r="B26" s="12">
        <v>23</v>
      </c>
      <c r="C26" s="34" t="s">
        <v>51</v>
      </c>
      <c r="D26" s="35" t="s">
        <v>52</v>
      </c>
      <c r="E26" s="40">
        <v>3</v>
      </c>
      <c r="F26" s="9">
        <v>42702</v>
      </c>
      <c r="G26" s="80">
        <v>507689.32500000001</v>
      </c>
      <c r="H26" s="10">
        <f t="shared" si="0"/>
        <v>1523067.9750000001</v>
      </c>
    </row>
    <row r="27" spans="2:9" x14ac:dyDescent="0.2">
      <c r="B27" s="12">
        <v>24</v>
      </c>
      <c r="C27" s="34" t="s">
        <v>53</v>
      </c>
      <c r="D27" s="35" t="s">
        <v>12</v>
      </c>
      <c r="E27" s="40">
        <v>3</v>
      </c>
      <c r="F27" s="9">
        <v>42702</v>
      </c>
      <c r="G27" s="80">
        <v>476868.35000000003</v>
      </c>
      <c r="H27" s="10">
        <f t="shared" si="0"/>
        <v>1430605.05</v>
      </c>
    </row>
    <row r="28" spans="2:9" x14ac:dyDescent="0.2">
      <c r="B28" s="12">
        <v>25</v>
      </c>
      <c r="C28" s="34" t="s">
        <v>54</v>
      </c>
      <c r="D28" s="35" t="s">
        <v>12</v>
      </c>
      <c r="E28" s="40">
        <v>3</v>
      </c>
      <c r="F28" s="9">
        <v>42702</v>
      </c>
      <c r="G28" s="80">
        <v>1007318.65</v>
      </c>
      <c r="H28" s="10">
        <f t="shared" si="0"/>
        <v>3021955.95</v>
      </c>
    </row>
    <row r="29" spans="2:9" x14ac:dyDescent="0.2">
      <c r="B29" s="12">
        <v>26</v>
      </c>
      <c r="C29" s="34" t="s">
        <v>55</v>
      </c>
      <c r="D29" s="35" t="s">
        <v>56</v>
      </c>
      <c r="E29" s="40">
        <v>3</v>
      </c>
      <c r="F29" s="9">
        <v>42702</v>
      </c>
      <c r="G29" s="80">
        <v>779738.35</v>
      </c>
      <c r="H29" s="10">
        <f t="shared" si="0"/>
        <v>2339215.0499999998</v>
      </c>
    </row>
    <row r="30" spans="2:9" x14ac:dyDescent="0.2">
      <c r="B30" s="12">
        <v>27</v>
      </c>
      <c r="C30" s="34" t="s">
        <v>57</v>
      </c>
      <c r="D30" s="35" t="s">
        <v>58</v>
      </c>
      <c r="E30" s="40">
        <v>3</v>
      </c>
      <c r="F30" s="9">
        <v>42702</v>
      </c>
      <c r="G30" s="80">
        <v>461135.85000000003</v>
      </c>
      <c r="H30" s="10">
        <f t="shared" si="0"/>
        <v>1383407.55</v>
      </c>
    </row>
    <row r="31" spans="2:9" x14ac:dyDescent="0.2">
      <c r="B31" s="12">
        <v>28</v>
      </c>
      <c r="C31" s="34" t="s">
        <v>59</v>
      </c>
      <c r="D31" s="36" t="s">
        <v>60</v>
      </c>
      <c r="E31" s="40">
        <v>3</v>
      </c>
      <c r="F31" s="9">
        <v>42702</v>
      </c>
      <c r="G31" s="80">
        <v>613484.57500000007</v>
      </c>
      <c r="H31" s="10">
        <f t="shared" si="0"/>
        <v>1840453.7250000001</v>
      </c>
    </row>
    <row r="32" spans="2:9" ht="38.25" x14ac:dyDescent="0.2">
      <c r="B32" s="12">
        <v>29</v>
      </c>
      <c r="C32" s="34" t="s">
        <v>61</v>
      </c>
      <c r="D32" s="36" t="s">
        <v>62</v>
      </c>
      <c r="E32" s="40">
        <v>3</v>
      </c>
      <c r="F32" s="9">
        <v>42702</v>
      </c>
      <c r="G32" s="80">
        <v>398733.625</v>
      </c>
      <c r="H32" s="10">
        <f t="shared" si="0"/>
        <v>1196200.875</v>
      </c>
    </row>
    <row r="33" spans="2:8" x14ac:dyDescent="0.2">
      <c r="B33" s="12">
        <v>30</v>
      </c>
      <c r="C33" s="34" t="s">
        <v>63</v>
      </c>
      <c r="D33" s="36" t="s">
        <v>10</v>
      </c>
      <c r="E33" s="40">
        <v>3</v>
      </c>
      <c r="F33" s="9">
        <v>42702</v>
      </c>
      <c r="G33" s="80">
        <v>609094.20000000007</v>
      </c>
      <c r="H33" s="10">
        <f t="shared" si="0"/>
        <v>1827282.6</v>
      </c>
    </row>
    <row r="34" spans="2:8" x14ac:dyDescent="0.2">
      <c r="B34" s="12">
        <v>31</v>
      </c>
      <c r="C34" s="34" t="s">
        <v>63</v>
      </c>
      <c r="D34" s="36" t="s">
        <v>64</v>
      </c>
      <c r="E34" s="40">
        <v>3</v>
      </c>
      <c r="F34" s="9">
        <v>42702</v>
      </c>
      <c r="G34" s="80">
        <v>604971.20000000007</v>
      </c>
      <c r="H34" s="10">
        <f t="shared" si="0"/>
        <v>1814913.6</v>
      </c>
    </row>
    <row r="35" spans="2:8" ht="51" x14ac:dyDescent="0.2">
      <c r="B35" s="12">
        <v>32</v>
      </c>
      <c r="C35" s="34" t="s">
        <v>65</v>
      </c>
      <c r="D35" s="36" t="s">
        <v>66</v>
      </c>
      <c r="E35" s="40">
        <v>3</v>
      </c>
      <c r="F35" s="9">
        <v>42702</v>
      </c>
      <c r="G35" s="80">
        <v>499736.27500000002</v>
      </c>
      <c r="H35" s="10">
        <f t="shared" si="0"/>
        <v>1499208.8250000002</v>
      </c>
    </row>
    <row r="36" spans="2:8" ht="51" x14ac:dyDescent="0.2">
      <c r="B36" s="12">
        <v>33</v>
      </c>
      <c r="C36" s="34" t="s">
        <v>67</v>
      </c>
      <c r="D36" s="36" t="s">
        <v>68</v>
      </c>
      <c r="E36" s="40">
        <v>3</v>
      </c>
      <c r="F36" s="9">
        <v>42702</v>
      </c>
      <c r="G36" s="80">
        <v>577038.65</v>
      </c>
      <c r="H36" s="10">
        <f t="shared" si="0"/>
        <v>1731115.9500000002</v>
      </c>
    </row>
    <row r="37" spans="2:8" x14ac:dyDescent="0.2">
      <c r="B37" s="12">
        <v>34</v>
      </c>
      <c r="C37" s="34" t="s">
        <v>69</v>
      </c>
      <c r="D37" s="35" t="s">
        <v>70</v>
      </c>
      <c r="E37" s="40">
        <v>3</v>
      </c>
      <c r="F37" s="9">
        <v>42702</v>
      </c>
      <c r="G37" s="80">
        <v>1024018.35</v>
      </c>
      <c r="H37" s="31">
        <f t="shared" si="0"/>
        <v>3072055.05</v>
      </c>
    </row>
    <row r="38" spans="2:8" ht="25.5" x14ac:dyDescent="0.2">
      <c r="B38" s="12">
        <v>35</v>
      </c>
      <c r="C38" s="34" t="s">
        <v>71</v>
      </c>
      <c r="D38" s="35" t="s">
        <v>72</v>
      </c>
      <c r="E38" s="40">
        <v>3</v>
      </c>
      <c r="F38" s="9">
        <v>42702</v>
      </c>
      <c r="G38" s="80">
        <v>1018236.85</v>
      </c>
      <c r="H38" s="10">
        <f t="shared" si="0"/>
        <v>3054710.55</v>
      </c>
    </row>
    <row r="39" spans="2:8" ht="25.5" x14ac:dyDescent="0.2">
      <c r="B39" s="12">
        <v>36</v>
      </c>
      <c r="C39" s="34" t="s">
        <v>73</v>
      </c>
      <c r="D39" s="36" t="s">
        <v>74</v>
      </c>
      <c r="E39" s="40">
        <v>3</v>
      </c>
      <c r="F39" s="9">
        <v>42702</v>
      </c>
      <c r="G39" s="80">
        <v>493378.95</v>
      </c>
      <c r="H39" s="10">
        <f t="shared" si="0"/>
        <v>1480136.85</v>
      </c>
    </row>
    <row r="40" spans="2:8" x14ac:dyDescent="0.2">
      <c r="B40" s="12">
        <v>37</v>
      </c>
      <c r="C40" s="34" t="s">
        <v>75</v>
      </c>
      <c r="D40" s="35" t="s">
        <v>12</v>
      </c>
      <c r="E40" s="40">
        <v>3</v>
      </c>
      <c r="F40" s="9">
        <v>42702</v>
      </c>
      <c r="G40" s="80">
        <v>526191.67500000005</v>
      </c>
      <c r="H40" s="10">
        <f t="shared" si="0"/>
        <v>1578575.0250000001</v>
      </c>
    </row>
    <row r="41" spans="2:8" ht="51" x14ac:dyDescent="0.2">
      <c r="B41" s="12">
        <v>38</v>
      </c>
      <c r="C41" s="34" t="s">
        <v>76</v>
      </c>
      <c r="D41" s="36" t="s">
        <v>77</v>
      </c>
      <c r="E41" s="40">
        <v>3</v>
      </c>
      <c r="F41" s="9">
        <v>42702</v>
      </c>
      <c r="G41" s="80">
        <v>935412.6</v>
      </c>
      <c r="H41" s="10">
        <f t="shared" si="0"/>
        <v>2806237.8</v>
      </c>
    </row>
    <row r="42" spans="2:8" x14ac:dyDescent="0.2">
      <c r="B42" s="12">
        <v>39</v>
      </c>
      <c r="C42" s="34" t="s">
        <v>78</v>
      </c>
      <c r="D42" s="35" t="s">
        <v>79</v>
      </c>
      <c r="E42" s="40">
        <v>3</v>
      </c>
      <c r="F42" s="9">
        <v>42702</v>
      </c>
      <c r="G42" s="80">
        <v>688301.52500000002</v>
      </c>
      <c r="H42" s="10">
        <f t="shared" si="0"/>
        <v>2064904.5750000002</v>
      </c>
    </row>
    <row r="43" spans="2:8" x14ac:dyDescent="0.2">
      <c r="B43" s="12">
        <v>40</v>
      </c>
      <c r="C43" s="34" t="s">
        <v>80</v>
      </c>
      <c r="D43" s="35" t="s">
        <v>81</v>
      </c>
      <c r="E43" s="40">
        <v>3</v>
      </c>
      <c r="F43" s="9">
        <v>42702</v>
      </c>
      <c r="G43" s="80">
        <v>382047.875</v>
      </c>
      <c r="H43" s="10">
        <f t="shared" si="0"/>
        <v>1146143.625</v>
      </c>
    </row>
    <row r="44" spans="2:8" ht="51" x14ac:dyDescent="0.2">
      <c r="B44" s="12">
        <v>41</v>
      </c>
      <c r="C44" s="34" t="s">
        <v>82</v>
      </c>
      <c r="D44" s="35" t="s">
        <v>83</v>
      </c>
      <c r="E44" s="40">
        <v>3</v>
      </c>
      <c r="F44" s="9">
        <v>42702</v>
      </c>
      <c r="G44" s="80">
        <v>321596.32500000001</v>
      </c>
      <c r="H44" s="31">
        <f t="shared" si="0"/>
        <v>964788.97500000009</v>
      </c>
    </row>
    <row r="45" spans="2:8" x14ac:dyDescent="0.2">
      <c r="B45" s="12">
        <v>42</v>
      </c>
      <c r="C45" s="34" t="s">
        <v>84</v>
      </c>
      <c r="D45" s="35" t="s">
        <v>12</v>
      </c>
      <c r="E45" s="40">
        <v>3</v>
      </c>
      <c r="F45" s="9">
        <v>42702</v>
      </c>
      <c r="G45" s="80">
        <v>328216.375</v>
      </c>
      <c r="H45" s="10">
        <f t="shared" si="0"/>
        <v>984649.125</v>
      </c>
    </row>
    <row r="46" spans="2:8" x14ac:dyDescent="0.2">
      <c r="B46" s="12">
        <v>43</v>
      </c>
      <c r="C46" s="36" t="s">
        <v>85</v>
      </c>
      <c r="D46" s="36" t="s">
        <v>86</v>
      </c>
      <c r="E46" s="40">
        <v>3</v>
      </c>
      <c r="F46" s="9">
        <v>42702</v>
      </c>
      <c r="G46" s="80">
        <v>564169</v>
      </c>
      <c r="H46" s="10">
        <f t="shared" si="0"/>
        <v>1692507</v>
      </c>
    </row>
    <row r="47" spans="2:8" ht="25.5" x14ac:dyDescent="0.2">
      <c r="B47" s="12">
        <v>44</v>
      </c>
      <c r="C47" s="34" t="s">
        <v>87</v>
      </c>
      <c r="D47" s="35" t="s">
        <v>88</v>
      </c>
      <c r="E47" s="40">
        <v>3</v>
      </c>
      <c r="F47" s="9">
        <v>42702</v>
      </c>
      <c r="G47" s="80">
        <v>339612.75</v>
      </c>
      <c r="H47" s="10">
        <f t="shared" si="0"/>
        <v>1018838.25</v>
      </c>
    </row>
    <row r="48" spans="2:8" ht="38.25" x14ac:dyDescent="0.2">
      <c r="B48" s="12">
        <v>45</v>
      </c>
      <c r="C48" s="34" t="s">
        <v>89</v>
      </c>
      <c r="D48" s="36" t="s">
        <v>90</v>
      </c>
      <c r="E48" s="40">
        <v>3</v>
      </c>
      <c r="F48" s="9">
        <v>42702</v>
      </c>
      <c r="G48" s="80">
        <v>351502.02500000002</v>
      </c>
      <c r="H48" s="10">
        <f t="shared" si="0"/>
        <v>1054506.0750000002</v>
      </c>
    </row>
    <row r="49" spans="2:10" ht="38.25" x14ac:dyDescent="0.2">
      <c r="B49" s="12">
        <v>46</v>
      </c>
      <c r="C49" s="34" t="s">
        <v>91</v>
      </c>
      <c r="D49" s="35" t="s">
        <v>92</v>
      </c>
      <c r="E49" s="40">
        <v>3</v>
      </c>
      <c r="F49" s="9">
        <v>42702</v>
      </c>
      <c r="G49" s="80">
        <v>695486.55</v>
      </c>
      <c r="H49" s="10">
        <f t="shared" si="0"/>
        <v>2086459.6500000001</v>
      </c>
    </row>
    <row r="50" spans="2:10" ht="38.25" x14ac:dyDescent="0.2">
      <c r="B50" s="12">
        <v>47</v>
      </c>
      <c r="C50" s="34" t="s">
        <v>93</v>
      </c>
      <c r="D50" s="36" t="s">
        <v>94</v>
      </c>
      <c r="E50" s="40">
        <v>3</v>
      </c>
      <c r="F50" s="9">
        <v>42702</v>
      </c>
      <c r="G50" s="80">
        <v>550818.07500000007</v>
      </c>
      <c r="H50" s="10">
        <f t="shared" si="0"/>
        <v>1652454.2250000001</v>
      </c>
    </row>
    <row r="51" spans="2:10" ht="38.25" x14ac:dyDescent="0.2">
      <c r="B51" s="12">
        <v>48</v>
      </c>
      <c r="C51" s="34" t="s">
        <v>95</v>
      </c>
      <c r="D51" s="35" t="s">
        <v>96</v>
      </c>
      <c r="E51" s="40">
        <v>3</v>
      </c>
      <c r="F51" s="9">
        <v>42702</v>
      </c>
      <c r="G51" s="80">
        <v>315596.27500000002</v>
      </c>
      <c r="H51" s="10">
        <f t="shared" si="0"/>
        <v>946788.82500000007</v>
      </c>
    </row>
    <row r="52" spans="2:10" ht="25.5" x14ac:dyDescent="0.2">
      <c r="B52" s="12">
        <v>49</v>
      </c>
      <c r="C52" s="34" t="s">
        <v>97</v>
      </c>
      <c r="D52" s="36" t="s">
        <v>98</v>
      </c>
      <c r="E52" s="40">
        <v>3</v>
      </c>
      <c r="F52" s="9">
        <v>42702</v>
      </c>
      <c r="G52" s="80">
        <v>279906.75</v>
      </c>
      <c r="H52" s="10">
        <f t="shared" si="0"/>
        <v>839720.25</v>
      </c>
    </row>
    <row r="53" spans="2:10" ht="51.75" thickBot="1" x14ac:dyDescent="0.25">
      <c r="B53" s="12">
        <v>50</v>
      </c>
      <c r="C53" s="37" t="s">
        <v>99</v>
      </c>
      <c r="D53" s="38" t="s">
        <v>100</v>
      </c>
      <c r="E53" s="41">
        <v>3</v>
      </c>
      <c r="F53" s="9">
        <v>42702</v>
      </c>
      <c r="G53" s="81">
        <v>437470.45</v>
      </c>
      <c r="H53" s="10">
        <f t="shared" si="0"/>
        <v>1312411.3500000001</v>
      </c>
    </row>
    <row r="54" spans="2:10" ht="13.5" thickTop="1" x14ac:dyDescent="0.2">
      <c r="B54" s="12"/>
      <c r="C54" s="11"/>
      <c r="D54" s="11"/>
      <c r="E54" s="5"/>
      <c r="F54" s="9"/>
      <c r="G54" s="19"/>
      <c r="H54" s="10"/>
    </row>
    <row r="55" spans="2:10" x14ac:dyDescent="0.2">
      <c r="B55" s="12"/>
      <c r="C55" s="11"/>
      <c r="D55" s="11"/>
      <c r="E55" s="5"/>
      <c r="F55" s="9"/>
      <c r="G55" s="19"/>
      <c r="H55" s="10"/>
    </row>
    <row r="56" spans="2:10" x14ac:dyDescent="0.2">
      <c r="B56" s="12"/>
      <c r="C56" s="11"/>
      <c r="D56" s="11"/>
      <c r="E56" s="5"/>
      <c r="F56" s="9"/>
      <c r="G56" s="19"/>
      <c r="H56" s="10"/>
    </row>
    <row r="57" spans="2:10" x14ac:dyDescent="0.2">
      <c r="B57" s="12"/>
      <c r="C57" s="11"/>
      <c r="D57" s="11"/>
      <c r="E57" s="5"/>
      <c r="F57" s="9"/>
      <c r="G57" s="19"/>
      <c r="H57" s="10"/>
      <c r="J57" s="14"/>
    </row>
    <row r="58" spans="2:10" x14ac:dyDescent="0.2">
      <c r="B58" s="12"/>
      <c r="C58" s="11"/>
      <c r="D58" s="11"/>
      <c r="E58" s="5"/>
      <c r="F58" s="9"/>
      <c r="G58" s="19"/>
      <c r="H58" s="10"/>
    </row>
    <row r="59" spans="2:10" ht="13.5" thickBot="1" x14ac:dyDescent="0.25">
      <c r="B59" s="3"/>
      <c r="C59" s="4"/>
      <c r="D59" s="4"/>
      <c r="E59" s="6"/>
      <c r="F59" s="8"/>
      <c r="G59" s="20"/>
      <c r="H59" s="10"/>
    </row>
    <row r="60" spans="2:10" x14ac:dyDescent="0.2">
      <c r="B60" s="21"/>
      <c r="E60" s="191" t="s">
        <v>101</v>
      </c>
      <c r="F60" s="192"/>
      <c r="G60" s="22"/>
      <c r="H60" s="23">
        <f>SUM(H4:H59)</f>
        <v>73887304.950000003</v>
      </c>
      <c r="I60" s="24"/>
    </row>
    <row r="61" spans="2:10" x14ac:dyDescent="0.2">
      <c r="B61" s="21"/>
      <c r="E61" s="193" t="s">
        <v>183</v>
      </c>
      <c r="F61" s="194"/>
      <c r="G61" s="25"/>
      <c r="H61" s="26">
        <f>H60*0.15</f>
        <v>11083095.7425</v>
      </c>
      <c r="I61" s="24"/>
    </row>
    <row r="62" spans="2:10" x14ac:dyDescent="0.2">
      <c r="B62" s="21"/>
      <c r="E62" s="193" t="s">
        <v>184</v>
      </c>
      <c r="F62" s="194"/>
      <c r="G62" s="25"/>
      <c r="H62" s="26">
        <f>H60*0.05*0.16</f>
        <v>591098.43960000004</v>
      </c>
    </row>
    <row r="63" spans="2:10" ht="13.5" thickBot="1" x14ac:dyDescent="0.25">
      <c r="B63" s="27"/>
      <c r="C63" s="28"/>
      <c r="D63" s="28"/>
      <c r="E63" s="195" t="s">
        <v>185</v>
      </c>
      <c r="F63" s="196"/>
      <c r="G63" s="29"/>
      <c r="H63" s="30">
        <f>SUM(H60:H62)</f>
        <v>85561499.132100001</v>
      </c>
    </row>
    <row r="1048514" spans="6:6" x14ac:dyDescent="0.2">
      <c r="F1048514" s="7">
        <v>41562</v>
      </c>
    </row>
  </sheetData>
  <autoFilter ref="B3:H3" xr:uid="{00000000-0009-0000-0000-000004000000}"/>
  <mergeCells count="5">
    <mergeCell ref="B2:H2"/>
    <mergeCell ref="E60:F60"/>
    <mergeCell ref="E61:F61"/>
    <mergeCell ref="E62:F62"/>
    <mergeCell ref="E63:F63"/>
  </mergeCells>
  <printOptions horizontalCentered="1" verticalCentered="1"/>
  <pageMargins left="0" right="0" top="0" bottom="0" header="0" footer="0"/>
  <pageSetup scale="65" fitToHeight="3" orientation="portrait" r:id="rId1"/>
  <headerFooter alignWithMargins="0">
    <oddFooter>&amp;R_x000D_&amp;1#&amp;"Calibri"&amp;10&amp;K000000 Información Pública</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0b85395-ac31-4b56-902b-e2dc4f5a561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EB6C94AF8010D48BECC3E7C256A4D2B" ma:contentTypeVersion="18" ma:contentTypeDescription="Create a new document." ma:contentTypeScope="" ma:versionID="7ab694615b6d4e4aa171e7623846b910">
  <xsd:schema xmlns:xsd="http://www.w3.org/2001/XMLSchema" xmlns:xs="http://www.w3.org/2001/XMLSchema" xmlns:p="http://schemas.microsoft.com/office/2006/metadata/properties" xmlns:ns3="80b85395-ac31-4b56-902b-e2dc4f5a5618" xmlns:ns4="10a93019-545d-46cd-a9ca-17d53d6615df" targetNamespace="http://schemas.microsoft.com/office/2006/metadata/properties" ma:root="true" ma:fieldsID="2a115e9a4fd515c3da89326a10144e2e" ns3:_="" ns4:_="">
    <xsd:import namespace="80b85395-ac31-4b56-902b-e2dc4f5a5618"/>
    <xsd:import namespace="10a93019-545d-46cd-a9ca-17d53d6615df"/>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b85395-ac31-4b56-902b-e2dc4f5a56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a93019-545d-46cd-a9ca-17d53d6615d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870C03-E189-492D-B490-9C0A7198CA9B}">
  <ds:schemaRefs>
    <ds:schemaRef ds:uri="http://schemas.microsoft.com/office/2006/metadata/properties"/>
    <ds:schemaRef ds:uri="http://schemas.microsoft.com/office/infopath/2007/PartnerControls"/>
    <ds:schemaRef ds:uri="80b85395-ac31-4b56-902b-e2dc4f5a5618"/>
  </ds:schemaRefs>
</ds:datastoreItem>
</file>

<file path=customXml/itemProps2.xml><?xml version="1.0" encoding="utf-8"?>
<ds:datastoreItem xmlns:ds="http://schemas.openxmlformats.org/officeDocument/2006/customXml" ds:itemID="{4E783964-43FF-4354-9185-B7A6F87906A4}">
  <ds:schemaRefs>
    <ds:schemaRef ds:uri="http://schemas.microsoft.com/sharepoint/v3/contenttype/forms"/>
  </ds:schemaRefs>
</ds:datastoreItem>
</file>

<file path=customXml/itemProps3.xml><?xml version="1.0" encoding="utf-8"?>
<ds:datastoreItem xmlns:ds="http://schemas.openxmlformats.org/officeDocument/2006/customXml" ds:itemID="{5AFEB4B5-7D61-4AFF-B30F-049316CEC8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b85395-ac31-4b56-902b-e2dc4f5a5618"/>
    <ds:schemaRef ds:uri="10a93019-545d-46cd-a9ca-17d53d6615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Rutinas de mtto. preventivo</vt:lpstr>
      <vt:lpstr>ANEXO NO. 2 precios de ref</vt:lpstr>
      <vt:lpstr>Estudio Mercado</vt:lpstr>
      <vt:lpstr>BIENESTAR (2)</vt:lpstr>
      <vt:lpstr>VISITAS REAL NOV 2016</vt:lpstr>
      <vt:lpstr>'Rutinas de mtto. preventivo'!Área_de_impresión</vt:lpstr>
      <vt:lpstr>'VISITAS REAL NOV 2016'!Área_de_impresión</vt:lpstr>
      <vt:lpstr>'Rutinas de mtto. preventivo'!Títulos_a_imprimir</vt:lpstr>
    </vt:vector>
  </TitlesOfParts>
  <Manager/>
  <Company>DIAN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UNINGECOL S.A.</dc:creator>
  <cp:keywords/>
  <dc:description/>
  <cp:lastModifiedBy>Jimena Vasquez Vente</cp:lastModifiedBy>
  <cp:revision/>
  <cp:lastPrinted>2025-04-29T20:46:53Z</cp:lastPrinted>
  <dcterms:created xsi:type="dcterms:W3CDTF">2012-07-31T19:10:28Z</dcterms:created>
  <dcterms:modified xsi:type="dcterms:W3CDTF">2025-05-16T16:31:12Z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0x0101007EB6C94AF8010D48BECC3E7C256A4D2B</vt:lpwstr>
  </property>
  <property fmtid="{D5CDD505-2E9C-101B-9397-08002B2CF9AE}" pid="3" name="MSIP_Label_9238af61-cfb1-43e3-a724-fe68a71eee05_Enabled">
    <vt:lpwstr>true</vt:lpwstr>
  </property>
  <property fmtid="{D5CDD505-2E9C-101B-9397-08002B2CF9AE}" pid="4" name="MSIP_Label_9238af61-cfb1-43e3-a724-fe68a71eee05_SetDate">
    <vt:lpwstr>2025-04-15T21:40:38Z</vt:lpwstr>
  </property>
  <property fmtid="{D5CDD505-2E9C-101B-9397-08002B2CF9AE}" pid="5" name="MSIP_Label_9238af61-cfb1-43e3-a724-fe68a71eee05_Method">
    <vt:lpwstr>Privileged</vt:lpwstr>
  </property>
  <property fmtid="{D5CDD505-2E9C-101B-9397-08002B2CF9AE}" pid="6" name="MSIP_Label_9238af61-cfb1-43e3-a724-fe68a71eee05_Name">
    <vt:lpwstr>Pública</vt:lpwstr>
  </property>
  <property fmtid="{D5CDD505-2E9C-101B-9397-08002B2CF9AE}" pid="7" name="MSIP_Label_9238af61-cfb1-43e3-a724-fe68a71eee05_SiteId">
    <vt:lpwstr>fab26e5a-737a-4438-8ccd-8e465ecf21d8</vt:lpwstr>
  </property>
  <property fmtid="{D5CDD505-2E9C-101B-9397-08002B2CF9AE}" pid="8" name="MSIP_Label_9238af61-cfb1-43e3-a724-fe68a71eee05_ActionId">
    <vt:lpwstr>45a1fde6-51a1-431f-bbb9-ecad82692c40</vt:lpwstr>
  </property>
  <property fmtid="{D5CDD505-2E9C-101B-9397-08002B2CF9AE}" pid="9" name="MSIP_Label_9238af61-cfb1-43e3-a724-fe68a71eee05_ContentBits">
    <vt:lpwstr>2</vt:lpwstr>
  </property>
  <property fmtid="{D5CDD505-2E9C-101B-9397-08002B2CF9AE}" pid="10" name="MSIP_Label_9238af61-cfb1-43e3-a724-fe68a71eee05_Tag">
    <vt:lpwstr>10, 0, 1, 2</vt:lpwstr>
  </property>
</Properties>
</file>