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fontalv\Downloads\"/>
    </mc:Choice>
  </mc:AlternateContent>
  <bookViews>
    <workbookView xWindow="0" yWindow="0" windowWidth="28800" windowHeight="12135" tabRatio="768"/>
  </bookViews>
  <sheets>
    <sheet name="ANEXO 1 " sheetId="32" r:id="rId1"/>
  </sheets>
  <calcPr calcId="152511"/>
</workbook>
</file>

<file path=xl/calcChain.xml><?xml version="1.0" encoding="utf-8"?>
<calcChain xmlns="http://schemas.openxmlformats.org/spreadsheetml/2006/main">
  <c r="AK11" i="32" l="1"/>
  <c r="AK12" i="32"/>
  <c r="AK25" i="32" l="1"/>
  <c r="AK27" i="32"/>
  <c r="AS12" i="32" l="1"/>
  <c r="AS19" i="32"/>
  <c r="AS20" i="32"/>
  <c r="AS23" i="32"/>
  <c r="AS24" i="32"/>
  <c r="AS25" i="32"/>
  <c r="AS28" i="32"/>
  <c r="AS29" i="32"/>
  <c r="AS30" i="32"/>
  <c r="AS32" i="32"/>
  <c r="AS33" i="32"/>
  <c r="AS34" i="32"/>
  <c r="AS50" i="32"/>
  <c r="AN38" i="32" l="1"/>
  <c r="AP38" i="32" s="1"/>
  <c r="AN13" i="32"/>
  <c r="AP13" i="32" s="1"/>
  <c r="AP52" i="32"/>
  <c r="AN52" i="32"/>
  <c r="AP51" i="32"/>
  <c r="AN51" i="32"/>
  <c r="AP48" i="32"/>
  <c r="AN48" i="32"/>
  <c r="AP47" i="32"/>
  <c r="AN47" i="32"/>
  <c r="AP40" i="32"/>
  <c r="AN40" i="32"/>
  <c r="AP39" i="32"/>
  <c r="AN39" i="32"/>
  <c r="AP36" i="32"/>
  <c r="AN36" i="32"/>
  <c r="AP35" i="32"/>
  <c r="AN35" i="32"/>
  <c r="AP22" i="32"/>
  <c r="AN22" i="32"/>
  <c r="AP21" i="32"/>
  <c r="AN21" i="32"/>
  <c r="AP17" i="32"/>
  <c r="AN17" i="32"/>
  <c r="AP16" i="32"/>
  <c r="AQ16" i="32" s="1"/>
  <c r="AN16" i="32"/>
  <c r="AD52" i="32" l="1"/>
  <c r="AB52" i="32"/>
  <c r="AD51" i="32"/>
  <c r="AB51" i="32"/>
  <c r="AD48" i="32"/>
  <c r="AB48" i="32"/>
  <c r="AD47" i="32"/>
  <c r="AB47" i="32"/>
  <c r="AD40" i="32"/>
  <c r="AB40" i="32"/>
  <c r="AD39" i="32"/>
  <c r="AB39" i="32"/>
  <c r="AD38" i="32"/>
  <c r="AD36" i="32"/>
  <c r="AB36" i="32"/>
  <c r="AD35" i="32"/>
  <c r="AB35" i="32"/>
  <c r="AD22" i="32"/>
  <c r="AB22" i="32"/>
  <c r="AD21" i="32"/>
  <c r="AB21" i="32"/>
  <c r="AB17" i="32"/>
  <c r="AD17" i="32"/>
  <c r="AD16" i="32"/>
  <c r="AB16" i="32"/>
  <c r="AD13" i="32"/>
  <c r="AH16" i="32" l="1"/>
  <c r="AJ16" i="32" s="1"/>
  <c r="AK16" i="32" s="1"/>
  <c r="AW21" i="32" l="1"/>
  <c r="AP56" i="32"/>
  <c r="AP57" i="32"/>
  <c r="AP58" i="32"/>
  <c r="AP55" i="32"/>
  <c r="AN56" i="32"/>
  <c r="AR56" i="32" s="1"/>
  <c r="AN57" i="32"/>
  <c r="AR57" i="32" s="1"/>
  <c r="AN58" i="32"/>
  <c r="AN55" i="32"/>
  <c r="AR55" i="32" s="1"/>
  <c r="AU53" i="32"/>
  <c r="AV53" i="32"/>
  <c r="AN12" i="32"/>
  <c r="AW12" i="32"/>
  <c r="AR13" i="32"/>
  <c r="AS13" i="32" s="1"/>
  <c r="AN14" i="32"/>
  <c r="AP14" i="32"/>
  <c r="AN15" i="32"/>
  <c r="AP15" i="32"/>
  <c r="AR16" i="32"/>
  <c r="AS16" i="32" s="1"/>
  <c r="AR17" i="32"/>
  <c r="AS17" i="32" s="1"/>
  <c r="AN18" i="32"/>
  <c r="AP18" i="32"/>
  <c r="AN19" i="32"/>
  <c r="AW19" i="32"/>
  <c r="AN20" i="32"/>
  <c r="AR21" i="32"/>
  <c r="AS21" i="32" s="1"/>
  <c r="AN23" i="32"/>
  <c r="AW23" i="32"/>
  <c r="AN24" i="32"/>
  <c r="AW24" i="32"/>
  <c r="AN25" i="32"/>
  <c r="AW25" i="32"/>
  <c r="AN26" i="32"/>
  <c r="AP26" i="32"/>
  <c r="AN28" i="32"/>
  <c r="AW28" i="32"/>
  <c r="AN29" i="32"/>
  <c r="AW29" i="32"/>
  <c r="AN30" i="32"/>
  <c r="AW30" i="32"/>
  <c r="AN31" i="32"/>
  <c r="AP31" i="32"/>
  <c r="AN32" i="32"/>
  <c r="AW32" i="32"/>
  <c r="AN33" i="32"/>
  <c r="AW33" i="32"/>
  <c r="AN34" i="32"/>
  <c r="AW34" i="32"/>
  <c r="AR35" i="32"/>
  <c r="AS35" i="32" s="1"/>
  <c r="AR36" i="32"/>
  <c r="AS36" i="32" s="1"/>
  <c r="AN37" i="32"/>
  <c r="AP37" i="32"/>
  <c r="AR38" i="32"/>
  <c r="AS38" i="32" s="1"/>
  <c r="AR40" i="32"/>
  <c r="AS40" i="32" s="1"/>
  <c r="AN41" i="32"/>
  <c r="AP41" i="32"/>
  <c r="AN42" i="32"/>
  <c r="AP42" i="32"/>
  <c r="AN43" i="32"/>
  <c r="AP43" i="32"/>
  <c r="AN44" i="32"/>
  <c r="AP44" i="32"/>
  <c r="AN45" i="32"/>
  <c r="AP45" i="32"/>
  <c r="AN46" i="32"/>
  <c r="AP46" i="32"/>
  <c r="AR47" i="32"/>
  <c r="AS47" i="32" s="1"/>
  <c r="AN49" i="32"/>
  <c r="AP49" i="32"/>
  <c r="AN50" i="32"/>
  <c r="AR51" i="32"/>
  <c r="AS51" i="32" s="1"/>
  <c r="AR59" i="32"/>
  <c r="AP27" i="32"/>
  <c r="AN27" i="32"/>
  <c r="AB56" i="32"/>
  <c r="AB57" i="32"/>
  <c r="AB58" i="32"/>
  <c r="AB55" i="32"/>
  <c r="AD56" i="32"/>
  <c r="AD57" i="32"/>
  <c r="AD58" i="32"/>
  <c r="AD55" i="32"/>
  <c r="AW17" i="32"/>
  <c r="AR46" i="32" l="1"/>
  <c r="AS46" i="32" s="1"/>
  <c r="AR42" i="32"/>
  <c r="AS42" i="32" s="1"/>
  <c r="AR31" i="32"/>
  <c r="AS31" i="32" s="1"/>
  <c r="AR37" i="32"/>
  <c r="AS37" i="32" s="1"/>
  <c r="AR18" i="32"/>
  <c r="AS18" i="32" s="1"/>
  <c r="AR15" i="32"/>
  <c r="AS15" i="32" s="1"/>
  <c r="AR14" i="32"/>
  <c r="AS14" i="32" s="1"/>
  <c r="AR49" i="32"/>
  <c r="AS49" i="32" s="1"/>
  <c r="AR58" i="32"/>
  <c r="AH58" i="32"/>
  <c r="AR43" i="32"/>
  <c r="AS43" i="32" s="1"/>
  <c r="AR44" i="32"/>
  <c r="AS44" i="32" s="1"/>
  <c r="AR39" i="32"/>
  <c r="AS39" i="32" s="1"/>
  <c r="AR41" i="32"/>
  <c r="AS41" i="32" s="1"/>
  <c r="AR45" i="32"/>
  <c r="AS45" i="32" s="1"/>
  <c r="AR52" i="32"/>
  <c r="AS52" i="32" s="1"/>
  <c r="AR48" i="32"/>
  <c r="AS48" i="32" s="1"/>
  <c r="AR26" i="32"/>
  <c r="AS26" i="32" s="1"/>
  <c r="AR27" i="32"/>
  <c r="AS27" i="32" s="1"/>
  <c r="AR22" i="32"/>
  <c r="AS22" i="32" s="1"/>
  <c r="AR53" i="32" l="1"/>
  <c r="AH56" i="32" l="1"/>
  <c r="AJ56" i="32" s="1"/>
  <c r="AH57" i="32"/>
  <c r="AJ57" i="32" s="1"/>
  <c r="AH55" i="32"/>
  <c r="AJ55" i="32" s="1"/>
  <c r="AW51" i="32"/>
  <c r="AB31" i="32" l="1"/>
  <c r="AD31" i="32"/>
  <c r="AW35" i="32"/>
  <c r="AB37" i="32"/>
  <c r="AW37" i="32" s="1"/>
  <c r="AD37" i="32"/>
  <c r="AB38" i="32"/>
  <c r="AW38" i="32" s="1"/>
  <c r="AW39" i="32"/>
  <c r="AB41" i="32"/>
  <c r="AW41" i="32" s="1"/>
  <c r="AD41" i="32"/>
  <c r="AB42" i="32"/>
  <c r="AD42" i="32"/>
  <c r="AB43" i="32"/>
  <c r="AW43" i="32" s="1"/>
  <c r="AD43" i="32"/>
  <c r="AB44" i="32"/>
  <c r="AW44" i="32" s="1"/>
  <c r="AD44" i="32"/>
  <c r="AB45" i="32"/>
  <c r="AW45" i="32" s="1"/>
  <c r="AD45" i="32"/>
  <c r="AB46" i="32"/>
  <c r="AW46" i="32" s="1"/>
  <c r="AD46" i="32"/>
  <c r="AW48" i="32"/>
  <c r="AB49" i="32"/>
  <c r="AW49" i="32" s="1"/>
  <c r="AD49" i="32"/>
  <c r="N31" i="32"/>
  <c r="O31" i="32"/>
  <c r="S31" i="32"/>
  <c r="S30" i="32" s="1"/>
  <c r="S29" i="32" s="1"/>
  <c r="U31" i="32"/>
  <c r="V31" i="32"/>
  <c r="N32" i="32"/>
  <c r="O32" i="32"/>
  <c r="S32" i="32"/>
  <c r="U32" i="32"/>
  <c r="V32" i="32"/>
  <c r="N33" i="32"/>
  <c r="O33" i="32"/>
  <c r="U33" i="32"/>
  <c r="V33" i="32"/>
  <c r="AO33" i="32"/>
  <c r="AY33" i="32" s="1"/>
  <c r="N34" i="32"/>
  <c r="O34" i="32"/>
  <c r="U34" i="32"/>
  <c r="V34" i="32"/>
  <c r="AO34" i="32"/>
  <c r="AY34" i="32" s="1"/>
  <c r="N35" i="32"/>
  <c r="O35" i="32"/>
  <c r="S35" i="32"/>
  <c r="U35" i="32"/>
  <c r="V35" i="32"/>
  <c r="N36" i="32"/>
  <c r="O36" i="32"/>
  <c r="S36" i="32"/>
  <c r="U36" i="32"/>
  <c r="V36" i="32"/>
  <c r="N37" i="32"/>
  <c r="O37" i="32"/>
  <c r="S37" i="32"/>
  <c r="U37" i="32"/>
  <c r="V37" i="32"/>
  <c r="N38" i="32"/>
  <c r="O38" i="32"/>
  <c r="S38" i="32"/>
  <c r="U38" i="32"/>
  <c r="V38" i="32"/>
  <c r="N39" i="32"/>
  <c r="O39" i="32"/>
  <c r="S39" i="32"/>
  <c r="U39" i="32"/>
  <c r="V39" i="32"/>
  <c r="N40" i="32"/>
  <c r="O40" i="32"/>
  <c r="S40" i="32"/>
  <c r="U40" i="32"/>
  <c r="V40" i="32"/>
  <c r="N41" i="32"/>
  <c r="O41" i="32"/>
  <c r="S41" i="32"/>
  <c r="U41" i="32"/>
  <c r="V41" i="32"/>
  <c r="N42" i="32"/>
  <c r="O42" i="32"/>
  <c r="S42" i="32"/>
  <c r="U42" i="32"/>
  <c r="V42" i="32"/>
  <c r="N43" i="32"/>
  <c r="O43" i="32"/>
  <c r="S43" i="32"/>
  <c r="U43" i="32"/>
  <c r="V43" i="32"/>
  <c r="N44" i="32"/>
  <c r="O44" i="32"/>
  <c r="S44" i="32"/>
  <c r="U44" i="32"/>
  <c r="V44" i="32"/>
  <c r="N45" i="32"/>
  <c r="O45" i="32"/>
  <c r="S45" i="32"/>
  <c r="U45" i="32"/>
  <c r="V45" i="32"/>
  <c r="N46" i="32"/>
  <c r="O46" i="32"/>
  <c r="S46" i="32"/>
  <c r="U46" i="32"/>
  <c r="V46" i="32"/>
  <c r="N47" i="32"/>
  <c r="O47" i="32"/>
  <c r="S47" i="32"/>
  <c r="U47" i="32"/>
  <c r="V47" i="32"/>
  <c r="N48" i="32"/>
  <c r="O48" i="32"/>
  <c r="S48" i="32"/>
  <c r="U48" i="32"/>
  <c r="V48" i="32"/>
  <c r="N49" i="32"/>
  <c r="O49" i="32"/>
  <c r="S49" i="32"/>
  <c r="U49" i="32"/>
  <c r="V49" i="32"/>
  <c r="G31" i="32"/>
  <c r="H31" i="32"/>
  <c r="L31" i="32"/>
  <c r="L30" i="32" s="1"/>
  <c r="L29" i="32" s="1"/>
  <c r="G32" i="32"/>
  <c r="H32" i="32"/>
  <c r="L32" i="32"/>
  <c r="G33" i="32"/>
  <c r="H33" i="32"/>
  <c r="G34" i="32"/>
  <c r="H34" i="32"/>
  <c r="G35" i="32"/>
  <c r="H35" i="32"/>
  <c r="L35" i="32"/>
  <c r="G36" i="32"/>
  <c r="H36" i="32"/>
  <c r="L36" i="32"/>
  <c r="G37" i="32"/>
  <c r="H37" i="32"/>
  <c r="L37" i="32"/>
  <c r="G38" i="32"/>
  <c r="H38" i="32"/>
  <c r="L38" i="32"/>
  <c r="G39" i="32"/>
  <c r="H39" i="32"/>
  <c r="L39" i="32"/>
  <c r="G40" i="32"/>
  <c r="H40" i="32"/>
  <c r="L40" i="32"/>
  <c r="G41" i="32"/>
  <c r="H41" i="32"/>
  <c r="L41" i="32"/>
  <c r="G42" i="32"/>
  <c r="H42" i="32"/>
  <c r="L42" i="32"/>
  <c r="G43" i="32"/>
  <c r="H43" i="32"/>
  <c r="L43" i="32"/>
  <c r="G44" i="32"/>
  <c r="H44" i="32"/>
  <c r="L44" i="32"/>
  <c r="G45" i="32"/>
  <c r="H45" i="32"/>
  <c r="L45" i="32"/>
  <c r="G46" i="32"/>
  <c r="H46" i="32"/>
  <c r="L46" i="32"/>
  <c r="G47" i="32"/>
  <c r="H47" i="32"/>
  <c r="L47" i="32"/>
  <c r="G48" i="32"/>
  <c r="H48" i="32"/>
  <c r="L48" i="32"/>
  <c r="G49" i="32"/>
  <c r="H49" i="32"/>
  <c r="L49" i="32"/>
  <c r="AO49" i="32" l="1"/>
  <c r="AY49" i="32" s="1"/>
  <c r="AQ49" i="32"/>
  <c r="Z49" i="32"/>
  <c r="AO32" i="32"/>
  <c r="AY32" i="32" s="1"/>
  <c r="Z32" i="32"/>
  <c r="AO31" i="32"/>
  <c r="AQ31" i="32"/>
  <c r="Z31" i="32"/>
  <c r="Z30" i="32" s="1"/>
  <c r="Z29" i="32" s="1"/>
  <c r="AF31" i="32"/>
  <c r="AO48" i="32"/>
  <c r="AY48" i="32" s="1"/>
  <c r="AQ48" i="32"/>
  <c r="Z48" i="32"/>
  <c r="AO47" i="32"/>
  <c r="AQ47" i="32"/>
  <c r="Z47" i="32"/>
  <c r="AO46" i="32"/>
  <c r="AY46" i="32" s="1"/>
  <c r="AQ46" i="32"/>
  <c r="Z46" i="32"/>
  <c r="AQ45" i="32"/>
  <c r="AO45" i="32"/>
  <c r="AY45" i="32" s="1"/>
  <c r="Z45" i="32"/>
  <c r="AQ44" i="32"/>
  <c r="AO44" i="32"/>
  <c r="AY44" i="32" s="1"/>
  <c r="Z44" i="32"/>
  <c r="AO43" i="32"/>
  <c r="AY43" i="32" s="1"/>
  <c r="AQ43" i="32"/>
  <c r="Z43" i="32"/>
  <c r="AQ42" i="32"/>
  <c r="AO42" i="32"/>
  <c r="Z42" i="32"/>
  <c r="AQ41" i="32"/>
  <c r="AO41" i="32"/>
  <c r="AY41" i="32" s="1"/>
  <c r="Z41" i="32"/>
  <c r="AO40" i="32"/>
  <c r="AQ40" i="32"/>
  <c r="Z40" i="32"/>
  <c r="AO39" i="32"/>
  <c r="AY39" i="32" s="1"/>
  <c r="AQ39" i="32"/>
  <c r="Z39" i="32"/>
  <c r="AO38" i="32"/>
  <c r="AY38" i="32" s="1"/>
  <c r="AQ38" i="32"/>
  <c r="Z38" i="32"/>
  <c r="AQ37" i="32"/>
  <c r="AO37" i="32"/>
  <c r="AY37" i="32" s="1"/>
  <c r="Z37" i="32"/>
  <c r="L34" i="32"/>
  <c r="AO36" i="32"/>
  <c r="AQ36" i="32"/>
  <c r="Z36" i="32"/>
  <c r="S34" i="32"/>
  <c r="AO35" i="32"/>
  <c r="AY35" i="32" s="1"/>
  <c r="AQ35" i="32"/>
  <c r="Z35" i="32"/>
  <c r="AH47" i="32"/>
  <c r="AJ47" i="32" s="1"/>
  <c r="AK47" i="32" s="1"/>
  <c r="AW47" i="32"/>
  <c r="AY47" i="32" s="1"/>
  <c r="AH42" i="32"/>
  <c r="AJ42" i="32" s="1"/>
  <c r="AK42" i="32" s="1"/>
  <c r="AT42" i="32" s="1"/>
  <c r="AW42" i="32"/>
  <c r="AH40" i="32"/>
  <c r="AJ40" i="32" s="1"/>
  <c r="AK40" i="32" s="1"/>
  <c r="AT40" i="32" s="1"/>
  <c r="AW40" i="32"/>
  <c r="AF36" i="32"/>
  <c r="AW36" i="32"/>
  <c r="AF48" i="32"/>
  <c r="AF43" i="32"/>
  <c r="AF41" i="32"/>
  <c r="AH35" i="32"/>
  <c r="AJ35" i="32" s="1"/>
  <c r="AK35" i="32" s="1"/>
  <c r="AT35" i="32" s="1"/>
  <c r="AH31" i="32"/>
  <c r="AJ31" i="32" s="1"/>
  <c r="AW31" i="32"/>
  <c r="AY31" i="32" s="1"/>
  <c r="AF47" i="32"/>
  <c r="AF44" i="32"/>
  <c r="AH46" i="32"/>
  <c r="AJ46" i="32" s="1"/>
  <c r="AK46" i="32" s="1"/>
  <c r="AT46" i="32" s="1"/>
  <c r="AF35" i="32"/>
  <c r="AH43" i="32"/>
  <c r="AJ43" i="32" s="1"/>
  <c r="AK43" i="32" s="1"/>
  <c r="AH39" i="32"/>
  <c r="AJ39" i="32" s="1"/>
  <c r="AK39" i="32" s="1"/>
  <c r="AF49" i="32"/>
  <c r="AH44" i="32"/>
  <c r="AJ44" i="32" s="1"/>
  <c r="AK44" i="32" s="1"/>
  <c r="AT44" i="32" s="1"/>
  <c r="AF40" i="32"/>
  <c r="AF38" i="32"/>
  <c r="AH37" i="32"/>
  <c r="AJ37" i="32" s="1"/>
  <c r="AK37" i="32" s="1"/>
  <c r="AT37" i="32" s="1"/>
  <c r="AF46" i="32"/>
  <c r="AF45" i="32"/>
  <c r="AH49" i="32"/>
  <c r="AJ49" i="32" s="1"/>
  <c r="AK49" i="32" s="1"/>
  <c r="AT49" i="32" s="1"/>
  <c r="AH36" i="32"/>
  <c r="AJ36" i="32" s="1"/>
  <c r="AF42" i="32"/>
  <c r="AH38" i="32"/>
  <c r="AJ38" i="32" s="1"/>
  <c r="AK38" i="32" s="1"/>
  <c r="AT38" i="32" s="1"/>
  <c r="AF39" i="32"/>
  <c r="AF37" i="32"/>
  <c r="AH48" i="32"/>
  <c r="AJ48" i="32" s="1"/>
  <c r="AK48" i="32" s="1"/>
  <c r="AH45" i="32"/>
  <c r="AJ45" i="32" s="1"/>
  <c r="AK45" i="32" s="1"/>
  <c r="AH41" i="32"/>
  <c r="AJ41" i="32" s="1"/>
  <c r="AK41" i="32" s="1"/>
  <c r="AY40" i="32" l="1"/>
  <c r="AY36" i="32"/>
  <c r="AY42" i="32"/>
  <c r="AT48" i="32"/>
  <c r="AT47" i="32"/>
  <c r="AT45" i="32"/>
  <c r="AT43" i="32"/>
  <c r="AT41" i="32"/>
  <c r="AT39" i="32"/>
  <c r="Z34" i="32"/>
  <c r="AK36" i="32"/>
  <c r="AT36" i="32" s="1"/>
  <c r="AK31" i="32"/>
  <c r="AT31" i="32" s="1"/>
  <c r="AF21" i="32"/>
  <c r="AF17" i="32"/>
  <c r="AH51" i="32"/>
  <c r="AJ51" i="32" s="1"/>
  <c r="AK51" i="32" s="1"/>
  <c r="AT51" i="32" s="1"/>
  <c r="AK30" i="32" l="1"/>
  <c r="AK29" i="32" s="1"/>
  <c r="AK34" i="32"/>
  <c r="AH17" i="32"/>
  <c r="AJ17" i="32" s="1"/>
  <c r="AK17" i="32" s="1"/>
  <c r="AH21" i="32"/>
  <c r="AJ21" i="32" s="1"/>
  <c r="AK21" i="32" s="1"/>
  <c r="AT21" i="32" s="1"/>
  <c r="AF58" i="32" l="1"/>
  <c r="V11" i="32"/>
  <c r="O11" i="32"/>
  <c r="U11" i="32"/>
  <c r="V52" i="32"/>
  <c r="U52" i="32"/>
  <c r="V51" i="32"/>
  <c r="U51" i="32"/>
  <c r="AO50" i="32"/>
  <c r="V50" i="32"/>
  <c r="U50" i="32"/>
  <c r="AO30" i="32"/>
  <c r="AY30" i="32" s="1"/>
  <c r="V30" i="32"/>
  <c r="U30" i="32"/>
  <c r="AO29" i="32"/>
  <c r="AY29" i="32" s="1"/>
  <c r="V29" i="32"/>
  <c r="U29" i="32"/>
  <c r="V28" i="32"/>
  <c r="U28" i="32"/>
  <c r="V26" i="32"/>
  <c r="U26" i="32"/>
  <c r="AO25" i="32"/>
  <c r="AY25" i="32" s="1"/>
  <c r="V25" i="32"/>
  <c r="U25" i="32"/>
  <c r="AO24" i="32"/>
  <c r="AY24" i="32" s="1"/>
  <c r="V24" i="32"/>
  <c r="U24" i="32"/>
  <c r="AO23" i="32"/>
  <c r="AY23" i="32" s="1"/>
  <c r="V23" i="32"/>
  <c r="U23" i="32"/>
  <c r="V22" i="32"/>
  <c r="U22" i="32"/>
  <c r="V21" i="32"/>
  <c r="U21" i="32"/>
  <c r="AO20" i="32"/>
  <c r="V20" i="32"/>
  <c r="U20" i="32"/>
  <c r="AO19" i="32"/>
  <c r="AY19" i="32" s="1"/>
  <c r="V19" i="32"/>
  <c r="U19" i="32"/>
  <c r="V18" i="32"/>
  <c r="U18" i="32"/>
  <c r="V17" i="32"/>
  <c r="U17" i="32"/>
  <c r="V16" i="32"/>
  <c r="U16" i="32"/>
  <c r="V15" i="32"/>
  <c r="U15" i="32"/>
  <c r="V14" i="32"/>
  <c r="U14" i="32"/>
  <c r="V13" i="32"/>
  <c r="U13" i="32"/>
  <c r="AO12" i="32"/>
  <c r="AY12" i="32" s="1"/>
  <c r="V12" i="32"/>
  <c r="U12" i="32"/>
  <c r="V27" i="32"/>
  <c r="U27" i="32"/>
  <c r="N12" i="32"/>
  <c r="O12" i="32"/>
  <c r="N13" i="32"/>
  <c r="O13" i="32"/>
  <c r="S13" i="32"/>
  <c r="N14" i="32"/>
  <c r="O14" i="32"/>
  <c r="S14" i="32"/>
  <c r="N15" i="32"/>
  <c r="O15" i="32"/>
  <c r="S15" i="32"/>
  <c r="N16" i="32"/>
  <c r="O16" i="32"/>
  <c r="S16" i="32"/>
  <c r="N17" i="32"/>
  <c r="O17" i="32"/>
  <c r="S17" i="32"/>
  <c r="N18" i="32"/>
  <c r="O18" i="32"/>
  <c r="S18" i="32"/>
  <c r="N19" i="32"/>
  <c r="O19" i="32"/>
  <c r="N20" i="32"/>
  <c r="O20" i="32"/>
  <c r="N21" i="32"/>
  <c r="O21" i="32"/>
  <c r="S21" i="32"/>
  <c r="N22" i="32"/>
  <c r="O22" i="32"/>
  <c r="S22" i="32"/>
  <c r="N23" i="32"/>
  <c r="O23" i="32"/>
  <c r="N24" i="32"/>
  <c r="O24" i="32"/>
  <c r="N25" i="32"/>
  <c r="O25" i="32"/>
  <c r="N26" i="32"/>
  <c r="O26" i="32"/>
  <c r="S26" i="32"/>
  <c r="N28" i="32"/>
  <c r="O28" i="32"/>
  <c r="S28" i="32"/>
  <c r="N29" i="32"/>
  <c r="O29" i="32"/>
  <c r="N30" i="32"/>
  <c r="O30" i="32"/>
  <c r="N50" i="32"/>
  <c r="O50" i="32"/>
  <c r="N51" i="32"/>
  <c r="O51" i="32"/>
  <c r="S51" i="32"/>
  <c r="N52" i="32"/>
  <c r="O52" i="32"/>
  <c r="S52" i="32"/>
  <c r="O27" i="32"/>
  <c r="S27" i="32"/>
  <c r="N27" i="32"/>
  <c r="N11" i="32"/>
  <c r="G12" i="32"/>
  <c r="H12" i="32"/>
  <c r="G13" i="32"/>
  <c r="H13" i="32"/>
  <c r="L13" i="32"/>
  <c r="G14" i="32"/>
  <c r="H14" i="32"/>
  <c r="L14" i="32"/>
  <c r="G15" i="32"/>
  <c r="H15" i="32"/>
  <c r="L15" i="32"/>
  <c r="G16" i="32"/>
  <c r="H16" i="32"/>
  <c r="L16" i="32"/>
  <c r="G17" i="32"/>
  <c r="H17" i="32"/>
  <c r="L17" i="32"/>
  <c r="G18" i="32"/>
  <c r="H18" i="32"/>
  <c r="L18" i="32"/>
  <c r="G19" i="32"/>
  <c r="H19" i="32"/>
  <c r="G20" i="32"/>
  <c r="H20" i="32"/>
  <c r="G21" i="32"/>
  <c r="H21" i="32"/>
  <c r="L21" i="32"/>
  <c r="G22" i="32"/>
  <c r="H22" i="32"/>
  <c r="L22" i="32"/>
  <c r="G24" i="32"/>
  <c r="H24" i="32"/>
  <c r="G25" i="32"/>
  <c r="H25" i="32"/>
  <c r="G26" i="32"/>
  <c r="H26" i="32"/>
  <c r="L26" i="32"/>
  <c r="G28" i="32"/>
  <c r="H28" i="32"/>
  <c r="L28" i="32"/>
  <c r="G29" i="32"/>
  <c r="H29" i="32"/>
  <c r="G30" i="32"/>
  <c r="H30" i="32"/>
  <c r="G50" i="32"/>
  <c r="H50" i="32"/>
  <c r="G51" i="32"/>
  <c r="H51" i="32"/>
  <c r="L51" i="32"/>
  <c r="G52" i="32"/>
  <c r="H52" i="32"/>
  <c r="L52" i="32"/>
  <c r="H27" i="32"/>
  <c r="G27" i="32"/>
  <c r="H11" i="32"/>
  <c r="G11" i="32"/>
  <c r="S50" i="32" l="1"/>
  <c r="S33" i="32" s="1"/>
  <c r="S20" i="32"/>
  <c r="S25" i="32"/>
  <c r="S24" i="32" s="1"/>
  <c r="AO27" i="32"/>
  <c r="AQ27" i="32"/>
  <c r="Z27" i="32"/>
  <c r="AO18" i="32"/>
  <c r="AQ18" i="32"/>
  <c r="Z18" i="32"/>
  <c r="AO21" i="32"/>
  <c r="AY21" i="32" s="1"/>
  <c r="AQ21" i="32"/>
  <c r="Z21" i="32"/>
  <c r="AO22" i="32"/>
  <c r="AQ22" i="32"/>
  <c r="Z22" i="32"/>
  <c r="AQ26" i="32"/>
  <c r="AO26" i="32"/>
  <c r="Z26" i="32"/>
  <c r="AO28" i="32"/>
  <c r="AY28" i="32" s="1"/>
  <c r="Z28" i="32"/>
  <c r="AO51" i="32"/>
  <c r="AY51" i="32" s="1"/>
  <c r="AQ51" i="32"/>
  <c r="Z51" i="32"/>
  <c r="AO52" i="32"/>
  <c r="AQ52" i="32"/>
  <c r="Z52" i="32"/>
  <c r="AO17" i="32"/>
  <c r="AY17" i="32" s="1"/>
  <c r="AT17" i="32"/>
  <c r="AQ17" i="32"/>
  <c r="Z17" i="32"/>
  <c r="AO16" i="32"/>
  <c r="Z16" i="32"/>
  <c r="AO15" i="32"/>
  <c r="AQ15" i="32"/>
  <c r="Z15" i="32"/>
  <c r="AQ14" i="32"/>
  <c r="AO14" i="32"/>
  <c r="Z14" i="32"/>
  <c r="S12" i="32"/>
  <c r="AO13" i="32"/>
  <c r="AQ13" i="32"/>
  <c r="Z13" i="32"/>
  <c r="L50" i="32"/>
  <c r="L25" i="32"/>
  <c r="L24" i="32" s="1"/>
  <c r="L20" i="32"/>
  <c r="L12" i="32"/>
  <c r="S19" i="32" l="1"/>
  <c r="S11" i="32"/>
  <c r="Z20" i="32"/>
  <c r="AO53" i="32"/>
  <c r="AO57" i="32" s="1"/>
  <c r="AO58" i="32" s="1"/>
  <c r="Z50" i="32"/>
  <c r="Z33" i="32" s="1"/>
  <c r="Z25" i="32"/>
  <c r="Z24" i="32" s="1"/>
  <c r="AS53" i="32"/>
  <c r="AS55" i="32" s="1"/>
  <c r="Z12" i="32"/>
  <c r="AQ53" i="32"/>
  <c r="AQ56" i="32" s="1"/>
  <c r="S53" i="32" l="1"/>
  <c r="S9" i="32" s="1"/>
  <c r="AO56" i="32"/>
  <c r="Z19" i="32"/>
  <c r="AO55" i="32"/>
  <c r="Z11" i="32"/>
  <c r="AS57" i="32"/>
  <c r="AS58" i="32" s="1"/>
  <c r="AS56" i="32"/>
  <c r="AQ57" i="32"/>
  <c r="AQ58" i="32" s="1"/>
  <c r="AQ55" i="32"/>
  <c r="AD27" i="32"/>
  <c r="AD14" i="32"/>
  <c r="AD15" i="32"/>
  <c r="AD18" i="32"/>
  <c r="AD26" i="32"/>
  <c r="AD50" i="32"/>
  <c r="AB27" i="32"/>
  <c r="AW27" i="32" s="1"/>
  <c r="AB13" i="32"/>
  <c r="AW13" i="32" s="1"/>
  <c r="AY13" i="32" s="1"/>
  <c r="AB14" i="32"/>
  <c r="AW14" i="32" s="1"/>
  <c r="AY14" i="32" s="1"/>
  <c r="AB15" i="32"/>
  <c r="AW15" i="32" s="1"/>
  <c r="AY15" i="32" s="1"/>
  <c r="AB18" i="32"/>
  <c r="AW18" i="32" s="1"/>
  <c r="AY18" i="32" s="1"/>
  <c r="AB20" i="32"/>
  <c r="AW22" i="32"/>
  <c r="AY22" i="32" s="1"/>
  <c r="AB26" i="32"/>
  <c r="AW26" i="32" s="1"/>
  <c r="AY26" i="32" s="1"/>
  <c r="AB50" i="32"/>
  <c r="AW50" i="32" s="1"/>
  <c r="AY50" i="32" s="1"/>
  <c r="AW52" i="32"/>
  <c r="AY52" i="32" s="1"/>
  <c r="AO60" i="32" l="1"/>
  <c r="Z53" i="32"/>
  <c r="Z9" i="32" s="1"/>
  <c r="AQ60" i="32"/>
  <c r="AS60" i="32"/>
  <c r="AW20" i="32"/>
  <c r="AY20" i="32" s="1"/>
  <c r="AT16" i="32"/>
  <c r="AW16" i="32"/>
  <c r="AY16" i="32" s="1"/>
  <c r="AY27" i="32"/>
  <c r="AF57" i="32"/>
  <c r="AF56" i="32"/>
  <c r="AF55" i="32"/>
  <c r="AF52" i="32"/>
  <c r="AH26" i="32"/>
  <c r="AJ26" i="32" s="1"/>
  <c r="AK26" i="32" s="1"/>
  <c r="AT26" i="32" s="1"/>
  <c r="AH22" i="32"/>
  <c r="AJ22" i="32" s="1"/>
  <c r="AH18" i="32"/>
  <c r="AJ18" i="32" s="1"/>
  <c r="AK18" i="32" s="1"/>
  <c r="AT18" i="32" s="1"/>
  <c r="AH13" i="32"/>
  <c r="AJ13" i="32" s="1"/>
  <c r="AK13" i="32" s="1"/>
  <c r="AT13" i="32" s="1"/>
  <c r="AF50" i="32"/>
  <c r="AF15" i="32"/>
  <c r="AF27" i="32"/>
  <c r="AH52" i="32"/>
  <c r="AJ52" i="32" s="1"/>
  <c r="AF14" i="32"/>
  <c r="AH14" i="32"/>
  <c r="AJ14" i="32" s="1"/>
  <c r="AK14" i="32" s="1"/>
  <c r="AT14" i="32" s="1"/>
  <c r="AJ50" i="32"/>
  <c r="AH50" i="32"/>
  <c r="AH15" i="32"/>
  <c r="AJ15" i="32" s="1"/>
  <c r="AK15" i="32" s="1"/>
  <c r="AT15" i="32" s="1"/>
  <c r="AH27" i="32"/>
  <c r="AJ27" i="32" s="1"/>
  <c r="AT27" i="32" s="1"/>
  <c r="AF26" i="32"/>
  <c r="AF22" i="32"/>
  <c r="AF18" i="32"/>
  <c r="AF13" i="32"/>
  <c r="L27" i="32"/>
  <c r="F30" i="32"/>
  <c r="L11" i="32" l="1"/>
  <c r="AK22" i="32"/>
  <c r="AT22" i="32" s="1"/>
  <c r="AW53" i="32"/>
  <c r="AK52" i="32"/>
  <c r="AT52" i="32" s="1"/>
  <c r="AK24" i="32"/>
  <c r="AK50" i="32" l="1"/>
  <c r="AK33" i="32" s="1"/>
  <c r="AK20" i="32"/>
  <c r="AW57" i="32"/>
  <c r="AW58" i="32" s="1"/>
  <c r="AW59" i="32"/>
  <c r="AW55" i="32"/>
  <c r="AW56" i="32"/>
  <c r="Z55" i="32"/>
  <c r="S57" i="32"/>
  <c r="S58" i="32" s="1"/>
  <c r="AK53" i="32" l="1"/>
  <c r="AK9" i="32" s="1"/>
  <c r="AW60" i="32"/>
  <c r="AW62" i="32" s="1"/>
  <c r="S56" i="32"/>
  <c r="S55" i="32"/>
  <c r="Z57" i="32"/>
  <c r="Z58" i="32" s="1"/>
  <c r="Z56" i="32"/>
  <c r="AK57" i="32" l="1"/>
  <c r="AK58" i="32" s="1"/>
  <c r="AK56" i="32"/>
  <c r="AK55" i="32"/>
  <c r="Z54" i="32"/>
  <c r="Z59" i="32" s="1"/>
  <c r="Z60" i="32" s="1"/>
  <c r="S54" i="32"/>
  <c r="S59" i="32" s="1"/>
  <c r="S60" i="32" s="1"/>
  <c r="AK54" i="32" l="1"/>
  <c r="AK59" i="32" s="1"/>
  <c r="AK60" i="32" s="1"/>
  <c r="AS62" i="32" s="1"/>
  <c r="L33" i="32" l="1"/>
  <c r="L53" i="32" s="1"/>
  <c r="L19" i="32"/>
  <c r="L9" i="32" l="1"/>
  <c r="L56" i="32"/>
  <c r="L57" i="32"/>
  <c r="L58" i="32" s="1"/>
  <c r="L55" i="32"/>
  <c r="L54" i="32" l="1"/>
  <c r="L59" i="32" s="1"/>
  <c r="L60" i="32" s="1"/>
</calcChain>
</file>

<file path=xl/sharedStrings.xml><?xml version="1.0" encoding="utf-8"?>
<sst xmlns="http://schemas.openxmlformats.org/spreadsheetml/2006/main" count="257" uniqueCount="97">
  <si>
    <t>ITEM</t>
  </si>
  <si>
    <t>Descripcion</t>
  </si>
  <si>
    <t>UN</t>
  </si>
  <si>
    <t>Cant.</t>
  </si>
  <si>
    <t>TOTAL COSTO DIRECTO</t>
  </si>
  <si>
    <t>TOTAL COSTOS INDIRECTOS</t>
  </si>
  <si>
    <t>Administracion</t>
  </si>
  <si>
    <t xml:space="preserve">Imprevistos </t>
  </si>
  <si>
    <t>Utilidad</t>
  </si>
  <si>
    <t>IVA Sobre Utilidad</t>
  </si>
  <si>
    <t>VALOR TOTAL OBRA</t>
  </si>
  <si>
    <t>M2</t>
  </si>
  <si>
    <t>ML</t>
  </si>
  <si>
    <t xml:space="preserve">VALOR </t>
  </si>
  <si>
    <t>I</t>
  </si>
  <si>
    <t>OBRA CIVIL</t>
  </si>
  <si>
    <t>VALOR UNITARIO</t>
  </si>
  <si>
    <t xml:space="preserve">VALOR TOTAL </t>
  </si>
  <si>
    <t>COTIZACIÓN 1</t>
  </si>
  <si>
    <t>COTIZACIÓN 2</t>
  </si>
  <si>
    <t xml:space="preserve">VALOR COTIZACIÓN HÁBIL MÁS BAJA  </t>
  </si>
  <si>
    <t xml:space="preserve">PROMEDIO          </t>
  </si>
  <si>
    <t>PORCENTAJE DIFERENCIAL (BAJA/PROMEDIO)</t>
  </si>
  <si>
    <t>MEDIA ARITMETICA BAJA</t>
  </si>
  <si>
    <t>TOTAL CAPÍTULO</t>
  </si>
  <si>
    <t>VALOR</t>
  </si>
  <si>
    <t>COTIZACIÓN 3</t>
  </si>
  <si>
    <t xml:space="preserve">1. ) Es de aclarar que al presente análisis se aplicó el procedimiento de aproximación generalmente aceptado por las reglas matemáticas denominado redondeo, el cual consiste en acercar los valores decimales a su aproximado más inmediato (a la baja o a la alta).  </t>
  </si>
  <si>
    <t>ESTUDIO DEL SECTOR 
ANEXO No. 1</t>
  </si>
  <si>
    <t>1.1</t>
  </si>
  <si>
    <t>1.1.1</t>
  </si>
  <si>
    <t>1.1.2</t>
  </si>
  <si>
    <t>Suministro e instalación de salida para tomacorrientes. Incluye caja, cableado en alamabre, regata, tornillos y resanes.</t>
  </si>
  <si>
    <t>1.1.3</t>
  </si>
  <si>
    <t>1.1.4</t>
  </si>
  <si>
    <t>1.1.5</t>
  </si>
  <si>
    <t>1.1.6</t>
  </si>
  <si>
    <t>1.2</t>
  </si>
  <si>
    <t>1.2.1</t>
  </si>
  <si>
    <t>1.2.2</t>
  </si>
  <si>
    <t>Orden y aseo</t>
  </si>
  <si>
    <t>Orden y aseo final.</t>
  </si>
  <si>
    <t>Retiro de todos los escombros producto de todas las actividades contempladas.</t>
  </si>
  <si>
    <t>2.1</t>
  </si>
  <si>
    <t>2.1.1</t>
  </si>
  <si>
    <t>Generales</t>
  </si>
  <si>
    <t>Escarificación de piso en concreto.</t>
  </si>
  <si>
    <t>Construcción de plantilla de nivelación de 2 cm de espesor. Incluye acabado pulido.</t>
  </si>
  <si>
    <t>Levante de muro cortafuego. Incluye todos los elementos para cumplir con la norma.</t>
  </si>
  <si>
    <t>Pañete de muros en mortero 1:4.</t>
  </si>
  <si>
    <t>Estuco de muros internos. Incluye lijado.</t>
  </si>
  <si>
    <t>Pintura en esmalte color a definir.</t>
  </si>
  <si>
    <t>Pintura epóxica para piso en color a definir. Inclue preparación de la superficie.</t>
  </si>
  <si>
    <t>Suministro e instalación de cableado eléctrico en tubería EMT.</t>
  </si>
  <si>
    <t>Suministro e instalación de salida para lámpara. Incluye caja, cableado en alambre de cobre, regata, tornillos y resanes.</t>
  </si>
  <si>
    <t>Suministro e instalación de salida para interruptores. Incluye caja, cableado en alamabre, regata, tornillos y resanes.</t>
  </si>
  <si>
    <t>Suministro e instalación de tomacorrientes doble con polo a tierra.</t>
  </si>
  <si>
    <t>Suministro e instalación de interruptores sencillos.</t>
  </si>
  <si>
    <t>Fabricación e instalación de portón corredizo en aluminio en vano de 6 m de largo en dos hojas de 3 m de largo y 2 m de altura con marco en perfil de 3" x 1 1/2", dos verticales intermedios cada 1 m en perfil de 3" x 1", un horizontal intermedio en perfil de 3" x 1" y diez horizontales intermedios en perfil de 1" x 1". Incluye perfil de soporte a muro de 1 3/4" x 4" en ambos lados, sistema de rodamiento, obras civiles para riel inferior, riel inferior, carritos, cerradura de seguridad, manija y anclaje a muros.</t>
  </si>
  <si>
    <t>Fabricación e instalación de puertas metálicas cortafuego entamboradas de 1 hoja. Incluye marco en el mismo material, cerradura de embutir con cerrojo accionado con la llave por ambos lados color cromo satinado con backset de 45 mm tipo pico de loro, bisagras, aplicación de anticorrosivo, pintura en esmalte color negro y gato hidráulico. (En la medida se incluye la medida del marco). Medidas de 1 m x 2 m.</t>
  </si>
  <si>
    <t>GLOBAL</t>
  </si>
  <si>
    <t>ESTUDIO DEL SECTOR</t>
  </si>
  <si>
    <t>SECCIONAL LA GUAJIRA</t>
  </si>
  <si>
    <t>4.1</t>
  </si>
  <si>
    <t>4.1.1</t>
  </si>
  <si>
    <t>SEDE CALLE PRIMERA RIOHACHA</t>
  </si>
  <si>
    <t xml:space="preserve">Impermeabilización de losa de concreto con manto edil 3 mm foil de aluminio. Incluye limpieza, resane donde sea necesario, preparación de la superficie, instalación de manto y acabado final.  </t>
  </si>
  <si>
    <t>Corte y demolición de alfajía en concreto. Incluye retiro de acero de refuerzo.</t>
  </si>
  <si>
    <t>Construcción de alfajía en concreto de acuerdo a diseño existente. Incluye anclajes en varilla de 1/4" en forma de U cada 20 cm,  refuerzo en varilla de 3/8" longitudinal y aplicación de producto para pega de concreto viejo con nuevo. Espesor de 5 cm. Ancho de 23 cm.</t>
  </si>
  <si>
    <t>Pañete impermeabilizado de alfajía. Desarrollo de 33 cm.</t>
  </si>
  <si>
    <t>Estuco de alfajía. Desarrollo de 33 cm.</t>
  </si>
  <si>
    <t>Pintura para exteriores en color a definir de alfajía. Desarrollo de 33 cm.</t>
  </si>
  <si>
    <t>Mantenimiento de puerta de vidrio batiente de medidas promedio de 2 m x 2 m. Incluye desmonte de puerta, retiro de gato hidráulico de piso, mantenimiento del orificio del gato, mantenimiento general del gato, ajuste de tornillería de bisagras, limpieza de la puerta, cambio de bisagras, cambio de gato y limpieza del gato.</t>
  </si>
  <si>
    <t>SEDE CALLE QUINTA RIOHACHA</t>
  </si>
  <si>
    <t>SEDE FONSECA</t>
  </si>
  <si>
    <t>PUNTO DE ACOPIO TEMPORAL RIOHACHA</t>
  </si>
  <si>
    <t>Realizar bajo la modalidad de precios unitarios fijos las obras de mejoramiento, adecuación y mantenimiento de la infraestructura física de las diferentes sedes de la Fiscalía General de la Nación Subdirección Regional de Apoyo - Caribe, de acuerdo con las especificaciones técnicas establecidas por la Entidad.</t>
  </si>
  <si>
    <t>2.1.2</t>
  </si>
  <si>
    <t>3.1</t>
  </si>
  <si>
    <t>3.1.1</t>
  </si>
  <si>
    <t>4.1.2</t>
  </si>
  <si>
    <t>4.1.3</t>
  </si>
  <si>
    <t>4.1.4</t>
  </si>
  <si>
    <t>4.1.5</t>
  </si>
  <si>
    <t>4.1.6</t>
  </si>
  <si>
    <t>4.1.7</t>
  </si>
  <si>
    <t>4.1.8</t>
  </si>
  <si>
    <t>4.1.9</t>
  </si>
  <si>
    <t>4.1.10</t>
  </si>
  <si>
    <t>4.1.11</t>
  </si>
  <si>
    <t>4.1.12</t>
  </si>
  <si>
    <t>4.1.13</t>
  </si>
  <si>
    <t>4.1.14</t>
  </si>
  <si>
    <t>4.1.15</t>
  </si>
  <si>
    <t>4.2</t>
  </si>
  <si>
    <t>4.2.1</t>
  </si>
  <si>
    <t>4.2.2</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</si>
</sst>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6" formatCode="&quot;$&quot;\ #,##0;[Red]\-&quot;$&quot;\ #,##0"/>
    <numFmt numFmtId="43" formatCode="_-* #,##0.00_-;\-* #,##0.00_-;_-* &quot;-&quot;??_-;_-@_-"/>
    <numFmt numFmtId="164" formatCode="_(&quot;$&quot;\ * #,##0.00_);_(&quot;$&quot;\ * \(#,##0.00\);_(&quot;$&quot;\ * &quot;-&quot;??_);_(@_)"/>
    <numFmt numFmtId="165" formatCode="_ &quot;$&quot;\ * #,##0.00_ ;_ &quot;$&quot;\ * \-#,##0.00_ ;_ &quot;$&quot;\ * &quot;-&quot;??_ ;_ @_ "/>
    <numFmt numFmtId="166" formatCode="_ * #,##0.00_ ;_ * \-#,##0.00_ ;_ * &quot;-&quot;??_ ;_ @_ "/>
    <numFmt numFmtId="167" formatCode="_(&quot;$&quot;* #,##0.00_);_(&quot;$&quot;* \(#,##0.00\);_(&quot;$&quot;* &quot;-&quot;??_);_(@_)"/>
    <numFmt numFmtId="168" formatCode="_(&quot;$&quot;* #,##0_);_(&quot;$&quot;* \(#,##0\);_(&quot;$&quot;* &quot;-&quot;??_);_(@_)"/>
    <numFmt numFmtId="169" formatCode="_(&quot;$&quot;\ * #,##0_);_(&quot;$&quot;\ * \(#,##0\);_(&quot;$&quot;\ * &quot;-&quot;??_);_(@_)"/>
    <numFmt numFmtId="170" formatCode="&quot;$&quot;\ #,##0.00"/>
    <numFmt numFmtId="171" formatCode="_-&quot;$&quot;* #,##0_-;\-&quot;$&quot;* #,##0_-;_-&quot;$&quot;* &quot;-&quot;??_-;_-@_-"/>
    <numFmt numFmtId="172" formatCode="_-* #,##0_-;\-* #,##0_-;_-* &quot;-&quot;??_-;_-@_-"/>
  </numFmts>
  <fonts count="11" x14ac:knownFonts="1">
    <font>
      <sz val="10"/>
      <name val="Arial"/>
    </font>
    <font>
      <sz val="10"/>
      <name val="Arial"/>
      <family val="2"/>
    </font>
    <font>
      <sz val="8"/>
      <name val="Arial"/>
      <family val="2"/>
    </font>
    <font>
      <sz val="12"/>
      <name val="Arial"/>
      <family val="2"/>
    </font>
    <font>
      <b/>
      <sz val="12"/>
      <name val="Arial"/>
      <family val="2"/>
    </font>
    <font>
      <sz val="10"/>
      <name val="Arial"/>
      <family val="2"/>
    </font>
    <font>
      <sz val="10"/>
      <name val="Arial"/>
      <family val="2"/>
    </font>
    <font>
      <b/>
      <sz val="10"/>
      <name val="Arial"/>
      <family val="2"/>
    </font>
    <font>
      <b/>
      <sz val="10"/>
      <name val="Arial Narrow"/>
      <family val="2"/>
    </font>
    <font>
      <b/>
      <sz val="10"/>
      <color rgb="FFFFFF00"/>
      <name val="Arial"/>
      <family val="2"/>
    </font>
    <font>
      <b/>
      <sz val="10"/>
      <color rgb="FF00FFCC"/>
      <name val="Arial"/>
      <family val="2"/>
    </font>
  </fonts>
  <fills count="12">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00B050"/>
        <bgColor indexed="64"/>
      </patternFill>
    </fill>
    <fill>
      <patternFill patternType="solid">
        <fgColor rgb="FF00FFCC"/>
        <bgColor indexed="64"/>
      </patternFill>
    </fill>
    <fill>
      <patternFill patternType="solid">
        <fgColor rgb="FF00FF99"/>
        <bgColor indexed="64"/>
      </patternFill>
    </fill>
    <fill>
      <patternFill patternType="solid">
        <fgColor theme="7" tint="0.7999816888943144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thin">
        <color indexed="64"/>
      </top>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hair">
        <color indexed="64"/>
      </top>
      <bottom style="hair">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s>
  <cellStyleXfs count="15">
    <xf numFmtId="0" fontId="0" fillId="0" borderId="0"/>
    <xf numFmtId="43" fontId="6" fillId="0" borderId="0" applyFont="0" applyFill="0" applyBorder="0" applyAlignment="0" applyProtection="0"/>
    <xf numFmtId="166" fontId="6" fillId="0" borderId="0" applyFont="0" applyFill="0" applyBorder="0" applyAlignment="0" applyProtection="0"/>
    <xf numFmtId="167" fontId="1" fillId="0" borderId="0" applyFont="0" applyFill="0" applyBorder="0" applyAlignment="0" applyProtection="0"/>
    <xf numFmtId="165" fontId="6" fillId="0" borderId="0" applyFont="0" applyFill="0" applyBorder="0" applyAlignment="0" applyProtection="0"/>
    <xf numFmtId="164" fontId="5" fillId="0" borderId="0" applyFont="0" applyFill="0" applyBorder="0" applyAlignment="0" applyProtection="0"/>
    <xf numFmtId="0" fontId="6" fillId="0" borderId="0"/>
    <xf numFmtId="0" fontId="6" fillId="0" borderId="0"/>
    <xf numFmtId="0" fontId="6" fillId="0" borderId="0"/>
    <xf numFmtId="0" fontId="6" fillId="0" borderId="0"/>
    <xf numFmtId="9" fontId="1" fillId="0" borderId="0" applyFont="0" applyFill="0" applyBorder="0" applyAlignment="0" applyProtection="0"/>
    <xf numFmtId="0" fontId="1" fillId="0" borderId="0"/>
    <xf numFmtId="164" fontId="1" fillId="0" borderId="0" applyFont="0" applyFill="0" applyBorder="0" applyAlignment="0" applyProtection="0"/>
    <xf numFmtId="43" fontId="1" fillId="0" borderId="0" applyFont="0" applyFill="0" applyBorder="0" applyAlignment="0" applyProtection="0"/>
    <xf numFmtId="0" fontId="1" fillId="0" borderId="0"/>
  </cellStyleXfs>
  <cellXfs count="212">
    <xf numFmtId="0" fontId="0" fillId="0" borderId="0" xfId="0"/>
    <xf numFmtId="3" fontId="3" fillId="0" borderId="0" xfId="0" applyNumberFormat="1" applyFont="1" applyFill="1" applyBorder="1" applyAlignment="1">
      <alignment horizontal="center" vertical="center"/>
    </xf>
    <xf numFmtId="9" fontId="2" fillId="0" borderId="0" xfId="0" applyNumberFormat="1" applyFont="1" applyFill="1" applyBorder="1"/>
    <xf numFmtId="0" fontId="0" fillId="0" borderId="0" xfId="0" applyFill="1"/>
    <xf numFmtId="0" fontId="3" fillId="0" borderId="0" xfId="0" applyFont="1" applyFill="1"/>
    <xf numFmtId="164" fontId="5" fillId="0" borderId="0" xfId="5" applyFont="1" applyFill="1" applyBorder="1" applyAlignment="1">
      <alignment vertical="center"/>
    </xf>
    <xf numFmtId="168" fontId="5" fillId="0" borderId="0" xfId="5" applyNumberFormat="1" applyFont="1" applyFill="1" applyBorder="1" applyAlignment="1">
      <alignment horizontal="right" vertical="center"/>
    </xf>
    <xf numFmtId="169" fontId="5" fillId="0" borderId="0" xfId="5" applyNumberFormat="1" applyFont="1" applyFill="1" applyBorder="1" applyAlignment="1">
      <alignment horizontal="right" vertical="center"/>
    </xf>
    <xf numFmtId="9" fontId="5" fillId="0" borderId="0" xfId="10" applyFont="1" applyFill="1" applyBorder="1" applyAlignment="1">
      <alignment horizontal="right" vertical="center"/>
    </xf>
    <xf numFmtId="164" fontId="5" fillId="0" borderId="0" xfId="5" applyFont="1" applyFill="1" applyBorder="1" applyAlignment="1">
      <alignment horizontal="right" vertical="center"/>
    </xf>
    <xf numFmtId="168" fontId="7" fillId="0" borderId="0" xfId="5" applyNumberFormat="1" applyFont="1" applyFill="1" applyBorder="1" applyAlignment="1">
      <alignment horizontal="right" vertical="center"/>
    </xf>
    <xf numFmtId="0" fontId="0" fillId="0" borderId="0" xfId="0" applyFill="1" applyBorder="1"/>
    <xf numFmtId="164" fontId="7" fillId="0" borderId="0" xfId="5" applyFont="1" applyFill="1" applyBorder="1" applyAlignment="1">
      <alignment horizontal="right" vertical="center"/>
    </xf>
    <xf numFmtId="168" fontId="4" fillId="0" borderId="0" xfId="5" applyNumberFormat="1" applyFont="1" applyFill="1" applyBorder="1" applyAlignment="1">
      <alignment horizontal="right" vertical="center"/>
    </xf>
    <xf numFmtId="164" fontId="4" fillId="0" borderId="0" xfId="5" applyFont="1" applyFill="1" applyBorder="1" applyAlignment="1">
      <alignment horizontal="right" vertical="center"/>
    </xf>
    <xf numFmtId="164" fontId="5" fillId="0" borderId="15" xfId="5" applyFont="1" applyFill="1" applyBorder="1" applyAlignment="1">
      <alignment vertical="center"/>
    </xf>
    <xf numFmtId="169" fontId="5" fillId="0" borderId="0" xfId="5" applyNumberFormat="1" applyFont="1" applyFill="1" applyBorder="1" applyAlignment="1">
      <alignment vertical="center"/>
    </xf>
    <xf numFmtId="4" fontId="7" fillId="0" borderId="0" xfId="6" applyNumberFormat="1" applyFont="1" applyFill="1" applyBorder="1" applyAlignment="1">
      <alignment horizontal="right" vertical="center"/>
    </xf>
    <xf numFmtId="169" fontId="7" fillId="0" borderId="0" xfId="5" applyNumberFormat="1" applyFont="1" applyFill="1" applyBorder="1" applyAlignment="1">
      <alignment vertical="center"/>
    </xf>
    <xf numFmtId="164" fontId="7" fillId="0" borderId="0" xfId="5" applyFont="1" applyFill="1" applyBorder="1" applyAlignment="1">
      <alignment vertical="center"/>
    </xf>
    <xf numFmtId="169" fontId="7" fillId="0" borderId="0" xfId="5" applyNumberFormat="1" applyFont="1" applyFill="1" applyBorder="1" applyAlignment="1">
      <alignment horizontal="right" vertical="center"/>
    </xf>
    <xf numFmtId="9" fontId="5" fillId="0" borderId="0" xfId="10" applyFont="1" applyFill="1" applyBorder="1" applyAlignment="1">
      <alignment horizontal="center" vertical="center"/>
    </xf>
    <xf numFmtId="164" fontId="5" fillId="0" borderId="15" xfId="5" applyFont="1" applyFill="1" applyBorder="1" applyAlignment="1">
      <alignment vertical="center" wrapText="1"/>
    </xf>
    <xf numFmtId="167" fontId="5" fillId="0" borderId="0" xfId="10" applyNumberFormat="1" applyFont="1" applyFill="1" applyBorder="1" applyAlignment="1">
      <alignment horizontal="right" vertical="center"/>
    </xf>
    <xf numFmtId="4" fontId="0" fillId="0" borderId="0" xfId="0" applyNumberFormat="1" applyFill="1"/>
    <xf numFmtId="170" fontId="0" fillId="0" borderId="0" xfId="0" applyNumberFormat="1" applyFill="1"/>
    <xf numFmtId="9" fontId="5" fillId="0" borderId="26" xfId="10" applyFont="1" applyFill="1" applyBorder="1" applyAlignment="1">
      <alignment horizontal="center" vertical="center"/>
    </xf>
    <xf numFmtId="9" fontId="5" fillId="0" borderId="27" xfId="1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left" vertical="top" wrapText="1"/>
    </xf>
    <xf numFmtId="0" fontId="0" fillId="0" borderId="0" xfId="0" applyFill="1" applyAlignment="1">
      <alignment horizontal="center"/>
    </xf>
    <xf numFmtId="0" fontId="5" fillId="0" borderId="0" xfId="6" applyFont="1" applyFill="1" applyBorder="1" applyAlignment="1">
      <alignment horizontal="left" vertical="center" wrapText="1"/>
    </xf>
    <xf numFmtId="168" fontId="5" fillId="0" borderId="0" xfId="5" applyNumberFormat="1" applyFont="1" applyFill="1" applyBorder="1" applyAlignment="1">
      <alignment vertical="center"/>
    </xf>
    <xf numFmtId="0" fontId="5" fillId="0" borderId="0" xfId="0" applyFont="1" applyFill="1"/>
    <xf numFmtId="170" fontId="5" fillId="0" borderId="0" xfId="0" applyNumberFormat="1" applyFont="1" applyFill="1"/>
    <xf numFmtId="0" fontId="5" fillId="0" borderId="30" xfId="0" applyFont="1" applyFill="1" applyBorder="1"/>
    <xf numFmtId="0" fontId="5" fillId="0" borderId="10" xfId="0" applyFont="1" applyFill="1" applyBorder="1"/>
    <xf numFmtId="0" fontId="5" fillId="0" borderId="10" xfId="0" applyFont="1" applyFill="1" applyBorder="1" applyAlignment="1">
      <alignment horizontal="center"/>
    </xf>
    <xf numFmtId="0" fontId="7" fillId="0" borderId="23"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7" fillId="0" borderId="0" xfId="0" applyFont="1" applyFill="1" applyBorder="1" applyAlignment="1">
      <alignment horizontal="center"/>
    </xf>
    <xf numFmtId="0" fontId="7" fillId="0" borderId="1" xfId="0" applyFont="1" applyFill="1" applyBorder="1" applyAlignment="1">
      <alignment horizontal="center" vertical="center"/>
    </xf>
    <xf numFmtId="168" fontId="7" fillId="0" borderId="15" xfId="6" applyNumberFormat="1" applyFont="1" applyFill="1" applyBorder="1" applyAlignment="1">
      <alignment horizontal="center" vertical="center" wrapText="1"/>
    </xf>
    <xf numFmtId="0" fontId="5" fillId="0" borderId="0" xfId="6" applyFont="1" applyFill="1" applyAlignment="1">
      <alignment horizontal="center" vertical="center"/>
    </xf>
    <xf numFmtId="0" fontId="7" fillId="0" borderId="15" xfId="6" applyFont="1" applyFill="1" applyBorder="1" applyAlignment="1">
      <alignment horizontal="center" vertical="center" wrapText="1"/>
    </xf>
    <xf numFmtId="0" fontId="5" fillId="0" borderId="0" xfId="0" applyFont="1" applyFill="1" applyBorder="1" applyAlignment="1">
      <alignment horizontal="center"/>
    </xf>
    <xf numFmtId="0" fontId="7" fillId="0" borderId="3"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7" fillId="0" borderId="32" xfId="0" applyFont="1" applyFill="1" applyBorder="1" applyAlignment="1">
      <alignment horizontal="left" vertical="center" wrapText="1"/>
    </xf>
    <xf numFmtId="164" fontId="7" fillId="0" borderId="33" xfId="0" applyNumberFormat="1" applyFont="1" applyFill="1" applyBorder="1" applyAlignment="1">
      <alignment horizontal="center" vertical="center" wrapText="1"/>
    </xf>
    <xf numFmtId="0" fontId="5" fillId="0" borderId="3" xfId="0" applyFont="1" applyFill="1" applyBorder="1"/>
    <xf numFmtId="0" fontId="5" fillId="0" borderId="2" xfId="0" applyFont="1" applyFill="1" applyBorder="1"/>
    <xf numFmtId="0" fontId="5" fillId="0" borderId="2" xfId="0" applyFont="1" applyFill="1" applyBorder="1" applyAlignment="1">
      <alignment horizontal="center"/>
    </xf>
    <xf numFmtId="0" fontId="5" fillId="0" borderId="20" xfId="0" applyFont="1" applyFill="1" applyBorder="1"/>
    <xf numFmtId="0" fontId="5" fillId="0" borderId="34" xfId="0" applyFont="1" applyFill="1" applyBorder="1"/>
    <xf numFmtId="0" fontId="5" fillId="0" borderId="34" xfId="0" applyFont="1" applyFill="1" applyBorder="1" applyAlignment="1">
      <alignment horizontal="center"/>
    </xf>
    <xf numFmtId="0" fontId="5" fillId="0" borderId="35" xfId="0" applyFont="1" applyFill="1" applyBorder="1" applyAlignment="1">
      <alignment horizontal="center"/>
    </xf>
    <xf numFmtId="0" fontId="5" fillId="0" borderId="1" xfId="0" applyFont="1" applyFill="1" applyBorder="1" applyAlignment="1">
      <alignment horizontal="center"/>
    </xf>
    <xf numFmtId="168" fontId="5" fillId="0" borderId="0" xfId="0" applyNumberFormat="1" applyFont="1" applyFill="1" applyBorder="1"/>
    <xf numFmtId="167" fontId="7" fillId="0" borderId="0" xfId="3" applyFont="1" applyFill="1" applyBorder="1" applyAlignment="1">
      <alignment horizontal="right" vertical="center"/>
    </xf>
    <xf numFmtId="9" fontId="5" fillId="0" borderId="0" xfId="0" applyNumberFormat="1" applyFont="1" applyFill="1" applyBorder="1"/>
    <xf numFmtId="0" fontId="5" fillId="0" borderId="0" xfId="0" applyFont="1" applyFill="1" applyBorder="1"/>
    <xf numFmtId="0" fontId="5" fillId="0" borderId="14" xfId="0" applyFont="1" applyFill="1" applyBorder="1"/>
    <xf numFmtId="167" fontId="7" fillId="0" borderId="15" xfId="3" applyFont="1" applyFill="1" applyBorder="1"/>
    <xf numFmtId="167" fontId="7" fillId="0" borderId="0" xfId="3" applyFont="1" applyFill="1" applyBorder="1"/>
    <xf numFmtId="0" fontId="7" fillId="0" borderId="15" xfId="0" applyFont="1" applyFill="1" applyBorder="1"/>
    <xf numFmtId="2" fontId="7" fillId="0" borderId="7" xfId="0" applyNumberFormat="1" applyFont="1" applyFill="1" applyBorder="1"/>
    <xf numFmtId="0" fontId="5" fillId="0" borderId="5" xfId="0" applyFont="1" applyFill="1" applyBorder="1"/>
    <xf numFmtId="0" fontId="5" fillId="0" borderId="5" xfId="0" applyFont="1" applyFill="1" applyBorder="1" applyAlignment="1">
      <alignment horizontal="center"/>
    </xf>
    <xf numFmtId="0" fontId="5" fillId="0" borderId="16" xfId="0" applyFont="1" applyFill="1" applyBorder="1"/>
    <xf numFmtId="0" fontId="5" fillId="0" borderId="12" xfId="0" applyFont="1" applyFill="1" applyBorder="1"/>
    <xf numFmtId="9" fontId="5" fillId="0" borderId="4" xfId="0" applyNumberFormat="1" applyFont="1" applyFill="1" applyBorder="1" applyAlignment="1">
      <alignment horizontal="center"/>
    </xf>
    <xf numFmtId="0" fontId="5" fillId="0" borderId="4" xfId="0" applyFont="1" applyFill="1" applyBorder="1" applyAlignment="1">
      <alignment horizontal="center"/>
    </xf>
    <xf numFmtId="0" fontId="5" fillId="0" borderId="4" xfId="0" applyFont="1" applyFill="1" applyBorder="1"/>
    <xf numFmtId="167" fontId="5" fillId="0" borderId="16" xfId="3" applyFont="1" applyFill="1" applyBorder="1"/>
    <xf numFmtId="167" fontId="5" fillId="0" borderId="0" xfId="3" applyFont="1" applyFill="1" applyBorder="1"/>
    <xf numFmtId="168" fontId="5" fillId="0" borderId="16" xfId="3" applyNumberFormat="1" applyFont="1" applyFill="1" applyBorder="1"/>
    <xf numFmtId="0" fontId="5" fillId="0" borderId="17" xfId="0" applyFont="1" applyFill="1" applyBorder="1"/>
    <xf numFmtId="0" fontId="5" fillId="0" borderId="13" xfId="0" applyFont="1" applyFill="1" applyBorder="1"/>
    <xf numFmtId="9" fontId="5" fillId="0" borderId="1" xfId="0" applyNumberFormat="1" applyFont="1" applyFill="1" applyBorder="1" applyAlignment="1">
      <alignment horizontal="center"/>
    </xf>
    <xf numFmtId="0" fontId="5" fillId="0" borderId="1" xfId="0" applyFont="1" applyFill="1" applyBorder="1"/>
    <xf numFmtId="167" fontId="5" fillId="0" borderId="17" xfId="3" applyFont="1" applyFill="1" applyBorder="1"/>
    <xf numFmtId="168" fontId="5" fillId="0" borderId="17" xfId="3" applyNumberFormat="1" applyFont="1" applyFill="1" applyBorder="1"/>
    <xf numFmtId="0" fontId="5" fillId="0" borderId="18" xfId="0" applyFont="1" applyFill="1" applyBorder="1"/>
    <xf numFmtId="9" fontId="5" fillId="0" borderId="6" xfId="0" applyNumberFormat="1" applyFont="1" applyFill="1" applyBorder="1" applyAlignment="1">
      <alignment horizontal="center"/>
    </xf>
    <xf numFmtId="0" fontId="5" fillId="0" borderId="6" xfId="0" applyFont="1" applyFill="1" applyBorder="1" applyAlignment="1">
      <alignment horizontal="center"/>
    </xf>
    <xf numFmtId="0" fontId="5" fillId="0" borderId="6" xfId="0" applyFont="1" applyFill="1" applyBorder="1"/>
    <xf numFmtId="167" fontId="5" fillId="0" borderId="18" xfId="3" applyFont="1" applyFill="1" applyBorder="1"/>
    <xf numFmtId="168" fontId="5" fillId="0" borderId="18" xfId="3" applyNumberFormat="1" applyFont="1" applyFill="1" applyBorder="1"/>
    <xf numFmtId="0" fontId="7" fillId="0" borderId="19" xfId="0" applyFont="1" applyFill="1" applyBorder="1"/>
    <xf numFmtId="0" fontId="7" fillId="0" borderId="8" xfId="0" applyFont="1" applyFill="1" applyBorder="1"/>
    <xf numFmtId="0" fontId="7" fillId="0" borderId="9" xfId="0" applyFont="1" applyFill="1" applyBorder="1"/>
    <xf numFmtId="0" fontId="7" fillId="0" borderId="9" xfId="0" applyFont="1" applyFill="1" applyBorder="1" applyAlignment="1">
      <alignment horizontal="center"/>
    </xf>
    <xf numFmtId="168" fontId="7" fillId="0" borderId="19" xfId="3" applyNumberFormat="1" applyFont="1" applyFill="1" applyBorder="1"/>
    <xf numFmtId="168" fontId="7" fillId="0" borderId="0" xfId="3" applyNumberFormat="1" applyFont="1" applyFill="1" applyBorder="1"/>
    <xf numFmtId="171" fontId="7" fillId="0" borderId="0" xfId="0" applyNumberFormat="1" applyFont="1" applyFill="1" applyBorder="1" applyAlignment="1">
      <alignment horizontal="center" vertical="center"/>
    </xf>
    <xf numFmtId="9" fontId="5" fillId="4" borderId="24" xfId="10" applyFont="1" applyFill="1" applyBorder="1" applyAlignment="1">
      <alignment horizontal="right" vertical="center"/>
    </xf>
    <xf numFmtId="4" fontId="5" fillId="4" borderId="0" xfId="0" applyNumberFormat="1" applyFont="1" applyFill="1"/>
    <xf numFmtId="0" fontId="7" fillId="2" borderId="13" xfId="0" applyFont="1" applyFill="1" applyBorder="1" applyAlignment="1">
      <alignment horizontal="center" vertical="center"/>
    </xf>
    <xf numFmtId="0" fontId="7" fillId="6" borderId="13" xfId="0" applyFont="1" applyFill="1" applyBorder="1" applyAlignment="1">
      <alignment horizontal="center" vertical="center"/>
    </xf>
    <xf numFmtId="0" fontId="5" fillId="0" borderId="42" xfId="0" applyFont="1" applyBorder="1" applyAlignment="1">
      <alignment horizontal="center" vertical="center"/>
    </xf>
    <xf numFmtId="0" fontId="5" fillId="0" borderId="22" xfId="0" applyFont="1" applyBorder="1" applyAlignment="1">
      <alignment horizontal="center" vertical="center"/>
    </xf>
    <xf numFmtId="4" fontId="5" fillId="0" borderId="42" xfId="0" applyNumberFormat="1" applyFont="1" applyBorder="1" applyAlignment="1">
      <alignment horizontal="center" vertical="center"/>
    </xf>
    <xf numFmtId="2" fontId="7" fillId="5" borderId="18" xfId="0" applyNumberFormat="1" applyFont="1" applyFill="1" applyBorder="1" applyAlignment="1">
      <alignment horizontal="left"/>
    </xf>
    <xf numFmtId="0" fontId="5" fillId="5" borderId="14" xfId="0" applyFont="1" applyFill="1" applyBorder="1"/>
    <xf numFmtId="2" fontId="7" fillId="5" borderId="5" xfId="0" applyNumberFormat="1" applyFont="1" applyFill="1" applyBorder="1" applyAlignment="1">
      <alignment horizontal="center"/>
    </xf>
    <xf numFmtId="2" fontId="7" fillId="5" borderId="5" xfId="0" applyNumberFormat="1" applyFont="1" applyFill="1" applyBorder="1"/>
    <xf numFmtId="4" fontId="5" fillId="4" borderId="1" xfId="0" applyNumberFormat="1" applyFont="1" applyFill="1" applyBorder="1"/>
    <xf numFmtId="9" fontId="5" fillId="4" borderId="1" xfId="10" applyFont="1" applyFill="1" applyBorder="1" applyAlignment="1">
      <alignment horizontal="right" vertical="center"/>
    </xf>
    <xf numFmtId="164" fontId="5" fillId="6" borderId="15" xfId="5" applyFont="1" applyFill="1" applyBorder="1" applyAlignment="1">
      <alignment vertical="center"/>
    </xf>
    <xf numFmtId="0" fontId="7" fillId="2" borderId="13" xfId="0" applyFont="1" applyFill="1" applyBorder="1" applyAlignment="1">
      <alignment horizontal="justify" vertical="center"/>
    </xf>
    <xf numFmtId="0" fontId="7" fillId="6" borderId="13" xfId="0" applyFont="1" applyFill="1" applyBorder="1" applyAlignment="1">
      <alignment horizontal="justify" vertical="center"/>
    </xf>
    <xf numFmtId="0" fontId="7" fillId="10" borderId="13" xfId="0" applyFont="1" applyFill="1" applyBorder="1" applyAlignment="1">
      <alignment horizontal="justify" vertical="center"/>
    </xf>
    <xf numFmtId="0" fontId="1" fillId="0" borderId="41" xfId="0" applyFont="1" applyBorder="1" applyAlignment="1">
      <alignment horizontal="center" vertical="center"/>
    </xf>
    <xf numFmtId="0" fontId="1" fillId="0" borderId="22" xfId="0" applyFont="1" applyFill="1" applyBorder="1" applyAlignment="1">
      <alignment horizontal="center" vertical="center"/>
    </xf>
    <xf numFmtId="0" fontId="1" fillId="0" borderId="22" xfId="0" applyFont="1" applyBorder="1" applyAlignment="1">
      <alignment horizontal="center" vertical="center"/>
    </xf>
    <xf numFmtId="0" fontId="1" fillId="0" borderId="25" xfId="0" applyFont="1" applyBorder="1" applyAlignment="1">
      <alignment horizontal="center" vertical="center"/>
    </xf>
    <xf numFmtId="0" fontId="1" fillId="0" borderId="41" xfId="0" applyFont="1" applyBorder="1" applyAlignment="1">
      <alignment horizontal="justify" vertical="center"/>
    </xf>
    <xf numFmtId="0" fontId="1" fillId="0" borderId="22" xfId="0" applyFont="1" applyFill="1" applyBorder="1" applyAlignment="1">
      <alignment horizontal="justify" vertical="center"/>
    </xf>
    <xf numFmtId="0" fontId="1" fillId="0" borderId="22" xfId="0" applyFont="1" applyBorder="1" applyAlignment="1">
      <alignment horizontal="justify" vertical="center"/>
    </xf>
    <xf numFmtId="0" fontId="1" fillId="0" borderId="25" xfId="0" applyFont="1" applyBorder="1" applyAlignment="1">
      <alignment horizontal="justify" vertical="center"/>
    </xf>
    <xf numFmtId="9" fontId="1" fillId="0" borderId="4" xfId="0" applyNumberFormat="1" applyFont="1" applyFill="1" applyBorder="1" applyAlignment="1">
      <alignment horizontal="center"/>
    </xf>
    <xf numFmtId="168" fontId="1" fillId="0" borderId="22" xfId="3" applyNumberFormat="1" applyFont="1" applyBorder="1" applyAlignment="1">
      <alignment horizontal="center" vertical="center"/>
    </xf>
    <xf numFmtId="168" fontId="7" fillId="6" borderId="13" xfId="3" applyNumberFormat="1" applyFont="1" applyFill="1" applyBorder="1" applyAlignment="1">
      <alignment horizontal="center" vertical="center"/>
    </xf>
    <xf numFmtId="168" fontId="5" fillId="0" borderId="0" xfId="3" applyNumberFormat="1" applyFont="1" applyFill="1"/>
    <xf numFmtId="168" fontId="7" fillId="0" borderId="33" xfId="3" applyNumberFormat="1" applyFont="1" applyFill="1" applyBorder="1" applyAlignment="1">
      <alignment horizontal="center" vertical="center" wrapText="1"/>
    </xf>
    <xf numFmtId="168" fontId="5" fillId="0" borderId="35" xfId="3" applyNumberFormat="1" applyFont="1" applyFill="1" applyBorder="1" applyAlignment="1">
      <alignment horizontal="center"/>
    </xf>
    <xf numFmtId="168" fontId="7" fillId="10" borderId="13" xfId="3" applyNumberFormat="1" applyFont="1" applyFill="1" applyBorder="1" applyAlignment="1">
      <alignment horizontal="justify" vertical="center"/>
    </xf>
    <xf numFmtId="168" fontId="7" fillId="9" borderId="13" xfId="3" applyNumberFormat="1" applyFont="1" applyFill="1" applyBorder="1" applyAlignment="1">
      <alignment horizontal="justify" vertical="center"/>
    </xf>
    <xf numFmtId="168" fontId="7" fillId="8" borderId="15" xfId="3" applyNumberFormat="1" applyFont="1" applyFill="1" applyBorder="1"/>
    <xf numFmtId="168" fontId="7" fillId="0" borderId="15" xfId="3" applyNumberFormat="1" applyFont="1" applyFill="1" applyBorder="1"/>
    <xf numFmtId="168" fontId="0" fillId="0" borderId="0" xfId="3" applyNumberFormat="1" applyFont="1" applyFill="1"/>
    <xf numFmtId="168" fontId="7" fillId="2" borderId="13" xfId="3" applyNumberFormat="1" applyFont="1" applyFill="1" applyBorder="1" applyAlignment="1">
      <alignment horizontal="center" vertical="center"/>
    </xf>
    <xf numFmtId="0" fontId="1" fillId="0" borderId="0" xfId="0" applyFont="1" applyFill="1"/>
    <xf numFmtId="172" fontId="0" fillId="0" borderId="0" xfId="13" applyNumberFormat="1" applyFont="1" applyFill="1"/>
    <xf numFmtId="172" fontId="0" fillId="0" borderId="0" xfId="0" applyNumberFormat="1" applyFill="1"/>
    <xf numFmtId="0" fontId="0" fillId="0" borderId="0" xfId="13" applyNumberFormat="1" applyFont="1" applyFill="1"/>
    <xf numFmtId="9" fontId="0" fillId="0" borderId="0" xfId="10" applyFont="1" applyFill="1"/>
    <xf numFmtId="171" fontId="0" fillId="0" borderId="0" xfId="0" applyNumberFormat="1" applyFill="1"/>
    <xf numFmtId="9" fontId="1" fillId="0" borderId="0" xfId="0" applyNumberFormat="1" applyFont="1" applyFill="1" applyBorder="1"/>
    <xf numFmtId="168" fontId="1" fillId="0" borderId="41" xfId="3" applyNumberFormat="1" applyFont="1" applyBorder="1" applyAlignment="1">
      <alignment horizontal="center" vertical="center"/>
    </xf>
    <xf numFmtId="168" fontId="1" fillId="0" borderId="41" xfId="3" applyNumberFormat="1" applyFont="1" applyBorder="1" applyAlignment="1">
      <alignment horizontal="justify" vertical="center"/>
    </xf>
    <xf numFmtId="4" fontId="1" fillId="0" borderId="0" xfId="0" applyNumberFormat="1" applyFont="1" applyFill="1" applyBorder="1" applyAlignment="1">
      <alignment horizontal="right" vertical="center"/>
    </xf>
    <xf numFmtId="170" fontId="1" fillId="0" borderId="0" xfId="0" applyNumberFormat="1" applyFont="1" applyFill="1"/>
    <xf numFmtId="172" fontId="1" fillId="0" borderId="0" xfId="13" applyNumberFormat="1" applyFont="1" applyFill="1"/>
    <xf numFmtId="4" fontId="1" fillId="0" borderId="0" xfId="0" applyNumberFormat="1" applyFont="1" applyFill="1"/>
    <xf numFmtId="172" fontId="1" fillId="0" borderId="0" xfId="0" applyNumberFormat="1" applyFont="1" applyFill="1"/>
    <xf numFmtId="168" fontId="1" fillId="0" borderId="22" xfId="3" applyNumberFormat="1" applyFont="1" applyBorder="1" applyAlignment="1">
      <alignment horizontal="justify" vertical="center"/>
    </xf>
    <xf numFmtId="168" fontId="1" fillId="0" borderId="22" xfId="3" applyNumberFormat="1" applyFont="1" applyFill="1" applyBorder="1" applyAlignment="1">
      <alignment horizontal="center" vertical="center"/>
    </xf>
    <xf numFmtId="168" fontId="1" fillId="0" borderId="22" xfId="3" applyNumberFormat="1" applyFont="1" applyFill="1" applyBorder="1" applyAlignment="1">
      <alignment horizontal="justify" vertical="center"/>
    </xf>
    <xf numFmtId="172" fontId="1" fillId="11" borderId="0" xfId="13" applyNumberFormat="1" applyFont="1" applyFill="1"/>
    <xf numFmtId="168" fontId="1" fillId="0" borderId="0" xfId="0" applyNumberFormat="1" applyFont="1" applyFill="1" applyBorder="1"/>
    <xf numFmtId="168" fontId="1" fillId="0" borderId="25" xfId="3" applyNumberFormat="1" applyFont="1" applyFill="1" applyBorder="1" applyAlignment="1">
      <alignment horizontal="center" vertical="center"/>
    </xf>
    <xf numFmtId="168" fontId="1" fillId="0" borderId="25" xfId="3" applyNumberFormat="1" applyFont="1" applyFill="1" applyBorder="1" applyAlignment="1">
      <alignment horizontal="justify" vertical="center"/>
    </xf>
    <xf numFmtId="0" fontId="1" fillId="0" borderId="25" xfId="0" applyFont="1" applyFill="1" applyBorder="1" applyAlignment="1">
      <alignment horizontal="justify" vertical="center"/>
    </xf>
    <xf numFmtId="1" fontId="1" fillId="0" borderId="0" xfId="0" applyNumberFormat="1" applyFont="1" applyFill="1" applyBorder="1"/>
    <xf numFmtId="6" fontId="1" fillId="0" borderId="0" xfId="0" applyNumberFormat="1" applyFont="1" applyBorder="1" applyAlignment="1">
      <alignment vertical="center" wrapText="1"/>
    </xf>
    <xf numFmtId="6" fontId="1" fillId="0" borderId="0" xfId="0" applyNumberFormat="1" applyFont="1" applyBorder="1" applyAlignment="1">
      <alignment horizontal="right" vertical="center" wrapText="1"/>
    </xf>
    <xf numFmtId="0" fontId="3" fillId="0" borderId="0" xfId="0" applyFont="1" applyFill="1" applyAlignment="1">
      <alignment vertical="center"/>
    </xf>
    <xf numFmtId="0" fontId="5" fillId="0" borderId="0" xfId="0" applyFont="1" applyFill="1" applyAlignment="1">
      <alignment vertical="center"/>
    </xf>
    <xf numFmtId="0" fontId="7" fillId="0" borderId="5" xfId="0" applyFont="1" applyFill="1" applyBorder="1" applyAlignment="1">
      <alignment horizontal="center" vertical="center" wrapText="1"/>
    </xf>
    <xf numFmtId="168" fontId="7" fillId="0" borderId="21" xfId="3" applyNumberFormat="1"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0" xfId="0" applyFont="1" applyFill="1" applyBorder="1" applyAlignment="1">
      <alignment horizontal="center" vertical="center" wrapText="1"/>
    </xf>
    <xf numFmtId="170" fontId="5" fillId="0" borderId="0" xfId="0" applyNumberFormat="1" applyFont="1" applyFill="1" applyAlignment="1">
      <alignment vertical="center"/>
    </xf>
    <xf numFmtId="0" fontId="5" fillId="0" borderId="0" xfId="6" applyFont="1" applyFill="1" applyAlignment="1">
      <alignment vertical="center"/>
    </xf>
    <xf numFmtId="0" fontId="0" fillId="0" borderId="0" xfId="0" applyFill="1" applyAlignment="1">
      <alignment vertical="center"/>
    </xf>
    <xf numFmtId="0" fontId="5" fillId="0" borderId="0" xfId="0" applyFont="1" applyFill="1" applyBorder="1" applyAlignment="1">
      <alignment horizontal="center" vertical="center"/>
    </xf>
    <xf numFmtId="0" fontId="7" fillId="0" borderId="7" xfId="0" applyFont="1" applyFill="1" applyBorder="1" applyAlignment="1">
      <alignment horizontal="center" vertical="center" wrapText="1"/>
    </xf>
    <xf numFmtId="0" fontId="7" fillId="0" borderId="28" xfId="0" applyFont="1" applyFill="1" applyBorder="1" applyAlignment="1">
      <alignment horizontal="center" vertical="center" wrapText="1"/>
    </xf>
    <xf numFmtId="171" fontId="7" fillId="9" borderId="19" xfId="0" applyNumberFormat="1" applyFont="1" applyFill="1" applyBorder="1" applyAlignment="1">
      <alignment horizontal="center" vertical="center"/>
    </xf>
    <xf numFmtId="171" fontId="7" fillId="9" borderId="29" xfId="0" applyNumberFormat="1" applyFont="1" applyFill="1" applyBorder="1" applyAlignment="1">
      <alignment horizontal="center" vertical="center"/>
    </xf>
    <xf numFmtId="0" fontId="5" fillId="0" borderId="0" xfId="6" applyFont="1" applyFill="1" applyBorder="1" applyAlignment="1">
      <alignment horizontal="left" vertical="center" wrapText="1"/>
    </xf>
    <xf numFmtId="168" fontId="5" fillId="0" borderId="0" xfId="5" applyNumberFormat="1" applyFont="1" applyFill="1" applyBorder="1" applyAlignment="1">
      <alignment horizontal="center" vertical="center"/>
    </xf>
    <xf numFmtId="0" fontId="7" fillId="0" borderId="36" xfId="0" applyFont="1" applyFill="1" applyBorder="1" applyAlignment="1">
      <alignment horizontal="left" vertical="center"/>
    </xf>
    <xf numFmtId="0" fontId="7" fillId="0" borderId="37" xfId="0" applyFont="1" applyFill="1" applyBorder="1" applyAlignment="1">
      <alignment horizontal="left" vertical="center"/>
    </xf>
    <xf numFmtId="0" fontId="7" fillId="0" borderId="30" xfId="0" applyFont="1" applyFill="1" applyBorder="1" applyAlignment="1">
      <alignment horizontal="left" vertical="center"/>
    </xf>
    <xf numFmtId="0" fontId="7" fillId="0" borderId="38" xfId="0" applyFont="1" applyFill="1" applyBorder="1" applyAlignment="1">
      <alignment horizontal="left" vertical="center"/>
    </xf>
    <xf numFmtId="168" fontId="7" fillId="8" borderId="19" xfId="3" applyNumberFormat="1" applyFont="1" applyFill="1" applyBorder="1" applyAlignment="1">
      <alignment horizontal="center" vertical="center"/>
    </xf>
    <xf numFmtId="168" fontId="7" fillId="8" borderId="29" xfId="3" applyNumberFormat="1" applyFont="1" applyFill="1" applyBorder="1" applyAlignment="1">
      <alignment horizontal="center" vertical="center"/>
    </xf>
    <xf numFmtId="171" fontId="7" fillId="8" borderId="19" xfId="0" applyNumberFormat="1" applyFont="1" applyFill="1" applyBorder="1" applyAlignment="1">
      <alignment horizontal="center" vertical="center"/>
    </xf>
    <xf numFmtId="171" fontId="7" fillId="8" borderId="29" xfId="0" applyNumberFormat="1" applyFont="1" applyFill="1" applyBorder="1" applyAlignment="1">
      <alignment horizontal="center" vertical="center"/>
    </xf>
    <xf numFmtId="4" fontId="7" fillId="0" borderId="19" xfId="6" applyNumberFormat="1" applyFont="1" applyFill="1" applyBorder="1" applyAlignment="1">
      <alignment horizontal="center" vertical="center"/>
    </xf>
    <xf numFmtId="4" fontId="7" fillId="0" borderId="29" xfId="6" applyNumberFormat="1" applyFont="1" applyFill="1" applyBorder="1" applyAlignment="1">
      <alignment horizontal="center" vertical="center"/>
    </xf>
    <xf numFmtId="0" fontId="5" fillId="0" borderId="23" xfId="0" applyFont="1" applyFill="1" applyBorder="1" applyAlignment="1">
      <alignment horizontal="center" vertical="center"/>
    </xf>
    <xf numFmtId="0" fontId="5" fillId="0" borderId="31" xfId="0" applyFont="1" applyFill="1" applyBorder="1" applyAlignment="1">
      <alignment horizontal="center" vertical="center"/>
    </xf>
    <xf numFmtId="0" fontId="5" fillId="0" borderId="39" xfId="0" applyFont="1" applyFill="1" applyBorder="1" applyAlignment="1">
      <alignment horizontal="center" vertical="center"/>
    </xf>
    <xf numFmtId="0" fontId="7" fillId="6" borderId="7" xfId="6" applyFont="1" applyFill="1" applyBorder="1" applyAlignment="1">
      <alignment horizontal="center" vertical="center" wrapText="1"/>
    </xf>
    <xf numFmtId="0" fontId="7" fillId="6" borderId="21" xfId="6"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5" fillId="0" borderId="37" xfId="0" applyFont="1" applyFill="1" applyBorder="1" applyAlignment="1">
      <alignment horizontal="center" vertical="center"/>
    </xf>
    <xf numFmtId="0" fontId="5" fillId="0" borderId="11" xfId="0" applyFont="1" applyFill="1" applyBorder="1" applyAlignment="1">
      <alignment horizontal="center" vertical="center"/>
    </xf>
    <xf numFmtId="0" fontId="3" fillId="0" borderId="0" xfId="0" applyFont="1" applyFill="1" applyAlignment="1">
      <alignment horizontal="center"/>
    </xf>
    <xf numFmtId="0" fontId="7" fillId="0" borderId="23" xfId="0" applyFont="1" applyFill="1" applyBorder="1" applyAlignment="1">
      <alignment horizontal="center" wrapText="1"/>
    </xf>
    <xf numFmtId="0" fontId="7" fillId="0" borderId="31" xfId="0" applyFont="1" applyFill="1" applyBorder="1" applyAlignment="1">
      <alignment horizontal="center"/>
    </xf>
    <xf numFmtId="0" fontId="7" fillId="0" borderId="33" xfId="0" applyFont="1" applyFill="1" applyBorder="1" applyAlignment="1">
      <alignment horizontal="center"/>
    </xf>
    <xf numFmtId="0" fontId="8" fillId="0" borderId="23" xfId="0" applyFont="1" applyFill="1" applyBorder="1" applyAlignment="1">
      <alignment horizontal="left" vertical="top" wrapText="1"/>
    </xf>
    <xf numFmtId="0" fontId="8" fillId="0" borderId="31" xfId="0" applyFont="1" applyFill="1" applyBorder="1" applyAlignment="1">
      <alignment horizontal="left" vertical="top" wrapText="1"/>
    </xf>
    <xf numFmtId="0" fontId="8" fillId="0" borderId="33" xfId="0" applyFont="1" applyFill="1" applyBorder="1" applyAlignment="1">
      <alignment horizontal="left" vertical="top" wrapText="1"/>
    </xf>
    <xf numFmtId="0" fontId="7" fillId="0" borderId="3" xfId="0" applyFont="1" applyFill="1" applyBorder="1" applyAlignment="1">
      <alignment horizontal="center" vertical="center"/>
    </xf>
    <xf numFmtId="0" fontId="7" fillId="0" borderId="34" xfId="0" applyFont="1" applyFill="1" applyBorder="1" applyAlignment="1">
      <alignment horizontal="center" vertical="center"/>
    </xf>
    <xf numFmtId="0" fontId="10" fillId="7" borderId="23" xfId="0" applyFont="1" applyFill="1" applyBorder="1" applyAlignment="1">
      <alignment horizontal="center" vertical="center" wrapText="1"/>
    </xf>
    <xf numFmtId="0" fontId="10" fillId="7" borderId="31" xfId="0" applyFont="1" applyFill="1" applyBorder="1" applyAlignment="1">
      <alignment horizontal="center" vertical="center" wrapText="1"/>
    </xf>
    <xf numFmtId="0" fontId="10" fillId="7" borderId="33" xfId="0" applyFont="1" applyFill="1" applyBorder="1" applyAlignment="1">
      <alignment horizontal="center" vertical="center" wrapText="1"/>
    </xf>
    <xf numFmtId="0" fontId="9" fillId="3" borderId="36" xfId="0" applyFont="1" applyFill="1" applyBorder="1" applyAlignment="1">
      <alignment horizontal="center" vertical="center"/>
    </xf>
    <xf numFmtId="0" fontId="9" fillId="3" borderId="37" xfId="0" applyFont="1" applyFill="1" applyBorder="1" applyAlignment="1">
      <alignment horizontal="center" vertical="center"/>
    </xf>
    <xf numFmtId="0" fontId="9" fillId="3" borderId="40" xfId="0" applyFont="1" applyFill="1" applyBorder="1" applyAlignment="1">
      <alignment horizontal="center" vertical="center"/>
    </xf>
    <xf numFmtId="0" fontId="9" fillId="3" borderId="36" xfId="0" applyFont="1" applyFill="1" applyBorder="1" applyAlignment="1">
      <alignment horizontal="center"/>
    </xf>
    <xf numFmtId="0" fontId="9" fillId="3" borderId="37" xfId="0" applyFont="1" applyFill="1" applyBorder="1" applyAlignment="1">
      <alignment horizontal="center"/>
    </xf>
    <xf numFmtId="0" fontId="9" fillId="3" borderId="40" xfId="0" applyFont="1" applyFill="1" applyBorder="1" applyAlignment="1">
      <alignment horizontal="center"/>
    </xf>
  </cellXfs>
  <cellStyles count="15">
    <cellStyle name="Millares 2" xfId="1"/>
    <cellStyle name="Millares 3" xfId="2"/>
    <cellStyle name="Millares 4" xfId="13"/>
    <cellStyle name="Moneda" xfId="3" builtinId="4"/>
    <cellStyle name="Moneda 2" xfId="4"/>
    <cellStyle name="Moneda 3" xfId="12"/>
    <cellStyle name="Moneda 4" xfId="5"/>
    <cellStyle name="Normal" xfId="0" builtinId="0"/>
    <cellStyle name="Normal 2" xfId="6"/>
    <cellStyle name="Normal 2 2" xfId="14"/>
    <cellStyle name="Normal 3" xfId="7"/>
    <cellStyle name="Normal 4" xfId="8"/>
    <cellStyle name="Normal 5" xfId="11"/>
    <cellStyle name="Normal 8 2" xfId="9"/>
    <cellStyle name="Porcentaje" xfId="10" builtinId="5"/>
  </cellStyles>
  <dxfs count="0"/>
  <tableStyles count="0" defaultTableStyle="TableStyleMedium2" defaultPivotStyle="PivotStyleLight16"/>
  <colors>
    <mruColors>
      <color rgb="FF00FFCC"/>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1562100</xdr:colOff>
      <xdr:row>1</xdr:row>
      <xdr:rowOff>0</xdr:rowOff>
    </xdr:from>
    <xdr:to>
      <xdr:col>2</xdr:col>
      <xdr:colOff>1562100</xdr:colOff>
      <xdr:row>1</xdr:row>
      <xdr:rowOff>0</xdr:rowOff>
    </xdr:to>
    <xdr:sp macro="" textlink="">
      <xdr:nvSpPr>
        <xdr:cNvPr id="107766" name="Line 5"/>
        <xdr:cNvSpPr>
          <a:spLocks noChangeShapeType="1"/>
        </xdr:cNvSpPr>
      </xdr:nvSpPr>
      <xdr:spPr bwMode="auto">
        <a:xfrm>
          <a:off x="3124200" y="200025"/>
          <a:ext cx="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58</xdr:row>
      <xdr:rowOff>0</xdr:rowOff>
    </xdr:from>
    <xdr:to>
      <xdr:col>5</xdr:col>
      <xdr:colOff>0</xdr:colOff>
      <xdr:row>59</xdr:row>
      <xdr:rowOff>0</xdr:rowOff>
    </xdr:to>
    <xdr:sp macro="" textlink="">
      <xdr:nvSpPr>
        <xdr:cNvPr id="107767" name="Rectangle 1"/>
        <xdr:cNvSpPr>
          <a:spLocks noChangeArrowheads="1"/>
        </xdr:cNvSpPr>
      </xdr:nvSpPr>
      <xdr:spPr bwMode="auto">
        <a:xfrm>
          <a:off x="114300" y="130949700"/>
          <a:ext cx="5686425" cy="2000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xdr:spPr>
    </xdr:sp>
    <xdr:clientData/>
  </xdr:twoCellAnchor>
  <xdr:twoCellAnchor>
    <xdr:from>
      <xdr:col>6</xdr:col>
      <xdr:colOff>0</xdr:colOff>
      <xdr:row>58</xdr:row>
      <xdr:rowOff>0</xdr:rowOff>
    </xdr:from>
    <xdr:to>
      <xdr:col>11</xdr:col>
      <xdr:colOff>0</xdr:colOff>
      <xdr:row>59</xdr:row>
      <xdr:rowOff>0</xdr:rowOff>
    </xdr:to>
    <xdr:sp macro="" textlink="">
      <xdr:nvSpPr>
        <xdr:cNvPr id="107768" name="Rectangle 1"/>
        <xdr:cNvSpPr>
          <a:spLocks noChangeArrowheads="1"/>
        </xdr:cNvSpPr>
      </xdr:nvSpPr>
      <xdr:spPr bwMode="auto">
        <a:xfrm>
          <a:off x="5972175" y="130949700"/>
          <a:ext cx="5638800" cy="2000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xdr:spPr>
    </xdr:sp>
    <xdr:clientData/>
  </xdr:twoCellAnchor>
  <xdr:twoCellAnchor>
    <xdr:from>
      <xdr:col>13</xdr:col>
      <xdr:colOff>0</xdr:colOff>
      <xdr:row>58</xdr:row>
      <xdr:rowOff>0</xdr:rowOff>
    </xdr:from>
    <xdr:to>
      <xdr:col>18</xdr:col>
      <xdr:colOff>0</xdr:colOff>
      <xdr:row>59</xdr:row>
      <xdr:rowOff>0</xdr:rowOff>
    </xdr:to>
    <xdr:sp macro="" textlink="">
      <xdr:nvSpPr>
        <xdr:cNvPr id="107769" name="Rectangle 1"/>
        <xdr:cNvSpPr>
          <a:spLocks noChangeArrowheads="1"/>
        </xdr:cNvSpPr>
      </xdr:nvSpPr>
      <xdr:spPr bwMode="auto">
        <a:xfrm>
          <a:off x="13211175" y="130949700"/>
          <a:ext cx="5524500" cy="2000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xdr:spPr>
    </xdr:sp>
    <xdr:clientData/>
  </xdr:twoCellAnchor>
  <xdr:twoCellAnchor>
    <xdr:from>
      <xdr:col>20</xdr:col>
      <xdr:colOff>0</xdr:colOff>
      <xdr:row>58</xdr:row>
      <xdr:rowOff>0</xdr:rowOff>
    </xdr:from>
    <xdr:to>
      <xdr:col>25</xdr:col>
      <xdr:colOff>0</xdr:colOff>
      <xdr:row>59</xdr:row>
      <xdr:rowOff>0</xdr:rowOff>
    </xdr:to>
    <xdr:sp macro="" textlink="">
      <xdr:nvSpPr>
        <xdr:cNvPr id="107770" name="Rectangle 1"/>
        <xdr:cNvSpPr>
          <a:spLocks noChangeArrowheads="1"/>
        </xdr:cNvSpPr>
      </xdr:nvSpPr>
      <xdr:spPr bwMode="auto">
        <a:xfrm>
          <a:off x="20412075" y="130949700"/>
          <a:ext cx="6219825" cy="2000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xdr:spPr>
    </xdr:sp>
    <xdr:clientData/>
  </xdr:twoCellAnchor>
  <xdr:twoCellAnchor>
    <xdr:from>
      <xdr:col>0</xdr:col>
      <xdr:colOff>95250</xdr:colOff>
      <xdr:row>2</xdr:row>
      <xdr:rowOff>66675</xdr:rowOff>
    </xdr:from>
    <xdr:to>
      <xdr:col>1</xdr:col>
      <xdr:colOff>671512</xdr:colOff>
      <xdr:row>2</xdr:row>
      <xdr:rowOff>588169</xdr:rowOff>
    </xdr:to>
    <xdr:pic>
      <xdr:nvPicPr>
        <xdr:cNvPr id="107771"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561975"/>
          <a:ext cx="690562" cy="5214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AY75"/>
  <sheetViews>
    <sheetView tabSelected="1" topLeftCell="B1" zoomScale="90" zoomScaleNormal="90" workbookViewId="0">
      <pane ySplit="1" topLeftCell="A2" activePane="bottomLeft" state="frozen"/>
      <selection pane="bottomLeft" activeCell="D12" sqref="D12"/>
    </sheetView>
  </sheetViews>
  <sheetFormatPr baseColWidth="10" defaultRowHeight="12.75" outlineLevelCol="1" x14ac:dyDescent="0.2"/>
  <cols>
    <col min="1" max="1" width="1.7109375" style="3" customWidth="1"/>
    <col min="2" max="2" width="10.140625" style="3" customWidth="1"/>
    <col min="3" max="3" width="57" style="3" customWidth="1"/>
    <col min="4" max="4" width="10.5703125" style="3" customWidth="1"/>
    <col min="5" max="5" width="13.28515625" style="30" customWidth="1"/>
    <col min="6" max="6" width="2.5703125" style="3" hidden="1" customWidth="1"/>
    <col min="7" max="7" width="11.42578125" style="3" hidden="1" customWidth="1"/>
    <col min="8" max="8" width="43.42578125" style="3" hidden="1" customWidth="1"/>
    <col min="9" max="10" width="11.42578125" style="3" hidden="1" customWidth="1"/>
    <col min="11" max="11" width="13.28515625" style="3" hidden="1" customWidth="1"/>
    <col min="12" max="12" width="21.5703125" style="132" hidden="1" customWidth="1"/>
    <col min="13" max="13" width="2.42578125" style="3" hidden="1" customWidth="1"/>
    <col min="14" max="14" width="11.42578125" style="3" hidden="1" customWidth="1"/>
    <col min="15" max="15" width="36.7109375" style="3" hidden="1" customWidth="1"/>
    <col min="16" max="17" width="11.42578125" style="3" hidden="1" customWidth="1"/>
    <col min="18" max="18" width="15.28515625" style="3" hidden="1" customWidth="1"/>
    <col min="19" max="19" width="22.7109375" style="3" hidden="1" customWidth="1"/>
    <col min="20" max="20" width="2.42578125" style="3" hidden="1" customWidth="1"/>
    <col min="21" max="21" width="11.85546875" style="3" hidden="1" customWidth="1"/>
    <col min="22" max="22" width="43" style="3" hidden="1" customWidth="1"/>
    <col min="23" max="23" width="13.5703125" style="3" hidden="1" customWidth="1"/>
    <col min="24" max="24" width="14.28515625" style="3" hidden="1" customWidth="1"/>
    <col min="25" max="25" width="15.28515625" style="3" hidden="1" customWidth="1"/>
    <col min="26" max="26" width="22.42578125" style="3" hidden="1" customWidth="1"/>
    <col min="27" max="27" width="3.85546875" style="25" hidden="1" customWidth="1"/>
    <col min="28" max="28" width="15.28515625" style="3" hidden="1" customWidth="1" outlineLevel="1"/>
    <col min="29" max="29" width="2.7109375" style="3" hidden="1" customWidth="1" outlineLevel="1"/>
    <col min="30" max="30" width="16" style="3" hidden="1" customWidth="1" outlineLevel="1"/>
    <col min="31" max="31" width="4" style="3" hidden="1" customWidth="1" outlineLevel="1"/>
    <col min="32" max="32" width="10.85546875" style="3" hidden="1" customWidth="1" outlineLevel="1"/>
    <col min="33" max="33" width="3.140625" style="3" hidden="1" customWidth="1" outlineLevel="1"/>
    <col min="34" max="34" width="15.85546875" style="3" hidden="1" customWidth="1" outlineLevel="1"/>
    <col min="35" max="35" width="8.5703125" style="3" hidden="1" customWidth="1" outlineLevel="1"/>
    <col min="36" max="36" width="24.5703125" style="3" customWidth="1" collapsed="1"/>
    <col min="37" max="37" width="22.140625" style="3" customWidth="1"/>
    <col min="38" max="38" width="4.28515625" style="3" customWidth="1"/>
    <col min="39" max="39" width="3.5703125" style="3" customWidth="1"/>
    <col min="40" max="40" width="22.85546875" style="3" hidden="1" customWidth="1"/>
    <col min="41" max="41" width="19.7109375" style="3" hidden="1" customWidth="1"/>
    <col min="42" max="42" width="11.42578125" style="3" hidden="1" customWidth="1"/>
    <col min="43" max="43" width="16.85546875" style="3" hidden="1" customWidth="1"/>
    <col min="44" max="44" width="13.7109375" style="3" hidden="1" customWidth="1"/>
    <col min="45" max="45" width="20.42578125" style="3" hidden="1" customWidth="1"/>
    <col min="46" max="46" width="11.42578125" style="3" hidden="1" customWidth="1"/>
    <col min="47" max="48" width="11.42578125" style="3"/>
    <col min="49" max="49" width="19.7109375" style="3" hidden="1" customWidth="1"/>
    <col min="50" max="51" width="0" style="3" hidden="1" customWidth="1"/>
    <col min="52" max="16384" width="11.42578125" style="3"/>
  </cols>
  <sheetData>
    <row r="1" spans="1:51" s="194" customFormat="1" ht="15.75" thickBot="1" x14ac:dyDescent="0.25"/>
    <row r="2" spans="1:51" ht="23.25" customHeight="1" thickBot="1" x14ac:dyDescent="0.25">
      <c r="A2" s="4"/>
      <c r="B2" s="195" t="s">
        <v>28</v>
      </c>
      <c r="C2" s="196"/>
      <c r="D2" s="196"/>
      <c r="E2" s="197"/>
      <c r="F2" s="33"/>
      <c r="G2" s="33"/>
      <c r="H2" s="33"/>
      <c r="I2" s="33"/>
      <c r="J2" s="33"/>
      <c r="K2" s="33"/>
      <c r="L2" s="125"/>
      <c r="M2" s="33"/>
      <c r="N2" s="33"/>
      <c r="O2" s="33"/>
      <c r="P2" s="33"/>
      <c r="Q2" s="33"/>
      <c r="R2" s="33"/>
      <c r="S2" s="33"/>
      <c r="T2" s="33"/>
      <c r="U2" s="33"/>
      <c r="V2" s="33"/>
      <c r="W2" s="33"/>
      <c r="X2" s="33"/>
      <c r="Y2" s="33"/>
      <c r="Z2" s="33"/>
      <c r="AA2" s="34"/>
      <c r="AB2" s="33"/>
      <c r="AC2" s="33"/>
      <c r="AD2" s="33"/>
      <c r="AE2" s="33"/>
      <c r="AF2" s="33"/>
      <c r="AG2" s="33"/>
      <c r="AH2" s="33"/>
      <c r="AI2" s="33"/>
      <c r="AJ2" s="33"/>
      <c r="AK2" s="33"/>
    </row>
    <row r="3" spans="1:51" ht="53.25" customHeight="1" thickBot="1" x14ac:dyDescent="0.25">
      <c r="A3" s="4"/>
      <c r="B3" s="35"/>
      <c r="C3" s="198" t="s">
        <v>76</v>
      </c>
      <c r="D3" s="199"/>
      <c r="E3" s="200"/>
      <c r="F3" s="33"/>
      <c r="G3" s="33"/>
      <c r="H3" s="33"/>
      <c r="I3" s="33"/>
      <c r="J3" s="33"/>
      <c r="K3" s="33"/>
      <c r="L3" s="125"/>
      <c r="M3" s="33"/>
      <c r="N3" s="33"/>
      <c r="O3" s="33"/>
      <c r="P3" s="33"/>
      <c r="Q3" s="33"/>
      <c r="R3" s="33"/>
      <c r="S3" s="33"/>
      <c r="T3" s="33"/>
      <c r="U3" s="33"/>
      <c r="V3" s="33"/>
      <c r="W3" s="33"/>
      <c r="X3" s="33"/>
      <c r="Y3" s="33"/>
      <c r="Z3" s="33"/>
      <c r="AA3" s="34"/>
      <c r="AB3" s="33"/>
      <c r="AC3" s="33"/>
      <c r="AD3" s="33"/>
      <c r="AE3" s="33"/>
      <c r="AF3" s="33"/>
      <c r="AG3" s="33"/>
      <c r="AH3" s="33"/>
      <c r="AI3" s="33"/>
      <c r="AJ3" s="33"/>
      <c r="AK3" s="33"/>
    </row>
    <row r="4" spans="1:51" ht="17.25" customHeight="1" x14ac:dyDescent="0.2">
      <c r="A4" s="4"/>
      <c r="B4" s="201"/>
      <c r="C4" s="202"/>
      <c r="D4" s="202"/>
      <c r="E4" s="202"/>
      <c r="F4" s="33"/>
      <c r="G4" s="33"/>
      <c r="H4" s="33"/>
      <c r="I4" s="33"/>
      <c r="J4" s="33"/>
      <c r="K4" s="33"/>
      <c r="L4" s="125"/>
      <c r="M4" s="33"/>
      <c r="N4" s="33"/>
      <c r="O4" s="33"/>
      <c r="P4" s="33"/>
      <c r="Q4" s="33"/>
      <c r="R4" s="33"/>
      <c r="S4" s="33"/>
      <c r="T4" s="33"/>
      <c r="U4" s="33"/>
      <c r="V4" s="33"/>
      <c r="W4" s="33"/>
      <c r="X4" s="33"/>
      <c r="Y4" s="33"/>
      <c r="Z4" s="33"/>
      <c r="AA4" s="34"/>
      <c r="AB4" s="33"/>
      <c r="AC4" s="33"/>
      <c r="AD4" s="33"/>
      <c r="AE4" s="33"/>
      <c r="AF4" s="33"/>
      <c r="AG4" s="33"/>
      <c r="AH4" s="33"/>
      <c r="AI4" s="33"/>
      <c r="AJ4" s="33"/>
      <c r="AK4" s="33"/>
    </row>
    <row r="5" spans="1:51" ht="16.5" customHeight="1" thickBot="1" x14ac:dyDescent="0.25">
      <c r="A5" s="4"/>
      <c r="B5" s="36"/>
      <c r="C5" s="36"/>
      <c r="D5" s="37"/>
      <c r="E5" s="37"/>
      <c r="F5" s="33"/>
      <c r="G5" s="33"/>
      <c r="H5" s="33"/>
      <c r="I5" s="33"/>
      <c r="J5" s="33"/>
      <c r="K5" s="33"/>
      <c r="L5" s="125"/>
      <c r="M5" s="33"/>
      <c r="N5" s="33"/>
      <c r="O5" s="33"/>
      <c r="P5" s="33"/>
      <c r="Q5" s="33"/>
      <c r="R5" s="33"/>
      <c r="S5" s="33"/>
      <c r="T5" s="33"/>
      <c r="U5" s="33"/>
      <c r="V5" s="33"/>
      <c r="W5" s="33"/>
      <c r="X5" s="33"/>
      <c r="Y5" s="33"/>
      <c r="Z5" s="33"/>
      <c r="AA5" s="34"/>
      <c r="AB5" s="33"/>
      <c r="AC5" s="33"/>
      <c r="AD5" s="33"/>
      <c r="AE5" s="33"/>
      <c r="AF5" s="33"/>
      <c r="AG5" s="33"/>
      <c r="AH5" s="33"/>
      <c r="AI5" s="33"/>
      <c r="AJ5" s="33"/>
      <c r="AK5" s="33"/>
    </row>
    <row r="6" spans="1:51" ht="34.5" customHeight="1" thickBot="1" x14ac:dyDescent="0.25">
      <c r="A6" s="4"/>
      <c r="B6" s="203" t="s">
        <v>62</v>
      </c>
      <c r="C6" s="204"/>
      <c r="D6" s="204"/>
      <c r="E6" s="205"/>
      <c r="F6" s="33"/>
      <c r="G6" s="206" t="s">
        <v>18</v>
      </c>
      <c r="H6" s="207"/>
      <c r="I6" s="207"/>
      <c r="J6" s="207"/>
      <c r="K6" s="207"/>
      <c r="L6" s="208"/>
      <c r="M6" s="33"/>
      <c r="N6" s="209" t="s">
        <v>19</v>
      </c>
      <c r="O6" s="210"/>
      <c r="P6" s="210"/>
      <c r="Q6" s="210"/>
      <c r="R6" s="210"/>
      <c r="S6" s="211"/>
      <c r="T6" s="40"/>
      <c r="U6" s="209" t="s">
        <v>26</v>
      </c>
      <c r="V6" s="210"/>
      <c r="W6" s="210"/>
      <c r="X6" s="210"/>
      <c r="Y6" s="210"/>
      <c r="Z6" s="211"/>
      <c r="AA6" s="34"/>
      <c r="AB6" s="33"/>
      <c r="AC6" s="33"/>
      <c r="AD6" s="33"/>
      <c r="AE6" s="33"/>
      <c r="AF6" s="33"/>
      <c r="AG6" s="33"/>
      <c r="AH6" s="33"/>
      <c r="AI6" s="33"/>
      <c r="AJ6" s="33"/>
      <c r="AK6" s="33"/>
    </row>
    <row r="7" spans="1:51" s="167" customFormat="1" ht="24" customHeight="1" thickBot="1" x14ac:dyDescent="0.25">
      <c r="A7" s="159"/>
      <c r="B7" s="41" t="s">
        <v>0</v>
      </c>
      <c r="C7" s="41" t="s">
        <v>1</v>
      </c>
      <c r="D7" s="41" t="s">
        <v>2</v>
      </c>
      <c r="E7" s="41" t="s">
        <v>3</v>
      </c>
      <c r="F7" s="160"/>
      <c r="G7" s="185"/>
      <c r="H7" s="186"/>
      <c r="I7" s="186"/>
      <c r="J7" s="187"/>
      <c r="K7" s="161" t="s">
        <v>16</v>
      </c>
      <c r="L7" s="162" t="s">
        <v>17</v>
      </c>
      <c r="M7" s="160"/>
      <c r="N7" s="185"/>
      <c r="O7" s="186"/>
      <c r="P7" s="186"/>
      <c r="Q7" s="187"/>
      <c r="R7" s="161" t="s">
        <v>16</v>
      </c>
      <c r="S7" s="163" t="s">
        <v>17</v>
      </c>
      <c r="T7" s="164"/>
      <c r="U7" s="185"/>
      <c r="V7" s="186"/>
      <c r="W7" s="186"/>
      <c r="X7" s="187"/>
      <c r="Y7" s="161" t="s">
        <v>16</v>
      </c>
      <c r="Z7" s="163" t="s">
        <v>17</v>
      </c>
      <c r="AA7" s="165"/>
      <c r="AB7" s="42" t="s">
        <v>20</v>
      </c>
      <c r="AC7" s="43"/>
      <c r="AD7" s="44" t="s">
        <v>21</v>
      </c>
      <c r="AE7" s="43"/>
      <c r="AF7" s="44" t="s">
        <v>22</v>
      </c>
      <c r="AG7" s="43"/>
      <c r="AH7" s="42" t="s">
        <v>23</v>
      </c>
      <c r="AI7" s="166"/>
      <c r="AJ7" s="188" t="s">
        <v>61</v>
      </c>
      <c r="AK7" s="189"/>
    </row>
    <row r="8" spans="1:51" s="167" customFormat="1" ht="27" customHeight="1" thickBot="1" x14ac:dyDescent="0.25">
      <c r="A8" s="159"/>
      <c r="B8" s="190"/>
      <c r="C8" s="191"/>
      <c r="D8" s="191"/>
      <c r="E8" s="191"/>
      <c r="F8" s="160"/>
      <c r="G8" s="192"/>
      <c r="H8" s="192"/>
      <c r="I8" s="192"/>
      <c r="J8" s="192"/>
      <c r="K8" s="192"/>
      <c r="L8" s="192"/>
      <c r="M8" s="160"/>
      <c r="N8" s="193"/>
      <c r="O8" s="193"/>
      <c r="P8" s="193"/>
      <c r="Q8" s="193"/>
      <c r="R8" s="193"/>
      <c r="S8" s="193"/>
      <c r="T8" s="168"/>
      <c r="U8" s="193"/>
      <c r="V8" s="193"/>
      <c r="W8" s="193"/>
      <c r="X8" s="193"/>
      <c r="Y8" s="193"/>
      <c r="Z8" s="193"/>
      <c r="AA8" s="165"/>
      <c r="AB8" s="42" t="s">
        <v>16</v>
      </c>
      <c r="AC8" s="43"/>
      <c r="AD8" s="42" t="s">
        <v>16</v>
      </c>
      <c r="AE8" s="43"/>
      <c r="AF8" s="42" t="s">
        <v>16</v>
      </c>
      <c r="AG8" s="43"/>
      <c r="AH8" s="42" t="s">
        <v>16</v>
      </c>
      <c r="AI8" s="166"/>
      <c r="AJ8" s="169" t="s">
        <v>16</v>
      </c>
      <c r="AK8" s="170" t="s">
        <v>17</v>
      </c>
    </row>
    <row r="9" spans="1:51" ht="33" customHeight="1" thickBot="1" x14ac:dyDescent="0.25">
      <c r="A9" s="4"/>
      <c r="B9" s="46" t="s">
        <v>14</v>
      </c>
      <c r="C9" s="47" t="s">
        <v>15</v>
      </c>
      <c r="D9" s="48"/>
      <c r="E9" s="48"/>
      <c r="F9" s="33"/>
      <c r="G9" s="38" t="s">
        <v>14</v>
      </c>
      <c r="H9" s="49" t="s">
        <v>15</v>
      </c>
      <c r="I9" s="39"/>
      <c r="J9" s="39"/>
      <c r="K9" s="39"/>
      <c r="L9" s="126" t="e">
        <f>+L53</f>
        <v>#REF!</v>
      </c>
      <c r="M9" s="33"/>
      <c r="N9" s="46" t="s">
        <v>14</v>
      </c>
      <c r="O9" s="47" t="s">
        <v>15</v>
      </c>
      <c r="P9" s="48"/>
      <c r="Q9" s="48"/>
      <c r="R9" s="39"/>
      <c r="S9" s="50" t="e">
        <f>+S53</f>
        <v>#REF!</v>
      </c>
      <c r="T9" s="39"/>
      <c r="U9" s="39" t="s">
        <v>14</v>
      </c>
      <c r="V9" s="39" t="s">
        <v>15</v>
      </c>
      <c r="W9" s="39"/>
      <c r="X9" s="39"/>
      <c r="Y9" s="39"/>
      <c r="Z9" s="50" t="e">
        <f>+Z53</f>
        <v>#REF!</v>
      </c>
      <c r="AA9" s="34"/>
      <c r="AB9" s="174"/>
      <c r="AC9" s="174"/>
      <c r="AD9" s="174"/>
      <c r="AE9" s="174"/>
      <c r="AF9" s="174"/>
      <c r="AG9" s="174"/>
      <c r="AH9" s="174"/>
      <c r="AI9" s="33"/>
      <c r="AJ9" s="33"/>
      <c r="AK9" s="50">
        <f>+AK53</f>
        <v>52613374.600000001</v>
      </c>
    </row>
    <row r="10" spans="1:51" ht="15.75" customHeight="1" x14ac:dyDescent="0.2">
      <c r="A10" s="4"/>
      <c r="B10" s="51"/>
      <c r="C10" s="52"/>
      <c r="D10" s="53"/>
      <c r="E10" s="53"/>
      <c r="F10" s="33"/>
      <c r="G10" s="54"/>
      <c r="H10" s="55"/>
      <c r="I10" s="56"/>
      <c r="J10" s="56"/>
      <c r="K10" s="56"/>
      <c r="L10" s="127"/>
      <c r="M10" s="33"/>
      <c r="N10" s="51"/>
      <c r="O10" s="52"/>
      <c r="P10" s="53"/>
      <c r="Q10" s="53"/>
      <c r="R10" s="53"/>
      <c r="S10" s="57"/>
      <c r="T10" s="45"/>
      <c r="U10" s="51"/>
      <c r="V10" s="52"/>
      <c r="W10" s="53"/>
      <c r="X10" s="53"/>
      <c r="Y10" s="53"/>
      <c r="Z10" s="57"/>
      <c r="AA10" s="34"/>
      <c r="AB10" s="174"/>
      <c r="AC10" s="174"/>
      <c r="AD10" s="174"/>
      <c r="AE10" s="174"/>
      <c r="AF10" s="174"/>
      <c r="AG10" s="174"/>
      <c r="AH10" s="174"/>
      <c r="AI10" s="33"/>
      <c r="AJ10" s="33"/>
      <c r="AK10" s="33"/>
    </row>
    <row r="11" spans="1:51" ht="15.75" customHeight="1" x14ac:dyDescent="0.2">
      <c r="A11" s="4"/>
      <c r="B11" s="99">
        <v>1</v>
      </c>
      <c r="C11" s="111" t="s">
        <v>65</v>
      </c>
      <c r="D11" s="111"/>
      <c r="E11" s="111"/>
      <c r="F11" s="59"/>
      <c r="G11" s="99">
        <f t="shared" ref="G11:H11" si="0">+B11</f>
        <v>1</v>
      </c>
      <c r="H11" s="111" t="str">
        <f t="shared" si="0"/>
        <v>SEDE CALLE PRIMERA RIOHACHA</v>
      </c>
      <c r="I11" s="111"/>
      <c r="J11" s="111"/>
      <c r="K11" s="99"/>
      <c r="L11" s="128" t="e">
        <f>+#REF!+L20+L12</f>
        <v>#REF!</v>
      </c>
      <c r="M11" s="33"/>
      <c r="N11" s="99">
        <f>+$B11</f>
        <v>1</v>
      </c>
      <c r="O11" s="111" t="str">
        <f>+$C$11</f>
        <v>SEDE CALLE PRIMERA RIOHACHA</v>
      </c>
      <c r="P11" s="99"/>
      <c r="Q11" s="99"/>
      <c r="R11" s="99"/>
      <c r="S11" s="128" t="e">
        <f>+#REF!+S20+S12</f>
        <v>#REF!</v>
      </c>
      <c r="T11" s="60"/>
      <c r="U11" s="99">
        <f>+$B11</f>
        <v>1</v>
      </c>
      <c r="V11" s="111" t="str">
        <f>+$C$11</f>
        <v>SEDE CALLE PRIMERA RIOHACHA</v>
      </c>
      <c r="W11" s="99"/>
      <c r="X11" s="99"/>
      <c r="Y11" s="99"/>
      <c r="Z11" s="128" t="e">
        <f>+#REF!+Z20+Z12</f>
        <v>#REF!</v>
      </c>
      <c r="AA11" s="34"/>
      <c r="AB11" s="133"/>
      <c r="AC11" s="133"/>
      <c r="AD11" s="133"/>
      <c r="AE11" s="133"/>
      <c r="AF11" s="133"/>
      <c r="AG11" s="133"/>
      <c r="AH11" s="133"/>
      <c r="AI11" s="33"/>
      <c r="AJ11" s="113" t="s">
        <v>24</v>
      </c>
      <c r="AK11" s="128">
        <f>+AK20+AK12</f>
        <v>14497149.6</v>
      </c>
    </row>
    <row r="12" spans="1:51" s="146" customFormat="1" ht="15" x14ac:dyDescent="0.2">
      <c r="A12" s="4"/>
      <c r="B12" s="100" t="s">
        <v>29</v>
      </c>
      <c r="C12" s="112" t="s">
        <v>45</v>
      </c>
      <c r="D12" s="100"/>
      <c r="E12" s="100"/>
      <c r="F12" s="140"/>
      <c r="G12" s="100" t="str">
        <f t="shared" ref="G12:G52" si="1">+B12</f>
        <v>1.1</v>
      </c>
      <c r="H12" s="112" t="str">
        <f t="shared" ref="H12:H52" si="2">+C12</f>
        <v>Generales</v>
      </c>
      <c r="I12" s="100"/>
      <c r="J12" s="100"/>
      <c r="K12" s="149"/>
      <c r="L12" s="129">
        <f>+SUM(L13:L18)</f>
        <v>13843500</v>
      </c>
      <c r="N12" s="100" t="str">
        <f t="shared" ref="N12:N52" si="3">+$B12</f>
        <v>1.1</v>
      </c>
      <c r="O12" s="112" t="str">
        <f t="shared" ref="O12:O52" si="4">+$C12</f>
        <v>Generales</v>
      </c>
      <c r="P12" s="100"/>
      <c r="Q12" s="100"/>
      <c r="R12" s="149"/>
      <c r="S12" s="129">
        <f>+SUM(S13:S18)</f>
        <v>14535675</v>
      </c>
      <c r="T12" s="143"/>
      <c r="U12" s="100" t="str">
        <f t="shared" ref="U12:U52" si="5">+$B12</f>
        <v>1.1</v>
      </c>
      <c r="V12" s="112" t="str">
        <f t="shared" ref="V12:V52" si="6">+$C12</f>
        <v>Generales</v>
      </c>
      <c r="W12" s="100"/>
      <c r="X12" s="100"/>
      <c r="Y12" s="149"/>
      <c r="Z12" s="129">
        <f>+SUM(Z13:Z18)</f>
        <v>16250080</v>
      </c>
      <c r="AA12" s="144"/>
      <c r="AB12" s="149"/>
      <c r="AC12" s="149"/>
      <c r="AD12" s="149"/>
      <c r="AE12" s="149"/>
      <c r="AF12" s="149"/>
      <c r="AG12" s="149"/>
      <c r="AH12" s="149"/>
      <c r="AI12" s="119"/>
      <c r="AJ12" s="149"/>
      <c r="AK12" s="129">
        <f>+SUM(AK13:AK18)</f>
        <v>12573399.6</v>
      </c>
      <c r="AN12" s="145">
        <f t="shared" ref="AN12:AN50" si="7">+MIN(K12,R12,Y12)</f>
        <v>0</v>
      </c>
      <c r="AO12" s="145">
        <f t="shared" ref="AO12:AO50" si="8">+AN12*$X12</f>
        <v>0</v>
      </c>
      <c r="AP12" s="145"/>
      <c r="AQ12" s="145"/>
      <c r="AR12" s="145"/>
      <c r="AS12" s="145">
        <f t="shared" ref="AS12:AS52" si="9">+AR12*E12</f>
        <v>0</v>
      </c>
      <c r="AV12" s="134"/>
      <c r="AW12" s="134">
        <f t="shared" ref="AW12:AW52" si="10">+AB12*E12</f>
        <v>0</v>
      </c>
      <c r="AY12" s="147">
        <f t="shared" ref="AY12:AY52" si="11">+AW12-AO12</f>
        <v>0</v>
      </c>
    </row>
    <row r="13" spans="1:51" s="146" customFormat="1" ht="25.5" x14ac:dyDescent="0.2">
      <c r="A13" s="4"/>
      <c r="B13" s="116" t="s">
        <v>30</v>
      </c>
      <c r="C13" s="120" t="s">
        <v>67</v>
      </c>
      <c r="D13" s="116" t="s">
        <v>12</v>
      </c>
      <c r="E13" s="115">
        <v>63.3</v>
      </c>
      <c r="F13" s="140"/>
      <c r="G13" s="116" t="str">
        <f t="shared" si="1"/>
        <v>1.1.1</v>
      </c>
      <c r="H13" s="120" t="str">
        <f t="shared" si="2"/>
        <v>Corte y demolición de alfajía en concreto. Incluye retiro de acero de refuerzo.</v>
      </c>
      <c r="I13" s="116" t="s">
        <v>12</v>
      </c>
      <c r="J13" s="116">
        <v>63.3</v>
      </c>
      <c r="K13" s="149">
        <v>62000</v>
      </c>
      <c r="L13" s="150">
        <f t="shared" ref="L13:L26" si="12">J13*K13</f>
        <v>3924600</v>
      </c>
      <c r="N13" s="116" t="str">
        <f t="shared" si="3"/>
        <v>1.1.1</v>
      </c>
      <c r="O13" s="120" t="str">
        <f t="shared" si="4"/>
        <v>Corte y demolición de alfajía en concreto. Incluye retiro de acero de refuerzo.</v>
      </c>
      <c r="P13" s="116" t="s">
        <v>12</v>
      </c>
      <c r="Q13" s="116">
        <v>63.3</v>
      </c>
      <c r="R13" s="149">
        <v>65100</v>
      </c>
      <c r="S13" s="150">
        <f t="shared" ref="S13:S52" si="13">Q13*R13</f>
        <v>4120830</v>
      </c>
      <c r="T13" s="143"/>
      <c r="U13" s="116" t="str">
        <f t="shared" si="5"/>
        <v>1.1.1</v>
      </c>
      <c r="V13" s="120" t="str">
        <f t="shared" si="6"/>
        <v>Corte y demolición de alfajía en concreto. Incluye retiro de acero de refuerzo.</v>
      </c>
      <c r="W13" s="116" t="s">
        <v>12</v>
      </c>
      <c r="X13" s="116">
        <v>63.3</v>
      </c>
      <c r="Y13" s="149">
        <v>28600.000000000004</v>
      </c>
      <c r="Z13" s="150">
        <f t="shared" ref="Z13:Z52" si="14">X13*Y13</f>
        <v>1810380.0000000002</v>
      </c>
      <c r="AA13" s="144"/>
      <c r="AB13" s="149">
        <f t="shared" ref="AB13:AB50" si="15">ROUND(MIN(K13,R13,Y13),0)</f>
        <v>28600</v>
      </c>
      <c r="AC13" s="149"/>
      <c r="AD13" s="149">
        <f>+Y13</f>
        <v>28600.000000000004</v>
      </c>
      <c r="AE13" s="149"/>
      <c r="AF13" s="149">
        <f t="shared" ref="AF13:AF52" si="16">($AD13/$AB13)-1</f>
        <v>0</v>
      </c>
      <c r="AG13" s="149"/>
      <c r="AH13" s="149">
        <f t="shared" ref="AH13:AH52" si="17">ROUND(AVERAGE(AB13,AD13),0)</f>
        <v>28600</v>
      </c>
      <c r="AI13" s="119"/>
      <c r="AJ13" s="149">
        <f t="shared" ref="AJ13:AJ16" si="18">ROUND(AH13,0)</f>
        <v>28600</v>
      </c>
      <c r="AK13" s="150">
        <f t="shared" ref="AK13:AK18" si="19">E13*AJ13</f>
        <v>1810380</v>
      </c>
      <c r="AN13" s="151">
        <f t="shared" ref="AN13" si="20">+MIN(K13,R13,Y13)</f>
        <v>28600.000000000004</v>
      </c>
      <c r="AO13" s="145">
        <f t="shared" ref="AO13" si="21">+AN13*$X13</f>
        <v>1810380.0000000002</v>
      </c>
      <c r="AP13" s="145">
        <f>+AN13</f>
        <v>28600.000000000004</v>
      </c>
      <c r="AQ13" s="145">
        <f t="shared" ref="AQ13:AQ52" si="22">+AP13*$X13</f>
        <v>1810380.0000000002</v>
      </c>
      <c r="AR13" s="145">
        <f t="shared" ref="AR13:AR56" si="23">+(AN13+AP13)/2</f>
        <v>28600.000000000004</v>
      </c>
      <c r="AS13" s="145">
        <f t="shared" si="9"/>
        <v>1810380.0000000002</v>
      </c>
      <c r="AT13" s="146">
        <f t="shared" ref="AT13:AT52" si="24">+AS13-AK13</f>
        <v>0</v>
      </c>
      <c r="AV13" s="134"/>
      <c r="AW13" s="134">
        <f t="shared" si="10"/>
        <v>1810380</v>
      </c>
      <c r="AY13" s="147">
        <f t="shared" si="11"/>
        <v>0</v>
      </c>
    </row>
    <row r="14" spans="1:51" s="146" customFormat="1" ht="71.25" customHeight="1" x14ac:dyDescent="0.2">
      <c r="A14" s="4"/>
      <c r="B14" s="116" t="s">
        <v>31</v>
      </c>
      <c r="C14" s="120" t="s">
        <v>68</v>
      </c>
      <c r="D14" s="116" t="s">
        <v>12</v>
      </c>
      <c r="E14" s="115">
        <v>63.3</v>
      </c>
      <c r="F14" s="152"/>
      <c r="G14" s="116" t="str">
        <f t="shared" si="1"/>
        <v>1.1.2</v>
      </c>
      <c r="H14" s="120" t="str">
        <f t="shared" si="2"/>
        <v>Construcción de alfajía en concreto de acuerdo a diseño existente. Incluye anclajes en varilla de 1/4" en forma de U cada 20 cm,  refuerzo en varilla de 3/8" longitudinal y aplicación de producto para pega de concreto viejo con nuevo. Espesor de 5 cm. Ancho de 23 cm.</v>
      </c>
      <c r="I14" s="116" t="s">
        <v>12</v>
      </c>
      <c r="J14" s="116">
        <v>63.3</v>
      </c>
      <c r="K14" s="149">
        <v>58000</v>
      </c>
      <c r="L14" s="150">
        <f t="shared" si="12"/>
        <v>3671400</v>
      </c>
      <c r="N14" s="116" t="str">
        <f t="shared" si="3"/>
        <v>1.1.2</v>
      </c>
      <c r="O14" s="120" t="str">
        <f t="shared" si="4"/>
        <v>Construcción de alfajía en concreto de acuerdo a diseño existente. Incluye anclajes en varilla de 1/4" en forma de U cada 20 cm,  refuerzo en varilla de 3/8" longitudinal y aplicación de producto para pega de concreto viejo con nuevo. Espesor de 5 cm. Ancho de 23 cm.</v>
      </c>
      <c r="P14" s="116" t="s">
        <v>12</v>
      </c>
      <c r="Q14" s="116">
        <v>63.3</v>
      </c>
      <c r="R14" s="149">
        <v>60900</v>
      </c>
      <c r="S14" s="150">
        <f t="shared" si="13"/>
        <v>3854970</v>
      </c>
      <c r="T14" s="60"/>
      <c r="U14" s="116" t="str">
        <f t="shared" si="5"/>
        <v>1.1.2</v>
      </c>
      <c r="V14" s="120" t="str">
        <f t="shared" si="6"/>
        <v>Construcción de alfajía en concreto de acuerdo a diseño existente. Incluye anclajes en varilla de 1/4" en forma de U cada 20 cm,  refuerzo en varilla de 3/8" longitudinal y aplicación de producto para pega de concreto viejo con nuevo. Espesor de 5 cm. Ancho de 23 cm.</v>
      </c>
      <c r="W14" s="116" t="s">
        <v>12</v>
      </c>
      <c r="X14" s="116">
        <v>63.3</v>
      </c>
      <c r="Y14" s="149">
        <v>71500</v>
      </c>
      <c r="Z14" s="150">
        <f t="shared" si="14"/>
        <v>4525950</v>
      </c>
      <c r="AA14" s="144"/>
      <c r="AB14" s="149">
        <f t="shared" si="15"/>
        <v>58000</v>
      </c>
      <c r="AC14" s="149"/>
      <c r="AD14" s="149">
        <f t="shared" ref="AD14:AD50" si="25">ROUND(AVERAGE(K14,R14,Y14),0)</f>
        <v>63467</v>
      </c>
      <c r="AE14" s="149"/>
      <c r="AF14" s="149">
        <f t="shared" si="16"/>
        <v>9.4258620689655181E-2</v>
      </c>
      <c r="AG14" s="149"/>
      <c r="AH14" s="149">
        <f t="shared" si="17"/>
        <v>60734</v>
      </c>
      <c r="AI14" s="119"/>
      <c r="AJ14" s="149">
        <f t="shared" si="18"/>
        <v>60734</v>
      </c>
      <c r="AK14" s="150">
        <f t="shared" si="19"/>
        <v>3844462.1999999997</v>
      </c>
      <c r="AN14" s="145">
        <f t="shared" si="7"/>
        <v>58000</v>
      </c>
      <c r="AO14" s="145">
        <f t="shared" si="8"/>
        <v>3671400</v>
      </c>
      <c r="AP14" s="145">
        <f t="shared" ref="AP14:AP49" si="26">+AVERAGE(K14,R14,Y14)</f>
        <v>63466.666666666664</v>
      </c>
      <c r="AQ14" s="145">
        <f t="shared" si="22"/>
        <v>4017439.9999999995</v>
      </c>
      <c r="AR14" s="145">
        <f t="shared" si="23"/>
        <v>60733.333333333328</v>
      </c>
      <c r="AS14" s="145">
        <f t="shared" si="9"/>
        <v>3844419.9999999995</v>
      </c>
      <c r="AT14" s="146">
        <f t="shared" si="24"/>
        <v>-42.200000000186265</v>
      </c>
      <c r="AV14" s="134"/>
      <c r="AW14" s="134">
        <f t="shared" si="10"/>
        <v>3671400</v>
      </c>
      <c r="AY14" s="147">
        <f t="shared" si="11"/>
        <v>0</v>
      </c>
    </row>
    <row r="15" spans="1:51" s="134" customFormat="1" ht="25.5" x14ac:dyDescent="0.2">
      <c r="A15" s="4"/>
      <c r="B15" s="116" t="s">
        <v>33</v>
      </c>
      <c r="C15" s="120" t="s">
        <v>69</v>
      </c>
      <c r="D15" s="116" t="s">
        <v>12</v>
      </c>
      <c r="E15" s="115">
        <v>63.3</v>
      </c>
      <c r="F15" s="140"/>
      <c r="G15" s="116" t="str">
        <f t="shared" si="1"/>
        <v>1.1.3</v>
      </c>
      <c r="H15" s="120" t="str">
        <f t="shared" si="2"/>
        <v>Pañete impermeabilizado de alfajía. Desarrollo de 33 cm.</v>
      </c>
      <c r="I15" s="116" t="s">
        <v>12</v>
      </c>
      <c r="J15" s="116">
        <v>63.3</v>
      </c>
      <c r="K15" s="153">
        <v>36000</v>
      </c>
      <c r="L15" s="154">
        <f t="shared" si="12"/>
        <v>2278800</v>
      </c>
      <c r="N15" s="116" t="str">
        <f t="shared" si="3"/>
        <v>1.1.3</v>
      </c>
      <c r="O15" s="120" t="str">
        <f t="shared" si="4"/>
        <v>Pañete impermeabilizado de alfajía. Desarrollo de 33 cm.</v>
      </c>
      <c r="P15" s="116" t="s">
        <v>12</v>
      </c>
      <c r="Q15" s="116">
        <v>63.3</v>
      </c>
      <c r="R15" s="153">
        <v>37800</v>
      </c>
      <c r="S15" s="154">
        <f t="shared" si="13"/>
        <v>2392740</v>
      </c>
      <c r="T15" s="143"/>
      <c r="U15" s="116" t="str">
        <f t="shared" si="5"/>
        <v>1.1.3</v>
      </c>
      <c r="V15" s="120" t="str">
        <f t="shared" si="6"/>
        <v>Pañete impermeabilizado de alfajía. Desarrollo de 33 cm.</v>
      </c>
      <c r="W15" s="116" t="s">
        <v>12</v>
      </c>
      <c r="X15" s="116">
        <v>63.3</v>
      </c>
      <c r="Y15" s="153">
        <v>49500.000000000007</v>
      </c>
      <c r="Z15" s="154">
        <f t="shared" si="14"/>
        <v>3133350.0000000005</v>
      </c>
      <c r="AA15" s="144"/>
      <c r="AB15" s="153">
        <f t="shared" si="15"/>
        <v>36000</v>
      </c>
      <c r="AC15" s="153"/>
      <c r="AD15" s="153">
        <f t="shared" si="25"/>
        <v>41100</v>
      </c>
      <c r="AE15" s="153"/>
      <c r="AF15" s="153">
        <f t="shared" si="16"/>
        <v>0.14166666666666661</v>
      </c>
      <c r="AG15" s="153"/>
      <c r="AH15" s="153">
        <f t="shared" si="17"/>
        <v>38550</v>
      </c>
      <c r="AI15" s="155"/>
      <c r="AJ15" s="153">
        <f t="shared" si="18"/>
        <v>38550</v>
      </c>
      <c r="AK15" s="154">
        <f t="shared" si="19"/>
        <v>2440215</v>
      </c>
      <c r="AN15" s="145">
        <f t="shared" si="7"/>
        <v>36000</v>
      </c>
      <c r="AO15" s="145">
        <f t="shared" si="8"/>
        <v>2278800</v>
      </c>
      <c r="AP15" s="145">
        <f t="shared" si="26"/>
        <v>41100</v>
      </c>
      <c r="AQ15" s="145">
        <f t="shared" si="22"/>
        <v>2601630</v>
      </c>
      <c r="AR15" s="145">
        <f t="shared" si="23"/>
        <v>38550</v>
      </c>
      <c r="AS15" s="145">
        <f t="shared" si="9"/>
        <v>2440215</v>
      </c>
      <c r="AT15" s="146">
        <f t="shared" si="24"/>
        <v>0</v>
      </c>
      <c r="AU15" s="146"/>
      <c r="AW15" s="134">
        <f t="shared" si="10"/>
        <v>2278800</v>
      </c>
      <c r="AY15" s="147">
        <f t="shared" si="11"/>
        <v>0</v>
      </c>
    </row>
    <row r="16" spans="1:51" s="134" customFormat="1" ht="15" x14ac:dyDescent="0.2">
      <c r="A16" s="4"/>
      <c r="B16" s="116" t="s">
        <v>34</v>
      </c>
      <c r="C16" s="120" t="s">
        <v>70</v>
      </c>
      <c r="D16" s="116" t="s">
        <v>12</v>
      </c>
      <c r="E16" s="115">
        <v>63.3</v>
      </c>
      <c r="F16" s="140"/>
      <c r="G16" s="116" t="str">
        <f t="shared" si="1"/>
        <v>1.1.4</v>
      </c>
      <c r="H16" s="120" t="str">
        <f t="shared" si="2"/>
        <v>Estuco de alfajía. Desarrollo de 33 cm.</v>
      </c>
      <c r="I16" s="116" t="s">
        <v>12</v>
      </c>
      <c r="J16" s="116">
        <v>63.3</v>
      </c>
      <c r="K16" s="153">
        <v>16000</v>
      </c>
      <c r="L16" s="154">
        <f t="shared" ref="L16" si="27">J16*K16</f>
        <v>1012800</v>
      </c>
      <c r="N16" s="116" t="str">
        <f t="shared" si="3"/>
        <v>1.1.4</v>
      </c>
      <c r="O16" s="120" t="str">
        <f t="shared" si="4"/>
        <v>Estuco de alfajía. Desarrollo de 33 cm.</v>
      </c>
      <c r="P16" s="116" t="s">
        <v>12</v>
      </c>
      <c r="Q16" s="116">
        <v>63.3</v>
      </c>
      <c r="R16" s="153">
        <v>16800</v>
      </c>
      <c r="S16" s="154">
        <f t="shared" si="13"/>
        <v>1063440</v>
      </c>
      <c r="T16" s="143"/>
      <c r="U16" s="116" t="str">
        <f t="shared" si="5"/>
        <v>1.1.4</v>
      </c>
      <c r="V16" s="120" t="str">
        <f t="shared" si="6"/>
        <v>Estuco de alfajía. Desarrollo de 33 cm.</v>
      </c>
      <c r="W16" s="116" t="s">
        <v>12</v>
      </c>
      <c r="X16" s="116">
        <v>63.3</v>
      </c>
      <c r="Y16" s="153">
        <v>49500.000000000007</v>
      </c>
      <c r="Z16" s="154">
        <f t="shared" si="14"/>
        <v>3133350.0000000005</v>
      </c>
      <c r="AA16" s="144"/>
      <c r="AB16" s="123">
        <f>ROUND(MIN(K16,R16),0)</f>
        <v>16000</v>
      </c>
      <c r="AC16" s="123"/>
      <c r="AD16" s="123">
        <f>ROUND(AVERAGE(K16,R16),0)</f>
        <v>16400</v>
      </c>
      <c r="AE16" s="153"/>
      <c r="AF16" s="153"/>
      <c r="AG16" s="153"/>
      <c r="AH16" s="153">
        <f t="shared" si="17"/>
        <v>16200</v>
      </c>
      <c r="AI16" s="155"/>
      <c r="AJ16" s="153">
        <f t="shared" si="18"/>
        <v>16200</v>
      </c>
      <c r="AK16" s="154">
        <f>E16*AJ16</f>
        <v>1025460</v>
      </c>
      <c r="AN16" s="145">
        <f>+MIN(K16,R16)</f>
        <v>16000</v>
      </c>
      <c r="AO16" s="145">
        <f t="shared" ref="AO16:AO17" si="28">+AN16*$X16</f>
        <v>1012800</v>
      </c>
      <c r="AP16" s="145">
        <f>+AVERAGE(K16,R16)</f>
        <v>16400</v>
      </c>
      <c r="AQ16" s="145">
        <f>+AP16*E16</f>
        <v>1038120</v>
      </c>
      <c r="AR16" s="145">
        <f t="shared" si="23"/>
        <v>16200</v>
      </c>
      <c r="AS16" s="145">
        <f t="shared" si="9"/>
        <v>1025460</v>
      </c>
      <c r="AT16" s="146">
        <f t="shared" si="24"/>
        <v>0</v>
      </c>
      <c r="AU16" s="146"/>
      <c r="AW16" s="134">
        <f t="shared" si="10"/>
        <v>1012800</v>
      </c>
      <c r="AY16" s="147">
        <f t="shared" si="11"/>
        <v>0</v>
      </c>
    </row>
    <row r="17" spans="1:51" s="134" customFormat="1" ht="25.5" x14ac:dyDescent="0.2">
      <c r="A17" s="4"/>
      <c r="B17" s="116" t="s">
        <v>35</v>
      </c>
      <c r="C17" s="120" t="s">
        <v>71</v>
      </c>
      <c r="D17" s="116" t="s">
        <v>12</v>
      </c>
      <c r="E17" s="115">
        <v>63.3</v>
      </c>
      <c r="F17" s="140"/>
      <c r="G17" s="116" t="str">
        <f t="shared" si="1"/>
        <v>1.1.5</v>
      </c>
      <c r="H17" s="120" t="str">
        <f t="shared" si="2"/>
        <v>Pintura para exteriores en color a definir de alfajía. Desarrollo de 33 cm.</v>
      </c>
      <c r="I17" s="116" t="s">
        <v>12</v>
      </c>
      <c r="J17" s="116">
        <v>63.3</v>
      </c>
      <c r="K17" s="123">
        <v>23000</v>
      </c>
      <c r="L17" s="148">
        <f t="shared" si="12"/>
        <v>1455900</v>
      </c>
      <c r="N17" s="116" t="str">
        <f t="shared" si="3"/>
        <v>1.1.5</v>
      </c>
      <c r="O17" s="120" t="str">
        <f t="shared" si="4"/>
        <v>Pintura para exteriores en color a definir de alfajía. Desarrollo de 33 cm.</v>
      </c>
      <c r="P17" s="116" t="s">
        <v>12</v>
      </c>
      <c r="Q17" s="116">
        <v>63.3</v>
      </c>
      <c r="R17" s="123">
        <v>24150</v>
      </c>
      <c r="S17" s="148">
        <f t="shared" si="13"/>
        <v>1528695</v>
      </c>
      <c r="T17" s="143"/>
      <c r="U17" s="116" t="str">
        <f t="shared" si="5"/>
        <v>1.1.5</v>
      </c>
      <c r="V17" s="120" t="str">
        <f t="shared" si="6"/>
        <v>Pintura para exteriores en color a definir de alfajía. Desarrollo de 33 cm.</v>
      </c>
      <c r="W17" s="116" t="s">
        <v>12</v>
      </c>
      <c r="X17" s="116">
        <v>63.3</v>
      </c>
      <c r="Y17" s="123">
        <v>38500</v>
      </c>
      <c r="Z17" s="148">
        <f t="shared" si="14"/>
        <v>2437050</v>
      </c>
      <c r="AA17" s="144"/>
      <c r="AB17" s="123">
        <f>ROUND(MIN(K17,R17),0)</f>
        <v>23000</v>
      </c>
      <c r="AC17" s="123"/>
      <c r="AD17" s="123">
        <f>ROUND(AVERAGE(K17,R17),0)</f>
        <v>23575</v>
      </c>
      <c r="AE17" s="123"/>
      <c r="AF17" s="123">
        <f t="shared" si="16"/>
        <v>2.4999999999999911E-2</v>
      </c>
      <c r="AG17" s="123"/>
      <c r="AH17" s="123">
        <f t="shared" ref="AH17" si="29">ROUND(AVERAGE(AB17,AD17),0)</f>
        <v>23288</v>
      </c>
      <c r="AI17" s="120"/>
      <c r="AJ17" s="123">
        <f t="shared" ref="AJ17:AJ18" si="30">ROUND(AH17,0)</f>
        <v>23288</v>
      </c>
      <c r="AK17" s="148">
        <f t="shared" si="19"/>
        <v>1474130.4</v>
      </c>
      <c r="AN17" s="145">
        <f>+MIN(K17,R17)</f>
        <v>23000</v>
      </c>
      <c r="AO17" s="145">
        <f t="shared" si="28"/>
        <v>1455900</v>
      </c>
      <c r="AP17" s="145">
        <f>+AVERAGE(K17,R17)</f>
        <v>23575</v>
      </c>
      <c r="AQ17" s="145">
        <f t="shared" si="22"/>
        <v>1492297.5</v>
      </c>
      <c r="AR17" s="145">
        <f t="shared" si="23"/>
        <v>23287.5</v>
      </c>
      <c r="AS17" s="145">
        <f t="shared" si="9"/>
        <v>1474098.75</v>
      </c>
      <c r="AT17" s="146">
        <f t="shared" si="24"/>
        <v>-31.649999999906868</v>
      </c>
      <c r="AU17" s="146"/>
      <c r="AW17" s="134">
        <f t="shared" si="10"/>
        <v>1455900</v>
      </c>
      <c r="AY17" s="147">
        <f t="shared" si="11"/>
        <v>0</v>
      </c>
    </row>
    <row r="18" spans="1:51" s="134" customFormat="1" ht="87" customHeight="1" x14ac:dyDescent="0.2">
      <c r="A18" s="4"/>
      <c r="B18" s="116" t="s">
        <v>36</v>
      </c>
      <c r="C18" s="120" t="s">
        <v>72</v>
      </c>
      <c r="D18" s="116" t="s">
        <v>2</v>
      </c>
      <c r="E18" s="116">
        <v>3</v>
      </c>
      <c r="F18" s="152"/>
      <c r="G18" s="116" t="str">
        <f t="shared" si="1"/>
        <v>1.1.6</v>
      </c>
      <c r="H18" s="120" t="str">
        <f t="shared" si="2"/>
        <v>Mantenimiento de puerta de vidrio batiente de medidas promedio de 2 m x 2 m. Incluye desmonte de puerta, retiro de gato hidráulico de piso, mantenimiento del orificio del gato, mantenimiento general del gato, ajuste de tornillería de bisagras, limpieza de la puerta, cambio de bisagras, cambio de gato y limpieza del gato.</v>
      </c>
      <c r="I18" s="116" t="s">
        <v>2</v>
      </c>
      <c r="J18" s="116">
        <v>2</v>
      </c>
      <c r="K18" s="123">
        <v>750000</v>
      </c>
      <c r="L18" s="148">
        <f t="shared" si="12"/>
        <v>1500000</v>
      </c>
      <c r="N18" s="116" t="str">
        <f t="shared" si="3"/>
        <v>1.1.6</v>
      </c>
      <c r="O18" s="120" t="str">
        <f t="shared" si="4"/>
        <v>Mantenimiento de puerta de vidrio batiente de medidas promedio de 2 m x 2 m. Incluye desmonte de puerta, retiro de gato hidráulico de piso, mantenimiento del orificio del gato, mantenimiento general del gato, ajuste de tornillería de bisagras, limpieza de la puerta, cambio de bisagras, cambio de gato y limpieza del gato.</v>
      </c>
      <c r="P18" s="116" t="s">
        <v>2</v>
      </c>
      <c r="Q18" s="116">
        <v>2</v>
      </c>
      <c r="R18" s="123">
        <v>787500</v>
      </c>
      <c r="S18" s="148">
        <f t="shared" si="13"/>
        <v>1575000</v>
      </c>
      <c r="T18" s="60"/>
      <c r="U18" s="116" t="str">
        <f t="shared" si="5"/>
        <v>1.1.6</v>
      </c>
      <c r="V18" s="120" t="str">
        <f t="shared" si="6"/>
        <v>Mantenimiento de puerta de vidrio batiente de medidas promedio de 2 m x 2 m. Incluye desmonte de puerta, retiro de gato hidráulico de piso, mantenimiento del orificio del gato, mantenimiento general del gato, ajuste de tornillería de bisagras, limpieza de la puerta, cambio de bisagras, cambio de gato y limpieza del gato.</v>
      </c>
      <c r="W18" s="116" t="s">
        <v>2</v>
      </c>
      <c r="X18" s="116">
        <v>2</v>
      </c>
      <c r="Y18" s="123">
        <v>605000</v>
      </c>
      <c r="Z18" s="148">
        <f t="shared" si="14"/>
        <v>1210000</v>
      </c>
      <c r="AA18" s="144"/>
      <c r="AB18" s="123">
        <f t="shared" si="15"/>
        <v>605000</v>
      </c>
      <c r="AC18" s="123"/>
      <c r="AD18" s="123">
        <f t="shared" si="25"/>
        <v>714167</v>
      </c>
      <c r="AE18" s="123"/>
      <c r="AF18" s="123">
        <f t="shared" si="16"/>
        <v>0.18044132231404952</v>
      </c>
      <c r="AG18" s="123"/>
      <c r="AH18" s="123">
        <f t="shared" si="17"/>
        <v>659584</v>
      </c>
      <c r="AI18" s="120"/>
      <c r="AJ18" s="123">
        <f t="shared" si="30"/>
        <v>659584</v>
      </c>
      <c r="AK18" s="148">
        <f t="shared" si="19"/>
        <v>1978752</v>
      </c>
      <c r="AN18" s="145">
        <f t="shared" si="7"/>
        <v>605000</v>
      </c>
      <c r="AO18" s="145">
        <f t="shared" si="8"/>
        <v>1210000</v>
      </c>
      <c r="AP18" s="145">
        <f t="shared" si="26"/>
        <v>714166.66666666663</v>
      </c>
      <c r="AQ18" s="145">
        <f t="shared" si="22"/>
        <v>1428333.3333333333</v>
      </c>
      <c r="AR18" s="145">
        <f t="shared" si="23"/>
        <v>659583.33333333326</v>
      </c>
      <c r="AS18" s="145">
        <f t="shared" si="9"/>
        <v>1978749.9999999998</v>
      </c>
      <c r="AT18" s="146">
        <f t="shared" si="24"/>
        <v>-2.0000000002328306</v>
      </c>
      <c r="AU18" s="146"/>
      <c r="AW18" s="134">
        <f t="shared" si="10"/>
        <v>1815000</v>
      </c>
      <c r="AY18" s="147">
        <f t="shared" si="11"/>
        <v>605000</v>
      </c>
    </row>
    <row r="19" spans="1:51" s="134" customFormat="1" ht="15" x14ac:dyDescent="0.2">
      <c r="A19" s="4"/>
      <c r="B19" s="116"/>
      <c r="C19" s="120"/>
      <c r="D19" s="116"/>
      <c r="E19" s="116"/>
      <c r="F19" s="152"/>
      <c r="G19" s="116">
        <f t="shared" si="1"/>
        <v>0</v>
      </c>
      <c r="H19" s="120">
        <f t="shared" si="2"/>
        <v>0</v>
      </c>
      <c r="I19" s="116"/>
      <c r="J19" s="116"/>
      <c r="K19" s="123"/>
      <c r="L19" s="123">
        <f>+L20+L50</f>
        <v>3300000</v>
      </c>
      <c r="N19" s="116">
        <f t="shared" si="3"/>
        <v>0</v>
      </c>
      <c r="O19" s="120">
        <f t="shared" si="4"/>
        <v>0</v>
      </c>
      <c r="P19" s="116"/>
      <c r="Q19" s="116"/>
      <c r="R19" s="123"/>
      <c r="S19" s="123">
        <f>+S20+S50</f>
        <v>3465000</v>
      </c>
      <c r="T19" s="143"/>
      <c r="U19" s="116">
        <f t="shared" si="5"/>
        <v>0</v>
      </c>
      <c r="V19" s="120">
        <f t="shared" si="6"/>
        <v>0</v>
      </c>
      <c r="W19" s="116"/>
      <c r="X19" s="116"/>
      <c r="Y19" s="123"/>
      <c r="Z19" s="123">
        <f>+Z20+Z50</f>
        <v>528000</v>
      </c>
      <c r="AA19" s="144"/>
      <c r="AB19" s="123"/>
      <c r="AC19" s="123"/>
      <c r="AD19" s="123"/>
      <c r="AE19" s="123"/>
      <c r="AF19" s="123"/>
      <c r="AG19" s="123"/>
      <c r="AH19" s="123"/>
      <c r="AJ19" s="123"/>
      <c r="AK19" s="123"/>
      <c r="AN19" s="145">
        <f t="shared" si="7"/>
        <v>0</v>
      </c>
      <c r="AO19" s="145">
        <f t="shared" si="8"/>
        <v>0</v>
      </c>
      <c r="AP19" s="145"/>
      <c r="AQ19" s="145"/>
      <c r="AR19" s="145"/>
      <c r="AS19" s="145">
        <f t="shared" si="9"/>
        <v>0</v>
      </c>
      <c r="AT19" s="146"/>
      <c r="AU19" s="146"/>
      <c r="AW19" s="134">
        <f t="shared" si="10"/>
        <v>0</v>
      </c>
      <c r="AY19" s="147">
        <f t="shared" si="11"/>
        <v>0</v>
      </c>
    </row>
    <row r="20" spans="1:51" s="134" customFormat="1" ht="15" x14ac:dyDescent="0.2">
      <c r="A20" s="4"/>
      <c r="B20" s="100" t="s">
        <v>37</v>
      </c>
      <c r="C20" s="112" t="s">
        <v>40</v>
      </c>
      <c r="D20" s="100"/>
      <c r="E20" s="100"/>
      <c r="F20" s="156"/>
      <c r="G20" s="100" t="str">
        <f t="shared" si="1"/>
        <v>1.2</v>
      </c>
      <c r="H20" s="112" t="str">
        <f t="shared" si="2"/>
        <v>Orden y aseo</v>
      </c>
      <c r="I20" s="100"/>
      <c r="J20" s="100"/>
      <c r="K20" s="124"/>
      <c r="L20" s="129">
        <f>+SUM(L21:L23)</f>
        <v>1900000</v>
      </c>
      <c r="N20" s="100" t="str">
        <f t="shared" si="3"/>
        <v>1.2</v>
      </c>
      <c r="O20" s="112" t="str">
        <f t="shared" si="4"/>
        <v>Orden y aseo</v>
      </c>
      <c r="P20" s="100"/>
      <c r="Q20" s="100"/>
      <c r="R20" s="124"/>
      <c r="S20" s="129">
        <f>+SUM(S21:S23)</f>
        <v>1995000</v>
      </c>
      <c r="T20" s="143"/>
      <c r="U20" s="100" t="str">
        <f t="shared" si="5"/>
        <v>1.2</v>
      </c>
      <c r="V20" s="112" t="str">
        <f t="shared" si="6"/>
        <v>Orden y aseo</v>
      </c>
      <c r="W20" s="100"/>
      <c r="X20" s="100"/>
      <c r="Y20" s="124"/>
      <c r="Z20" s="129">
        <f>+SUM(Z21:Z23)</f>
        <v>264000</v>
      </c>
      <c r="AA20" s="144"/>
      <c r="AB20" s="124">
        <f t="shared" si="15"/>
        <v>0</v>
      </c>
      <c r="AC20" s="124"/>
      <c r="AD20" s="124"/>
      <c r="AE20" s="124"/>
      <c r="AF20" s="124"/>
      <c r="AG20" s="124"/>
      <c r="AH20" s="124"/>
      <c r="AJ20" s="124"/>
      <c r="AK20" s="129">
        <f>+SUM(AK21:AK23)</f>
        <v>1923750</v>
      </c>
      <c r="AN20" s="145">
        <f t="shared" si="7"/>
        <v>0</v>
      </c>
      <c r="AO20" s="145">
        <f t="shared" si="8"/>
        <v>0</v>
      </c>
      <c r="AP20" s="145"/>
      <c r="AQ20" s="145"/>
      <c r="AR20" s="145"/>
      <c r="AS20" s="145">
        <f t="shared" si="9"/>
        <v>0</v>
      </c>
      <c r="AT20" s="146"/>
      <c r="AU20" s="146"/>
      <c r="AW20" s="134">
        <f t="shared" si="10"/>
        <v>0</v>
      </c>
      <c r="AY20" s="147">
        <f t="shared" si="11"/>
        <v>0</v>
      </c>
    </row>
    <row r="21" spans="1:51" s="134" customFormat="1" ht="15" x14ac:dyDescent="0.2">
      <c r="A21" s="4"/>
      <c r="B21" s="116" t="s">
        <v>38</v>
      </c>
      <c r="C21" s="120" t="s">
        <v>41</v>
      </c>
      <c r="D21" s="116" t="s">
        <v>60</v>
      </c>
      <c r="E21" s="116">
        <v>1</v>
      </c>
      <c r="F21" s="140"/>
      <c r="G21" s="116" t="str">
        <f t="shared" si="1"/>
        <v>1.2.1</v>
      </c>
      <c r="H21" s="120" t="str">
        <f t="shared" si="2"/>
        <v>Orden y aseo final.</v>
      </c>
      <c r="I21" s="116" t="s">
        <v>60</v>
      </c>
      <c r="J21" s="116">
        <v>1</v>
      </c>
      <c r="K21" s="123">
        <v>1200000</v>
      </c>
      <c r="L21" s="148">
        <f t="shared" si="12"/>
        <v>1200000</v>
      </c>
      <c r="N21" s="116" t="str">
        <f t="shared" si="3"/>
        <v>1.2.1</v>
      </c>
      <c r="O21" s="120" t="str">
        <f t="shared" si="4"/>
        <v>Orden y aseo final.</v>
      </c>
      <c r="P21" s="116" t="s">
        <v>60</v>
      </c>
      <c r="Q21" s="116">
        <v>1</v>
      </c>
      <c r="R21" s="123">
        <v>1260000</v>
      </c>
      <c r="S21" s="148">
        <f t="shared" si="13"/>
        <v>1260000</v>
      </c>
      <c r="T21" s="143"/>
      <c r="U21" s="116" t="str">
        <f t="shared" si="5"/>
        <v>1.2.1</v>
      </c>
      <c r="V21" s="120" t="str">
        <f t="shared" si="6"/>
        <v>Orden y aseo final.</v>
      </c>
      <c r="W21" s="116" t="s">
        <v>60</v>
      </c>
      <c r="X21" s="116">
        <v>1</v>
      </c>
      <c r="Y21" s="123">
        <v>132000</v>
      </c>
      <c r="Z21" s="148">
        <f t="shared" si="14"/>
        <v>132000</v>
      </c>
      <c r="AA21" s="144"/>
      <c r="AB21" s="123">
        <f t="shared" ref="AB21:AB22" si="31">ROUND(MIN(K21,R21),0)</f>
        <v>1200000</v>
      </c>
      <c r="AC21" s="123"/>
      <c r="AD21" s="123">
        <f t="shared" ref="AD21:AD22" si="32">ROUND(AVERAGE(K21,R21),0)</f>
        <v>1230000</v>
      </c>
      <c r="AE21" s="123"/>
      <c r="AF21" s="123">
        <f t="shared" si="16"/>
        <v>2.4999999999999911E-2</v>
      </c>
      <c r="AG21" s="123"/>
      <c r="AH21" s="123">
        <f t="shared" ref="AH21" si="33">ROUND(AVERAGE(AB21,AD21),0)</f>
        <v>1215000</v>
      </c>
      <c r="AJ21" s="123">
        <f t="shared" ref="AJ21:AJ26" si="34">ROUND(AH21,0)</f>
        <v>1215000</v>
      </c>
      <c r="AK21" s="154">
        <f t="shared" ref="AK21:AK22" si="35">E21*AJ21</f>
        <v>1215000</v>
      </c>
      <c r="AN21" s="145">
        <f>+MIN(K21,R21)</f>
        <v>1200000</v>
      </c>
      <c r="AO21" s="145">
        <f t="shared" ref="AO21:AO22" si="36">+AN21*$X21</f>
        <v>1200000</v>
      </c>
      <c r="AP21" s="145">
        <f>+AVERAGE(K21,R21)</f>
        <v>1230000</v>
      </c>
      <c r="AQ21" s="145">
        <f t="shared" si="22"/>
        <v>1230000</v>
      </c>
      <c r="AR21" s="145">
        <f t="shared" si="23"/>
        <v>1215000</v>
      </c>
      <c r="AS21" s="145">
        <f t="shared" si="9"/>
        <v>1215000</v>
      </c>
      <c r="AT21" s="146">
        <f t="shared" si="24"/>
        <v>0</v>
      </c>
      <c r="AU21" s="146"/>
      <c r="AW21" s="134">
        <f t="shared" si="10"/>
        <v>1200000</v>
      </c>
      <c r="AY21" s="147">
        <f t="shared" si="11"/>
        <v>0</v>
      </c>
    </row>
    <row r="22" spans="1:51" s="134" customFormat="1" ht="25.5" x14ac:dyDescent="0.2">
      <c r="A22" s="4"/>
      <c r="B22" s="116" t="s">
        <v>39</v>
      </c>
      <c r="C22" s="120" t="s">
        <v>42</v>
      </c>
      <c r="D22" s="116" t="s">
        <v>60</v>
      </c>
      <c r="E22" s="116">
        <v>1</v>
      </c>
      <c r="F22" s="140"/>
      <c r="G22" s="116" t="str">
        <f t="shared" si="1"/>
        <v>1.2.2</v>
      </c>
      <c r="H22" s="120" t="str">
        <f t="shared" si="2"/>
        <v>Retiro de todos los escombros producto de todas las actividades contempladas.</v>
      </c>
      <c r="I22" s="116" t="s">
        <v>60</v>
      </c>
      <c r="J22" s="116">
        <v>1</v>
      </c>
      <c r="K22" s="123">
        <v>700000</v>
      </c>
      <c r="L22" s="148">
        <f t="shared" si="12"/>
        <v>700000</v>
      </c>
      <c r="N22" s="116" t="str">
        <f t="shared" si="3"/>
        <v>1.2.2</v>
      </c>
      <c r="O22" s="120" t="str">
        <f t="shared" si="4"/>
        <v>Retiro de todos los escombros producto de todas las actividades contempladas.</v>
      </c>
      <c r="P22" s="116" t="s">
        <v>60</v>
      </c>
      <c r="Q22" s="116">
        <v>1</v>
      </c>
      <c r="R22" s="123">
        <v>735000</v>
      </c>
      <c r="S22" s="148">
        <f t="shared" si="13"/>
        <v>735000</v>
      </c>
      <c r="T22" s="143"/>
      <c r="U22" s="116" t="str">
        <f t="shared" si="5"/>
        <v>1.2.2</v>
      </c>
      <c r="V22" s="120" t="str">
        <f t="shared" si="6"/>
        <v>Retiro de todos los escombros producto de todas las actividades contempladas.</v>
      </c>
      <c r="W22" s="116" t="s">
        <v>60</v>
      </c>
      <c r="X22" s="116">
        <v>1</v>
      </c>
      <c r="Y22" s="123">
        <v>132000</v>
      </c>
      <c r="Z22" s="148">
        <f t="shared" si="14"/>
        <v>132000</v>
      </c>
      <c r="AA22" s="144"/>
      <c r="AB22" s="123">
        <f t="shared" si="31"/>
        <v>700000</v>
      </c>
      <c r="AC22" s="123"/>
      <c r="AD22" s="123">
        <f t="shared" si="32"/>
        <v>717500</v>
      </c>
      <c r="AE22" s="123"/>
      <c r="AF22" s="123">
        <f t="shared" si="16"/>
        <v>2.4999999999999911E-2</v>
      </c>
      <c r="AG22" s="123"/>
      <c r="AH22" s="123">
        <f t="shared" si="17"/>
        <v>708750</v>
      </c>
      <c r="AJ22" s="123">
        <f t="shared" si="34"/>
        <v>708750</v>
      </c>
      <c r="AK22" s="154">
        <f t="shared" si="35"/>
        <v>708750</v>
      </c>
      <c r="AN22" s="145">
        <f>+MIN(K22,R22)</f>
        <v>700000</v>
      </c>
      <c r="AO22" s="145">
        <f t="shared" si="36"/>
        <v>700000</v>
      </c>
      <c r="AP22" s="145">
        <f>+AVERAGE(K22,R22)</f>
        <v>717500</v>
      </c>
      <c r="AQ22" s="145">
        <f t="shared" si="22"/>
        <v>717500</v>
      </c>
      <c r="AR22" s="145">
        <f t="shared" si="23"/>
        <v>708750</v>
      </c>
      <c r="AS22" s="145">
        <f t="shared" si="9"/>
        <v>708750</v>
      </c>
      <c r="AT22" s="146">
        <f t="shared" si="24"/>
        <v>0</v>
      </c>
      <c r="AU22" s="146"/>
      <c r="AW22" s="134">
        <f t="shared" si="10"/>
        <v>700000</v>
      </c>
      <c r="AY22" s="147">
        <f t="shared" si="11"/>
        <v>0</v>
      </c>
    </row>
    <row r="23" spans="1:51" s="134" customFormat="1" ht="15" x14ac:dyDescent="0.2">
      <c r="A23" s="4"/>
      <c r="B23" s="115"/>
      <c r="C23" s="119"/>
      <c r="D23" s="115"/>
      <c r="E23" s="115"/>
      <c r="F23" s="140"/>
      <c r="G23" s="115"/>
      <c r="H23" s="119"/>
      <c r="I23" s="115"/>
      <c r="J23" s="115"/>
      <c r="K23" s="123"/>
      <c r="L23" s="148"/>
      <c r="N23" s="115">
        <f t="shared" si="3"/>
        <v>0</v>
      </c>
      <c r="O23" s="119">
        <f t="shared" si="4"/>
        <v>0</v>
      </c>
      <c r="P23" s="115"/>
      <c r="Q23" s="115"/>
      <c r="R23" s="123"/>
      <c r="S23" s="148"/>
      <c r="T23" s="143"/>
      <c r="U23" s="115">
        <f t="shared" si="5"/>
        <v>0</v>
      </c>
      <c r="V23" s="119">
        <f t="shared" si="6"/>
        <v>0</v>
      </c>
      <c r="W23" s="115"/>
      <c r="X23" s="115"/>
      <c r="Y23" s="123"/>
      <c r="Z23" s="148"/>
      <c r="AA23" s="144"/>
      <c r="AB23" s="123"/>
      <c r="AC23" s="123"/>
      <c r="AD23" s="123"/>
      <c r="AE23" s="123"/>
      <c r="AF23" s="123"/>
      <c r="AG23" s="123"/>
      <c r="AH23" s="123"/>
      <c r="AJ23" s="123"/>
      <c r="AK23" s="148"/>
      <c r="AN23" s="145">
        <f t="shared" si="7"/>
        <v>0</v>
      </c>
      <c r="AO23" s="145">
        <f t="shared" si="8"/>
        <v>0</v>
      </c>
      <c r="AP23" s="145"/>
      <c r="AQ23" s="145"/>
      <c r="AR23" s="145"/>
      <c r="AS23" s="145">
        <f t="shared" si="9"/>
        <v>0</v>
      </c>
      <c r="AT23" s="146"/>
      <c r="AU23" s="146"/>
      <c r="AW23" s="134">
        <f t="shared" si="10"/>
        <v>0</v>
      </c>
      <c r="AY23" s="147">
        <f t="shared" si="11"/>
        <v>0</v>
      </c>
    </row>
    <row r="24" spans="1:51" s="134" customFormat="1" ht="15" x14ac:dyDescent="0.2">
      <c r="A24" s="4"/>
      <c r="B24" s="99">
        <v>2</v>
      </c>
      <c r="C24" s="111" t="s">
        <v>73</v>
      </c>
      <c r="D24" s="99"/>
      <c r="E24" s="99"/>
      <c r="F24" s="140"/>
      <c r="G24" s="99">
        <f t="shared" si="1"/>
        <v>2</v>
      </c>
      <c r="H24" s="111" t="str">
        <f t="shared" si="2"/>
        <v>SEDE CALLE QUINTA RIOHACHA</v>
      </c>
      <c r="I24" s="99"/>
      <c r="J24" s="99"/>
      <c r="K24" s="123"/>
      <c r="L24" s="128">
        <f>+L25</f>
        <v>750000</v>
      </c>
      <c r="N24" s="99">
        <f t="shared" si="3"/>
        <v>2</v>
      </c>
      <c r="O24" s="111" t="str">
        <f t="shared" si="4"/>
        <v>SEDE CALLE QUINTA RIOHACHA</v>
      </c>
      <c r="P24" s="99"/>
      <c r="Q24" s="99"/>
      <c r="R24" s="123"/>
      <c r="S24" s="128">
        <f>+S25</f>
        <v>787500</v>
      </c>
      <c r="T24" s="143"/>
      <c r="U24" s="99">
        <f t="shared" si="5"/>
        <v>2</v>
      </c>
      <c r="V24" s="111" t="str">
        <f t="shared" si="6"/>
        <v>SEDE CALLE QUINTA RIOHACHA</v>
      </c>
      <c r="W24" s="99"/>
      <c r="X24" s="99"/>
      <c r="Y24" s="123"/>
      <c r="Z24" s="128">
        <f>+Z25</f>
        <v>605000</v>
      </c>
      <c r="AA24" s="144"/>
      <c r="AB24" s="123"/>
      <c r="AC24" s="123"/>
      <c r="AD24" s="123"/>
      <c r="AE24" s="123"/>
      <c r="AF24" s="123"/>
      <c r="AG24" s="123"/>
      <c r="AH24" s="123"/>
      <c r="AJ24" s="123"/>
      <c r="AK24" s="128">
        <f>+AK25</f>
        <v>17166487</v>
      </c>
      <c r="AN24" s="145">
        <f t="shared" si="7"/>
        <v>0</v>
      </c>
      <c r="AO24" s="145">
        <f t="shared" si="8"/>
        <v>0</v>
      </c>
      <c r="AP24" s="145"/>
      <c r="AQ24" s="145"/>
      <c r="AR24" s="145"/>
      <c r="AS24" s="145">
        <f t="shared" si="9"/>
        <v>0</v>
      </c>
      <c r="AT24" s="146"/>
      <c r="AU24" s="146"/>
      <c r="AW24" s="134">
        <f t="shared" si="10"/>
        <v>0</v>
      </c>
      <c r="AY24" s="147">
        <f t="shared" si="11"/>
        <v>0</v>
      </c>
    </row>
    <row r="25" spans="1:51" s="134" customFormat="1" ht="15" x14ac:dyDescent="0.2">
      <c r="A25" s="4"/>
      <c r="B25" s="100" t="s">
        <v>43</v>
      </c>
      <c r="C25" s="112" t="s">
        <v>45</v>
      </c>
      <c r="D25" s="100"/>
      <c r="E25" s="100"/>
      <c r="F25" s="140"/>
      <c r="G25" s="100" t="str">
        <f t="shared" si="1"/>
        <v>2.1</v>
      </c>
      <c r="H25" s="112" t="str">
        <f t="shared" si="2"/>
        <v>Generales</v>
      </c>
      <c r="I25" s="100"/>
      <c r="J25" s="100"/>
      <c r="K25" s="123"/>
      <c r="L25" s="129">
        <f>+SUM(L26:L26)</f>
        <v>750000</v>
      </c>
      <c r="N25" s="100" t="str">
        <f t="shared" si="3"/>
        <v>2.1</v>
      </c>
      <c r="O25" s="112" t="str">
        <f t="shared" si="4"/>
        <v>Generales</v>
      </c>
      <c r="P25" s="100"/>
      <c r="Q25" s="100"/>
      <c r="R25" s="123"/>
      <c r="S25" s="129">
        <f>+SUM(S26:S26)</f>
        <v>787500</v>
      </c>
      <c r="T25" s="143"/>
      <c r="U25" s="100" t="str">
        <f t="shared" si="5"/>
        <v>2.1</v>
      </c>
      <c r="V25" s="112" t="str">
        <f t="shared" si="6"/>
        <v>Generales</v>
      </c>
      <c r="W25" s="100"/>
      <c r="X25" s="100"/>
      <c r="Y25" s="123"/>
      <c r="Z25" s="129">
        <f>+SUM(Z26:Z26)</f>
        <v>605000</v>
      </c>
      <c r="AA25" s="144"/>
      <c r="AB25" s="123"/>
      <c r="AC25" s="123"/>
      <c r="AD25" s="123"/>
      <c r="AE25" s="123"/>
      <c r="AF25" s="123"/>
      <c r="AG25" s="123"/>
      <c r="AH25" s="123"/>
      <c r="AJ25" s="123"/>
      <c r="AK25" s="129">
        <f>+SUM(AK26:AK27)</f>
        <v>17166487</v>
      </c>
      <c r="AN25" s="145">
        <f t="shared" si="7"/>
        <v>0</v>
      </c>
      <c r="AO25" s="145">
        <f t="shared" si="8"/>
        <v>0</v>
      </c>
      <c r="AP25" s="145"/>
      <c r="AQ25" s="145"/>
      <c r="AR25" s="145"/>
      <c r="AS25" s="145">
        <f t="shared" si="9"/>
        <v>0</v>
      </c>
      <c r="AT25" s="146"/>
      <c r="AU25" s="146"/>
      <c r="AW25" s="134">
        <f t="shared" si="10"/>
        <v>0</v>
      </c>
      <c r="AY25" s="147">
        <f t="shared" si="11"/>
        <v>0</v>
      </c>
    </row>
    <row r="26" spans="1:51" s="134" customFormat="1" ht="79.5" customHeight="1" x14ac:dyDescent="0.2">
      <c r="A26" s="4"/>
      <c r="B26" s="114" t="s">
        <v>44</v>
      </c>
      <c r="C26" s="118" t="s">
        <v>72</v>
      </c>
      <c r="D26" s="114" t="s">
        <v>2</v>
      </c>
      <c r="E26" s="114">
        <v>1</v>
      </c>
      <c r="F26" s="140"/>
      <c r="G26" s="114" t="str">
        <f t="shared" si="1"/>
        <v>2.1.1</v>
      </c>
      <c r="H26" s="118" t="str">
        <f t="shared" si="2"/>
        <v>Mantenimiento de puerta de vidrio batiente de medidas promedio de 2 m x 2 m. Incluye desmonte de puerta, retiro de gato hidráulico de piso, mantenimiento del orificio del gato, mantenimiento general del gato, ajuste de tornillería de bisagras, limpieza de la puerta, cambio de bisagras, cambio de gato y limpieza del gato.</v>
      </c>
      <c r="I26" s="114" t="s">
        <v>2</v>
      </c>
      <c r="J26" s="114">
        <v>1</v>
      </c>
      <c r="K26" s="123">
        <v>750000</v>
      </c>
      <c r="L26" s="148">
        <f t="shared" si="12"/>
        <v>750000</v>
      </c>
      <c r="N26" s="114" t="str">
        <f t="shared" si="3"/>
        <v>2.1.1</v>
      </c>
      <c r="O26" s="118" t="str">
        <f t="shared" si="4"/>
        <v>Mantenimiento de puerta de vidrio batiente de medidas promedio de 2 m x 2 m. Incluye desmonte de puerta, retiro de gato hidráulico de piso, mantenimiento del orificio del gato, mantenimiento general del gato, ajuste de tornillería de bisagras, limpieza de la puerta, cambio de bisagras, cambio de gato y limpieza del gato.</v>
      </c>
      <c r="P26" s="114" t="s">
        <v>2</v>
      </c>
      <c r="Q26" s="114">
        <v>1</v>
      </c>
      <c r="R26" s="123">
        <v>787500</v>
      </c>
      <c r="S26" s="148">
        <f t="shared" si="13"/>
        <v>787500</v>
      </c>
      <c r="T26" s="143"/>
      <c r="U26" s="114" t="str">
        <f t="shared" si="5"/>
        <v>2.1.1</v>
      </c>
      <c r="V26" s="118" t="str">
        <f t="shared" si="6"/>
        <v>Mantenimiento de puerta de vidrio batiente de medidas promedio de 2 m x 2 m. Incluye desmonte de puerta, retiro de gato hidráulico de piso, mantenimiento del orificio del gato, mantenimiento general del gato, ajuste de tornillería de bisagras, limpieza de la puerta, cambio de bisagras, cambio de gato y limpieza del gato.</v>
      </c>
      <c r="W26" s="114" t="s">
        <v>2</v>
      </c>
      <c r="X26" s="114">
        <v>1</v>
      </c>
      <c r="Y26" s="123">
        <v>605000</v>
      </c>
      <c r="Z26" s="148">
        <f t="shared" si="14"/>
        <v>605000</v>
      </c>
      <c r="AA26" s="144"/>
      <c r="AB26" s="123">
        <f t="shared" si="15"/>
        <v>605000</v>
      </c>
      <c r="AC26" s="123"/>
      <c r="AD26" s="123">
        <f t="shared" si="25"/>
        <v>714167</v>
      </c>
      <c r="AE26" s="123"/>
      <c r="AF26" s="123">
        <f t="shared" si="16"/>
        <v>0.18044132231404952</v>
      </c>
      <c r="AG26" s="123"/>
      <c r="AH26" s="123">
        <f t="shared" si="17"/>
        <v>659584</v>
      </c>
      <c r="AJ26" s="123">
        <f t="shared" si="34"/>
        <v>659584</v>
      </c>
      <c r="AK26" s="154">
        <f t="shared" ref="AK26" si="37">E26*AJ26</f>
        <v>659584</v>
      </c>
      <c r="AN26" s="145">
        <f t="shared" si="7"/>
        <v>605000</v>
      </c>
      <c r="AO26" s="145">
        <f t="shared" si="8"/>
        <v>605000</v>
      </c>
      <c r="AP26" s="145">
        <f t="shared" si="26"/>
        <v>714166.66666666663</v>
      </c>
      <c r="AQ26" s="145">
        <f t="shared" si="22"/>
        <v>714166.66666666663</v>
      </c>
      <c r="AR26" s="145">
        <f t="shared" si="23"/>
        <v>659583.33333333326</v>
      </c>
      <c r="AS26" s="145">
        <f t="shared" si="9"/>
        <v>659583.33333333326</v>
      </c>
      <c r="AT26" s="146">
        <f t="shared" si="24"/>
        <v>-0.66666666674427688</v>
      </c>
      <c r="AU26" s="146"/>
      <c r="AW26" s="134">
        <f t="shared" si="10"/>
        <v>605000</v>
      </c>
      <c r="AY26" s="147">
        <f t="shared" si="11"/>
        <v>0</v>
      </c>
    </row>
    <row r="27" spans="1:51" s="134" customFormat="1" ht="63.75" x14ac:dyDescent="0.2">
      <c r="A27" s="4"/>
      <c r="B27" s="114" t="s">
        <v>77</v>
      </c>
      <c r="C27" s="118" t="s">
        <v>66</v>
      </c>
      <c r="D27" s="114" t="s">
        <v>11</v>
      </c>
      <c r="E27" s="114">
        <v>159</v>
      </c>
      <c r="F27" s="140"/>
      <c r="G27" s="114" t="str">
        <f>+B27</f>
        <v>2.1.2</v>
      </c>
      <c r="H27" s="118" t="str">
        <f>+C27</f>
        <v xml:space="preserve">Impermeabilización de losa de concreto con manto edil 3 mm foil de aluminio. Incluye limpieza, resane donde sea necesario, preparación de la superficie, instalación de manto y acabado final.  </v>
      </c>
      <c r="I27" s="114" t="s">
        <v>11</v>
      </c>
      <c r="J27" s="114">
        <v>26.240000000000002</v>
      </c>
      <c r="K27" s="141">
        <v>102000</v>
      </c>
      <c r="L27" s="142">
        <f>J27*K27</f>
        <v>2676480</v>
      </c>
      <c r="N27" s="114" t="str">
        <f>+$B27</f>
        <v>2.1.2</v>
      </c>
      <c r="O27" s="118" t="str">
        <f>+$C27</f>
        <v xml:space="preserve">Impermeabilización de losa de concreto con manto edil 3 mm foil de aluminio. Incluye limpieza, resane donde sea necesario, preparación de la superficie, instalación de manto y acabado final.  </v>
      </c>
      <c r="P27" s="114" t="s">
        <v>11</v>
      </c>
      <c r="Q27" s="114">
        <v>26.240000000000002</v>
      </c>
      <c r="R27" s="141">
        <v>107100</v>
      </c>
      <c r="S27" s="142">
        <f>Q27*R27</f>
        <v>2810304</v>
      </c>
      <c r="T27" s="143"/>
      <c r="U27" s="114" t="str">
        <f>+$B27</f>
        <v>2.1.2</v>
      </c>
      <c r="V27" s="118" t="str">
        <f>+$C27</f>
        <v xml:space="preserve">Impermeabilización de losa de concreto con manto edil 3 mm foil de aluminio. Incluye limpieza, resane donde sea necesario, preparación de la superficie, instalación de manto y acabado final.  </v>
      </c>
      <c r="W27" s="114" t="s">
        <v>11</v>
      </c>
      <c r="X27" s="114">
        <v>26.240000000000002</v>
      </c>
      <c r="Y27" s="141">
        <v>107800.00000000001</v>
      </c>
      <c r="Z27" s="142">
        <f>X27*Y27</f>
        <v>2828672.0000000005</v>
      </c>
      <c r="AA27" s="144"/>
      <c r="AB27" s="141">
        <f>ROUND(MIN(K27,R27,Y27),0)</f>
        <v>102000</v>
      </c>
      <c r="AC27" s="141"/>
      <c r="AD27" s="141">
        <f>ROUND(AVERAGE(K27,R27,Y27),0)</f>
        <v>105633</v>
      </c>
      <c r="AE27" s="141"/>
      <c r="AF27" s="141">
        <f>($AD27/$AB27)-1</f>
        <v>3.5617647058823421E-2</v>
      </c>
      <c r="AG27" s="141"/>
      <c r="AH27" s="141">
        <f>ROUND(AVERAGE(AB27,AD27),0)</f>
        <v>103817</v>
      </c>
      <c r="AJ27" s="141">
        <f>ROUND(AH27,0)</f>
        <v>103817</v>
      </c>
      <c r="AK27" s="123">
        <f>E27*AJ27</f>
        <v>16506903</v>
      </c>
      <c r="AN27" s="145">
        <f>+MIN(K27,R27,Y27)</f>
        <v>102000</v>
      </c>
      <c r="AO27" s="145">
        <f>+AN27*$X27</f>
        <v>2676480</v>
      </c>
      <c r="AP27" s="145">
        <f>+AVERAGE(K27,R27,Y27)</f>
        <v>105633.33333333333</v>
      </c>
      <c r="AQ27" s="145">
        <f>+AP27*$X27</f>
        <v>2771818.666666667</v>
      </c>
      <c r="AR27" s="145">
        <f>+(AN27+AP27)/2</f>
        <v>103816.66666666666</v>
      </c>
      <c r="AS27" s="145">
        <f>+AR27*E27</f>
        <v>16506849.999999998</v>
      </c>
      <c r="AT27" s="146">
        <f>+AS27-AK27</f>
        <v>-53.000000001862645</v>
      </c>
      <c r="AU27" s="146"/>
      <c r="AW27" s="134">
        <f>+AB27*E27</f>
        <v>16218000</v>
      </c>
      <c r="AY27" s="147">
        <f>+AW27-AO27</f>
        <v>13541520</v>
      </c>
    </row>
    <row r="28" spans="1:51" s="134" customFormat="1" ht="15" x14ac:dyDescent="0.2">
      <c r="A28" s="4"/>
      <c r="B28" s="116"/>
      <c r="C28" s="120"/>
      <c r="D28" s="116"/>
      <c r="E28" s="116"/>
      <c r="F28" s="140"/>
      <c r="G28" s="116">
        <f t="shared" si="1"/>
        <v>0</v>
      </c>
      <c r="H28" s="120">
        <f t="shared" si="2"/>
        <v>0</v>
      </c>
      <c r="I28" s="116"/>
      <c r="J28" s="116"/>
      <c r="K28" s="123"/>
      <c r="L28" s="148">
        <f t="shared" ref="L28:L52" si="38">J28*K28</f>
        <v>0</v>
      </c>
      <c r="N28" s="116">
        <f t="shared" si="3"/>
        <v>0</v>
      </c>
      <c r="O28" s="120">
        <f t="shared" si="4"/>
        <v>0</v>
      </c>
      <c r="P28" s="116"/>
      <c r="Q28" s="116"/>
      <c r="R28" s="123"/>
      <c r="S28" s="148">
        <f t="shared" si="13"/>
        <v>0</v>
      </c>
      <c r="T28" s="143"/>
      <c r="U28" s="116">
        <f t="shared" si="5"/>
        <v>0</v>
      </c>
      <c r="V28" s="120">
        <f t="shared" si="6"/>
        <v>0</v>
      </c>
      <c r="W28" s="116"/>
      <c r="X28" s="116"/>
      <c r="Y28" s="123"/>
      <c r="Z28" s="148">
        <f t="shared" si="14"/>
        <v>0</v>
      </c>
      <c r="AA28" s="144"/>
      <c r="AB28" s="123"/>
      <c r="AC28" s="123"/>
      <c r="AD28" s="123"/>
      <c r="AE28" s="123"/>
      <c r="AF28" s="123"/>
      <c r="AG28" s="123"/>
      <c r="AH28" s="123"/>
      <c r="AJ28" s="123"/>
      <c r="AK28" s="148"/>
      <c r="AN28" s="145">
        <f t="shared" si="7"/>
        <v>0</v>
      </c>
      <c r="AO28" s="145">
        <f t="shared" si="8"/>
        <v>0</v>
      </c>
      <c r="AP28" s="145"/>
      <c r="AQ28" s="145"/>
      <c r="AR28" s="145"/>
      <c r="AS28" s="145">
        <f t="shared" si="9"/>
        <v>0</v>
      </c>
      <c r="AT28" s="146"/>
      <c r="AU28" s="146"/>
      <c r="AW28" s="134">
        <f t="shared" si="10"/>
        <v>0</v>
      </c>
      <c r="AY28" s="147">
        <f t="shared" si="11"/>
        <v>0</v>
      </c>
    </row>
    <row r="29" spans="1:51" s="134" customFormat="1" ht="15" x14ac:dyDescent="0.2">
      <c r="A29" s="4"/>
      <c r="B29" s="99">
        <v>3</v>
      </c>
      <c r="C29" s="111" t="s">
        <v>74</v>
      </c>
      <c r="D29" s="99"/>
      <c r="E29" s="99"/>
      <c r="F29" s="140"/>
      <c r="G29" s="99">
        <f t="shared" si="1"/>
        <v>3</v>
      </c>
      <c r="H29" s="111" t="str">
        <f t="shared" si="2"/>
        <v>SEDE FONSECA</v>
      </c>
      <c r="I29" s="99"/>
      <c r="J29" s="99"/>
      <c r="K29" s="123"/>
      <c r="L29" s="128">
        <f>+L30</f>
        <v>950000</v>
      </c>
      <c r="N29" s="99">
        <f t="shared" si="3"/>
        <v>3</v>
      </c>
      <c r="O29" s="111" t="str">
        <f t="shared" si="4"/>
        <v>SEDE FONSECA</v>
      </c>
      <c r="P29" s="99"/>
      <c r="Q29" s="99"/>
      <c r="R29" s="123"/>
      <c r="S29" s="128">
        <f>+S30</f>
        <v>997500</v>
      </c>
      <c r="T29" s="143"/>
      <c r="U29" s="99">
        <f t="shared" si="5"/>
        <v>3</v>
      </c>
      <c r="V29" s="111" t="str">
        <f t="shared" si="6"/>
        <v>SEDE FONSECA</v>
      </c>
      <c r="W29" s="99"/>
      <c r="X29" s="99"/>
      <c r="Y29" s="123"/>
      <c r="Z29" s="128">
        <f>+Z30</f>
        <v>605000</v>
      </c>
      <c r="AA29" s="144"/>
      <c r="AB29" s="123"/>
      <c r="AC29" s="123"/>
      <c r="AD29" s="123"/>
      <c r="AE29" s="123"/>
      <c r="AF29" s="123"/>
      <c r="AG29" s="123"/>
      <c r="AH29" s="123"/>
      <c r="AJ29" s="123"/>
      <c r="AK29" s="128">
        <f>+AK30</f>
        <v>727917</v>
      </c>
      <c r="AN29" s="145">
        <f t="shared" si="7"/>
        <v>0</v>
      </c>
      <c r="AO29" s="145">
        <f t="shared" si="8"/>
        <v>0</v>
      </c>
      <c r="AP29" s="145"/>
      <c r="AQ29" s="145"/>
      <c r="AR29" s="145"/>
      <c r="AS29" s="145">
        <f t="shared" si="9"/>
        <v>0</v>
      </c>
      <c r="AT29" s="146"/>
      <c r="AU29" s="146"/>
      <c r="AW29" s="134">
        <f t="shared" si="10"/>
        <v>0</v>
      </c>
      <c r="AY29" s="147">
        <f t="shared" si="11"/>
        <v>0</v>
      </c>
    </row>
    <row r="30" spans="1:51" s="134" customFormat="1" ht="15" x14ac:dyDescent="0.2">
      <c r="A30" s="4"/>
      <c r="B30" s="100" t="s">
        <v>78</v>
      </c>
      <c r="C30" s="112" t="s">
        <v>45</v>
      </c>
      <c r="D30" s="100"/>
      <c r="E30" s="100"/>
      <c r="F30" s="152" t="e">
        <f>SUM(#REF!)</f>
        <v>#REF!</v>
      </c>
      <c r="G30" s="100" t="str">
        <f t="shared" si="1"/>
        <v>3.1</v>
      </c>
      <c r="H30" s="112" t="str">
        <f t="shared" si="2"/>
        <v>Generales</v>
      </c>
      <c r="I30" s="100"/>
      <c r="J30" s="100"/>
      <c r="K30" s="123"/>
      <c r="L30" s="129">
        <f>+L31</f>
        <v>950000</v>
      </c>
      <c r="N30" s="100" t="str">
        <f t="shared" si="3"/>
        <v>3.1</v>
      </c>
      <c r="O30" s="112" t="str">
        <f t="shared" si="4"/>
        <v>Generales</v>
      </c>
      <c r="P30" s="100"/>
      <c r="Q30" s="100"/>
      <c r="R30" s="123"/>
      <c r="S30" s="129">
        <f>+S31</f>
        <v>997500</v>
      </c>
      <c r="T30" s="60"/>
      <c r="U30" s="100" t="str">
        <f t="shared" si="5"/>
        <v>3.1</v>
      </c>
      <c r="V30" s="112" t="str">
        <f t="shared" si="6"/>
        <v>Generales</v>
      </c>
      <c r="W30" s="100"/>
      <c r="X30" s="100"/>
      <c r="Y30" s="123"/>
      <c r="Z30" s="129">
        <f>+Z31</f>
        <v>605000</v>
      </c>
      <c r="AA30" s="144"/>
      <c r="AB30" s="123"/>
      <c r="AC30" s="123"/>
      <c r="AD30" s="123"/>
      <c r="AE30" s="123"/>
      <c r="AF30" s="123"/>
      <c r="AG30" s="123"/>
      <c r="AH30" s="123"/>
      <c r="AJ30" s="123"/>
      <c r="AK30" s="129">
        <f>+AK31</f>
        <v>727917</v>
      </c>
      <c r="AN30" s="145">
        <f t="shared" si="7"/>
        <v>0</v>
      </c>
      <c r="AO30" s="145">
        <f t="shared" si="8"/>
        <v>0</v>
      </c>
      <c r="AP30" s="145"/>
      <c r="AQ30" s="145"/>
      <c r="AR30" s="145"/>
      <c r="AS30" s="145">
        <f t="shared" si="9"/>
        <v>0</v>
      </c>
      <c r="AT30" s="146"/>
      <c r="AU30" s="146"/>
      <c r="AW30" s="134">
        <f t="shared" si="10"/>
        <v>0</v>
      </c>
      <c r="AY30" s="147">
        <f t="shared" si="11"/>
        <v>0</v>
      </c>
    </row>
    <row r="31" spans="1:51" s="134" customFormat="1" ht="88.5" customHeight="1" x14ac:dyDescent="0.2">
      <c r="A31" s="4"/>
      <c r="B31" s="114" t="s">
        <v>79</v>
      </c>
      <c r="C31" s="118" t="s">
        <v>72</v>
      </c>
      <c r="D31" s="114" t="s">
        <v>2</v>
      </c>
      <c r="E31" s="114">
        <v>1</v>
      </c>
      <c r="F31" s="152"/>
      <c r="G31" s="114" t="str">
        <f t="shared" ref="G31:G49" si="39">+B31</f>
        <v>3.1.1</v>
      </c>
      <c r="H31" s="118" t="str">
        <f t="shared" ref="H31:H49" si="40">+C31</f>
        <v>Mantenimiento de puerta de vidrio batiente de medidas promedio de 2 m x 2 m. Incluye desmonte de puerta, retiro de gato hidráulico de piso, mantenimiento del orificio del gato, mantenimiento general del gato, ajuste de tornillería de bisagras, limpieza de la puerta, cambio de bisagras, cambio de gato y limpieza del gato.</v>
      </c>
      <c r="I31" s="114" t="s">
        <v>2</v>
      </c>
      <c r="J31" s="114">
        <v>1</v>
      </c>
      <c r="K31" s="123">
        <v>950000</v>
      </c>
      <c r="L31" s="148">
        <f t="shared" ref="L31:L49" si="41">J31*K31</f>
        <v>950000</v>
      </c>
      <c r="N31" s="114" t="str">
        <f t="shared" si="3"/>
        <v>3.1.1</v>
      </c>
      <c r="O31" s="118" t="str">
        <f t="shared" si="4"/>
        <v>Mantenimiento de puerta de vidrio batiente de medidas promedio de 2 m x 2 m. Incluye desmonte de puerta, retiro de gato hidráulico de piso, mantenimiento del orificio del gato, mantenimiento general del gato, ajuste de tornillería de bisagras, limpieza de la puerta, cambio de bisagras, cambio de gato y limpieza del gato.</v>
      </c>
      <c r="P31" s="114" t="s">
        <v>2</v>
      </c>
      <c r="Q31" s="114">
        <v>1</v>
      </c>
      <c r="R31" s="123">
        <v>997500</v>
      </c>
      <c r="S31" s="148">
        <f t="shared" ref="S31:S49" si="42">Q31*R31</f>
        <v>997500</v>
      </c>
      <c r="T31" s="60"/>
      <c r="U31" s="114" t="str">
        <f t="shared" si="5"/>
        <v>3.1.1</v>
      </c>
      <c r="V31" s="118" t="str">
        <f t="shared" si="6"/>
        <v>Mantenimiento de puerta de vidrio batiente de medidas promedio de 2 m x 2 m. Incluye desmonte de puerta, retiro de gato hidráulico de piso, mantenimiento del orificio del gato, mantenimiento general del gato, ajuste de tornillería de bisagras, limpieza de la puerta, cambio de bisagras, cambio de gato y limpieza del gato.</v>
      </c>
      <c r="W31" s="114" t="s">
        <v>2</v>
      </c>
      <c r="X31" s="114">
        <v>1</v>
      </c>
      <c r="Y31" s="123">
        <v>605000</v>
      </c>
      <c r="Z31" s="148">
        <f t="shared" ref="Z31:Z49" si="43">X31*Y31</f>
        <v>605000</v>
      </c>
      <c r="AA31" s="144"/>
      <c r="AB31" s="123">
        <f t="shared" ref="AB31:AB49" si="44">ROUND(MIN(K31,R31,Y31),0)</f>
        <v>605000</v>
      </c>
      <c r="AC31" s="123"/>
      <c r="AD31" s="123">
        <f t="shared" ref="AD31:AD49" si="45">ROUND(AVERAGE(K31,R31,Y31),0)</f>
        <v>850833</v>
      </c>
      <c r="AE31" s="123"/>
      <c r="AF31" s="123">
        <f t="shared" si="16"/>
        <v>0.40633553719008275</v>
      </c>
      <c r="AG31" s="123"/>
      <c r="AH31" s="123">
        <f t="shared" ref="AH31:AH49" si="46">ROUND(AVERAGE(AB31,AD31),0)</f>
        <v>727917</v>
      </c>
      <c r="AJ31" s="123">
        <f t="shared" ref="AJ31:AJ49" si="47">ROUND(AH31,0)</f>
        <v>727917</v>
      </c>
      <c r="AK31" s="154">
        <f t="shared" ref="AK31" si="48">E31*AJ31</f>
        <v>727917</v>
      </c>
      <c r="AN31" s="145">
        <f t="shared" si="7"/>
        <v>605000</v>
      </c>
      <c r="AO31" s="145">
        <f t="shared" si="8"/>
        <v>605000</v>
      </c>
      <c r="AP31" s="145">
        <f t="shared" si="26"/>
        <v>850833.33333333337</v>
      </c>
      <c r="AQ31" s="145">
        <f t="shared" si="22"/>
        <v>850833.33333333337</v>
      </c>
      <c r="AR31" s="145">
        <f t="shared" si="23"/>
        <v>727916.66666666674</v>
      </c>
      <c r="AS31" s="145">
        <f t="shared" si="9"/>
        <v>727916.66666666674</v>
      </c>
      <c r="AT31" s="146">
        <f t="shared" si="24"/>
        <v>-0.33333333325572312</v>
      </c>
      <c r="AU31" s="146"/>
      <c r="AW31" s="134">
        <f t="shared" si="10"/>
        <v>605000</v>
      </c>
      <c r="AY31" s="147">
        <f t="shared" si="11"/>
        <v>0</v>
      </c>
    </row>
    <row r="32" spans="1:51" s="134" customFormat="1" ht="15" x14ac:dyDescent="0.2">
      <c r="A32" s="4"/>
      <c r="B32" s="117"/>
      <c r="C32" s="121"/>
      <c r="D32" s="117"/>
      <c r="E32" s="117"/>
      <c r="F32" s="152"/>
      <c r="G32" s="117">
        <f t="shared" si="39"/>
        <v>0</v>
      </c>
      <c r="H32" s="121">
        <f t="shared" si="40"/>
        <v>0</v>
      </c>
      <c r="I32" s="117"/>
      <c r="J32" s="117"/>
      <c r="K32" s="123"/>
      <c r="L32" s="148">
        <f t="shared" si="41"/>
        <v>0</v>
      </c>
      <c r="N32" s="117">
        <f t="shared" si="3"/>
        <v>0</v>
      </c>
      <c r="O32" s="121">
        <f t="shared" si="4"/>
        <v>0</v>
      </c>
      <c r="P32" s="117"/>
      <c r="Q32" s="117"/>
      <c r="R32" s="123"/>
      <c r="S32" s="148">
        <f t="shared" si="42"/>
        <v>0</v>
      </c>
      <c r="T32" s="60"/>
      <c r="U32" s="117">
        <f t="shared" si="5"/>
        <v>0</v>
      </c>
      <c r="V32" s="121">
        <f t="shared" si="6"/>
        <v>0</v>
      </c>
      <c r="W32" s="117"/>
      <c r="X32" s="117"/>
      <c r="Y32" s="123"/>
      <c r="Z32" s="148">
        <f t="shared" si="43"/>
        <v>0</v>
      </c>
      <c r="AA32" s="144"/>
      <c r="AB32" s="123"/>
      <c r="AC32" s="123"/>
      <c r="AD32" s="123"/>
      <c r="AE32" s="123"/>
      <c r="AF32" s="123"/>
      <c r="AG32" s="123"/>
      <c r="AH32" s="123"/>
      <c r="AJ32" s="123"/>
      <c r="AK32" s="148"/>
      <c r="AN32" s="145">
        <f t="shared" si="7"/>
        <v>0</v>
      </c>
      <c r="AO32" s="145">
        <f t="shared" si="8"/>
        <v>0</v>
      </c>
      <c r="AP32" s="145"/>
      <c r="AQ32" s="145"/>
      <c r="AR32" s="145"/>
      <c r="AS32" s="145">
        <f t="shared" si="9"/>
        <v>0</v>
      </c>
      <c r="AT32" s="146"/>
      <c r="AU32" s="146"/>
      <c r="AW32" s="134">
        <f t="shared" si="10"/>
        <v>0</v>
      </c>
      <c r="AY32" s="147">
        <f t="shared" si="11"/>
        <v>0</v>
      </c>
    </row>
    <row r="33" spans="1:51" s="134" customFormat="1" ht="25.5" x14ac:dyDescent="0.2">
      <c r="A33" s="4"/>
      <c r="B33" s="99">
        <v>4</v>
      </c>
      <c r="C33" s="111" t="s">
        <v>75</v>
      </c>
      <c r="D33" s="99"/>
      <c r="E33" s="99"/>
      <c r="F33" s="152"/>
      <c r="G33" s="99">
        <f t="shared" si="39"/>
        <v>4</v>
      </c>
      <c r="H33" s="111" t="str">
        <f t="shared" si="40"/>
        <v>PUNTO DE ACOPIO TEMPORAL RIOHACHA</v>
      </c>
      <c r="I33" s="99"/>
      <c r="J33" s="99"/>
      <c r="K33" s="123"/>
      <c r="L33" s="128">
        <f>+L34+L50</f>
        <v>25413000</v>
      </c>
      <c r="N33" s="99">
        <f t="shared" si="3"/>
        <v>4</v>
      </c>
      <c r="O33" s="111" t="str">
        <f t="shared" si="4"/>
        <v>PUNTO DE ACOPIO TEMPORAL RIOHACHA</v>
      </c>
      <c r="P33" s="99"/>
      <c r="Q33" s="99"/>
      <c r="R33" s="123"/>
      <c r="S33" s="128">
        <f>+S34+S50</f>
        <v>26683650</v>
      </c>
      <c r="T33" s="60"/>
      <c r="U33" s="99">
        <f t="shared" si="5"/>
        <v>4</v>
      </c>
      <c r="V33" s="111" t="str">
        <f t="shared" si="6"/>
        <v>PUNTO DE ACOPIO TEMPORAL RIOHACHA</v>
      </c>
      <c r="W33" s="99"/>
      <c r="X33" s="99"/>
      <c r="Y33" s="123"/>
      <c r="Z33" s="128">
        <f>+Z34+Z50</f>
        <v>117571300.00000001</v>
      </c>
      <c r="AA33" s="144"/>
      <c r="AB33" s="123"/>
      <c r="AC33" s="123"/>
      <c r="AD33" s="123"/>
      <c r="AE33" s="123"/>
      <c r="AF33" s="123"/>
      <c r="AG33" s="123"/>
      <c r="AH33" s="123"/>
      <c r="AJ33" s="123"/>
      <c r="AK33" s="128">
        <f>+AK34+AK50</f>
        <v>20221821</v>
      </c>
      <c r="AN33" s="145">
        <f t="shared" si="7"/>
        <v>0</v>
      </c>
      <c r="AO33" s="145">
        <f t="shared" si="8"/>
        <v>0</v>
      </c>
      <c r="AP33" s="145"/>
      <c r="AQ33" s="145"/>
      <c r="AR33" s="145"/>
      <c r="AS33" s="145">
        <f t="shared" si="9"/>
        <v>0</v>
      </c>
      <c r="AT33" s="146"/>
      <c r="AU33" s="146"/>
      <c r="AW33" s="134">
        <f t="shared" si="10"/>
        <v>0</v>
      </c>
      <c r="AY33" s="147">
        <f t="shared" si="11"/>
        <v>0</v>
      </c>
    </row>
    <row r="34" spans="1:51" s="134" customFormat="1" ht="15" x14ac:dyDescent="0.2">
      <c r="A34" s="4"/>
      <c r="B34" s="100" t="s">
        <v>63</v>
      </c>
      <c r="C34" s="112" t="s">
        <v>45</v>
      </c>
      <c r="D34" s="100"/>
      <c r="E34" s="100"/>
      <c r="F34" s="152"/>
      <c r="G34" s="100" t="str">
        <f t="shared" si="39"/>
        <v>4.1</v>
      </c>
      <c r="H34" s="112" t="str">
        <f t="shared" si="40"/>
        <v>Generales</v>
      </c>
      <c r="I34" s="100"/>
      <c r="J34" s="100"/>
      <c r="K34" s="123"/>
      <c r="L34" s="129">
        <f>+SUM(L35:L49)</f>
        <v>24013000</v>
      </c>
      <c r="N34" s="100" t="str">
        <f t="shared" si="3"/>
        <v>4.1</v>
      </c>
      <c r="O34" s="112" t="str">
        <f t="shared" si="4"/>
        <v>Generales</v>
      </c>
      <c r="P34" s="100"/>
      <c r="Q34" s="100"/>
      <c r="R34" s="123"/>
      <c r="S34" s="129">
        <f>+SUM(S35:S49)</f>
        <v>25213650</v>
      </c>
      <c r="T34" s="60"/>
      <c r="U34" s="100" t="str">
        <f t="shared" si="5"/>
        <v>4.1</v>
      </c>
      <c r="V34" s="112" t="str">
        <f t="shared" si="6"/>
        <v>Generales</v>
      </c>
      <c r="W34" s="100"/>
      <c r="X34" s="100"/>
      <c r="Y34" s="123"/>
      <c r="Z34" s="129">
        <f>+SUM(Z35:Z49)</f>
        <v>117307300.00000001</v>
      </c>
      <c r="AA34" s="144"/>
      <c r="AB34" s="123"/>
      <c r="AC34" s="123"/>
      <c r="AD34" s="123"/>
      <c r="AE34" s="123"/>
      <c r="AF34" s="123"/>
      <c r="AG34" s="123"/>
      <c r="AH34" s="123"/>
      <c r="AJ34" s="123"/>
      <c r="AK34" s="129">
        <f>+SUM(AK35:AK49)</f>
        <v>18804321</v>
      </c>
      <c r="AN34" s="145">
        <f t="shared" si="7"/>
        <v>0</v>
      </c>
      <c r="AO34" s="145">
        <f t="shared" si="8"/>
        <v>0</v>
      </c>
      <c r="AP34" s="145"/>
      <c r="AQ34" s="145"/>
      <c r="AR34" s="145"/>
      <c r="AS34" s="145">
        <f t="shared" si="9"/>
        <v>0</v>
      </c>
      <c r="AT34" s="146"/>
      <c r="AU34" s="146"/>
      <c r="AW34" s="134">
        <f t="shared" si="10"/>
        <v>0</v>
      </c>
      <c r="AY34" s="147">
        <f t="shared" si="11"/>
        <v>0</v>
      </c>
    </row>
    <row r="35" spans="1:51" s="134" customFormat="1" ht="15" x14ac:dyDescent="0.2">
      <c r="A35" s="4"/>
      <c r="B35" s="116" t="s">
        <v>64</v>
      </c>
      <c r="C35" s="120" t="s">
        <v>46</v>
      </c>
      <c r="D35" s="116" t="s">
        <v>11</v>
      </c>
      <c r="E35" s="115">
        <v>18</v>
      </c>
      <c r="F35" s="152"/>
      <c r="G35" s="116" t="str">
        <f t="shared" si="39"/>
        <v>4.1.1</v>
      </c>
      <c r="H35" s="120" t="str">
        <f t="shared" si="40"/>
        <v>Escarificación de piso en concreto.</v>
      </c>
      <c r="I35" s="116" t="s">
        <v>11</v>
      </c>
      <c r="J35" s="116">
        <v>18</v>
      </c>
      <c r="K35" s="123">
        <v>20000</v>
      </c>
      <c r="L35" s="148">
        <f t="shared" si="41"/>
        <v>360000</v>
      </c>
      <c r="N35" s="116" t="str">
        <f t="shared" si="3"/>
        <v>4.1.1</v>
      </c>
      <c r="O35" s="120" t="str">
        <f t="shared" si="4"/>
        <v>Escarificación de piso en concreto.</v>
      </c>
      <c r="P35" s="116" t="s">
        <v>11</v>
      </c>
      <c r="Q35" s="116">
        <v>18</v>
      </c>
      <c r="R35" s="123">
        <v>21000</v>
      </c>
      <c r="S35" s="148">
        <f t="shared" si="42"/>
        <v>378000</v>
      </c>
      <c r="T35" s="60"/>
      <c r="U35" s="116" t="str">
        <f t="shared" si="5"/>
        <v>4.1.1</v>
      </c>
      <c r="V35" s="120" t="str">
        <f t="shared" si="6"/>
        <v>Escarificación de piso en concreto.</v>
      </c>
      <c r="W35" s="116" t="s">
        <v>11</v>
      </c>
      <c r="X35" s="116">
        <v>18</v>
      </c>
      <c r="Y35" s="123">
        <v>28600.000000000004</v>
      </c>
      <c r="Z35" s="148">
        <f t="shared" si="43"/>
        <v>514800.00000000006</v>
      </c>
      <c r="AA35" s="144"/>
      <c r="AB35" s="123">
        <f t="shared" ref="AB35:AB36" si="49">ROUND(MIN(K35,R35),0)</f>
        <v>20000</v>
      </c>
      <c r="AC35" s="123"/>
      <c r="AD35" s="123">
        <f t="shared" ref="AD35:AD36" si="50">ROUND(AVERAGE(K35,R35),0)</f>
        <v>20500</v>
      </c>
      <c r="AE35" s="123"/>
      <c r="AF35" s="123">
        <f t="shared" si="16"/>
        <v>2.4999999999999911E-2</v>
      </c>
      <c r="AG35" s="123"/>
      <c r="AH35" s="123">
        <f t="shared" si="46"/>
        <v>20250</v>
      </c>
      <c r="AJ35" s="123">
        <f t="shared" si="47"/>
        <v>20250</v>
      </c>
      <c r="AK35" s="154">
        <f t="shared" ref="AK35:AK52" si="51">E35*AJ35</f>
        <v>364500</v>
      </c>
      <c r="AN35" s="145">
        <f>+MIN(K35,R35)</f>
        <v>20000</v>
      </c>
      <c r="AO35" s="145">
        <f t="shared" ref="AO35:AO36" si="52">+AN35*$X35</f>
        <v>360000</v>
      </c>
      <c r="AP35" s="145">
        <f>+AVERAGE(K35,R35)</f>
        <v>20500</v>
      </c>
      <c r="AQ35" s="145">
        <f t="shared" si="22"/>
        <v>369000</v>
      </c>
      <c r="AR35" s="145">
        <f t="shared" si="23"/>
        <v>20250</v>
      </c>
      <c r="AS35" s="145">
        <f t="shared" si="9"/>
        <v>364500</v>
      </c>
      <c r="AT35" s="146">
        <f t="shared" si="24"/>
        <v>0</v>
      </c>
      <c r="AU35" s="146"/>
      <c r="AW35" s="134">
        <f t="shared" si="10"/>
        <v>360000</v>
      </c>
      <c r="AY35" s="147">
        <f t="shared" si="11"/>
        <v>0</v>
      </c>
    </row>
    <row r="36" spans="1:51" s="134" customFormat="1" ht="25.5" x14ac:dyDescent="0.2">
      <c r="A36" s="4"/>
      <c r="B36" s="116" t="s">
        <v>80</v>
      </c>
      <c r="C36" s="120" t="s">
        <v>47</v>
      </c>
      <c r="D36" s="116" t="s">
        <v>11</v>
      </c>
      <c r="E36" s="115">
        <v>18</v>
      </c>
      <c r="F36" s="152"/>
      <c r="G36" s="116" t="str">
        <f t="shared" si="39"/>
        <v>4.1.2</v>
      </c>
      <c r="H36" s="120" t="str">
        <f t="shared" si="40"/>
        <v>Construcción de plantilla de nivelación de 2 cm de espesor. Incluye acabado pulido.</v>
      </c>
      <c r="I36" s="116" t="s">
        <v>11</v>
      </c>
      <c r="J36" s="116">
        <v>18</v>
      </c>
      <c r="K36" s="123">
        <v>45000</v>
      </c>
      <c r="L36" s="148">
        <f t="shared" si="41"/>
        <v>810000</v>
      </c>
      <c r="N36" s="116" t="str">
        <f t="shared" si="3"/>
        <v>4.1.2</v>
      </c>
      <c r="O36" s="120" t="str">
        <f t="shared" si="4"/>
        <v>Construcción de plantilla de nivelación de 2 cm de espesor. Incluye acabado pulido.</v>
      </c>
      <c r="P36" s="116" t="s">
        <v>11</v>
      </c>
      <c r="Q36" s="116">
        <v>18</v>
      </c>
      <c r="R36" s="123">
        <v>47250</v>
      </c>
      <c r="S36" s="148">
        <f t="shared" si="42"/>
        <v>850500</v>
      </c>
      <c r="T36" s="60"/>
      <c r="U36" s="116" t="str">
        <f t="shared" si="5"/>
        <v>4.1.2</v>
      </c>
      <c r="V36" s="120" t="str">
        <f t="shared" si="6"/>
        <v>Construcción de plantilla de nivelación de 2 cm de espesor. Incluye acabado pulido.</v>
      </c>
      <c r="W36" s="116" t="s">
        <v>11</v>
      </c>
      <c r="X36" s="116">
        <v>18</v>
      </c>
      <c r="Y36" s="123">
        <v>71500</v>
      </c>
      <c r="Z36" s="148">
        <f t="shared" si="43"/>
        <v>1287000</v>
      </c>
      <c r="AA36" s="144"/>
      <c r="AB36" s="123">
        <f t="shared" si="49"/>
        <v>45000</v>
      </c>
      <c r="AC36" s="123"/>
      <c r="AD36" s="123">
        <f t="shared" si="50"/>
        <v>46125</v>
      </c>
      <c r="AE36" s="123"/>
      <c r="AF36" s="123">
        <f t="shared" si="16"/>
        <v>2.4999999999999911E-2</v>
      </c>
      <c r="AG36" s="123"/>
      <c r="AH36" s="123">
        <f t="shared" si="46"/>
        <v>45563</v>
      </c>
      <c r="AJ36" s="123">
        <f t="shared" si="47"/>
        <v>45563</v>
      </c>
      <c r="AK36" s="154">
        <f t="shared" si="51"/>
        <v>820134</v>
      </c>
      <c r="AN36" s="145">
        <f>+MIN(K36,R36)</f>
        <v>45000</v>
      </c>
      <c r="AO36" s="145">
        <f t="shared" si="52"/>
        <v>810000</v>
      </c>
      <c r="AP36" s="145">
        <f>+AVERAGE(K36,R36)</f>
        <v>46125</v>
      </c>
      <c r="AQ36" s="145">
        <f t="shared" si="22"/>
        <v>830250</v>
      </c>
      <c r="AR36" s="145">
        <f t="shared" si="23"/>
        <v>45562.5</v>
      </c>
      <c r="AS36" s="145">
        <f t="shared" si="9"/>
        <v>820125</v>
      </c>
      <c r="AT36" s="146">
        <f t="shared" si="24"/>
        <v>-9</v>
      </c>
      <c r="AU36" s="146"/>
      <c r="AW36" s="134">
        <f t="shared" si="10"/>
        <v>810000</v>
      </c>
      <c r="AY36" s="147">
        <f t="shared" si="11"/>
        <v>0</v>
      </c>
    </row>
    <row r="37" spans="1:51" s="134" customFormat="1" ht="25.5" x14ac:dyDescent="0.2">
      <c r="A37" s="4"/>
      <c r="B37" s="116" t="s">
        <v>81</v>
      </c>
      <c r="C37" s="120" t="s">
        <v>48</v>
      </c>
      <c r="D37" s="116" t="s">
        <v>11</v>
      </c>
      <c r="E37" s="115">
        <v>16</v>
      </c>
      <c r="F37" s="152"/>
      <c r="G37" s="116" t="str">
        <f t="shared" si="39"/>
        <v>4.1.3</v>
      </c>
      <c r="H37" s="120" t="str">
        <f t="shared" si="40"/>
        <v>Levante de muro cortafuego. Incluye todos los elementos para cumplir con la norma.</v>
      </c>
      <c r="I37" s="116" t="s">
        <v>11</v>
      </c>
      <c r="J37" s="116">
        <v>16</v>
      </c>
      <c r="K37" s="123">
        <v>76000</v>
      </c>
      <c r="L37" s="148">
        <f t="shared" si="41"/>
        <v>1216000</v>
      </c>
      <c r="N37" s="116" t="str">
        <f t="shared" si="3"/>
        <v>4.1.3</v>
      </c>
      <c r="O37" s="120" t="str">
        <f t="shared" si="4"/>
        <v>Levante de muro cortafuego. Incluye todos los elementos para cumplir con la norma.</v>
      </c>
      <c r="P37" s="116" t="s">
        <v>11</v>
      </c>
      <c r="Q37" s="116">
        <v>16</v>
      </c>
      <c r="R37" s="123">
        <v>79800</v>
      </c>
      <c r="S37" s="148">
        <f t="shared" si="42"/>
        <v>1276800</v>
      </c>
      <c r="T37" s="60"/>
      <c r="U37" s="116" t="str">
        <f t="shared" si="5"/>
        <v>4.1.3</v>
      </c>
      <c r="V37" s="120" t="str">
        <f t="shared" si="6"/>
        <v>Levante de muro cortafuego. Incluye todos los elementos para cumplir con la norma.</v>
      </c>
      <c r="W37" s="116" t="s">
        <v>11</v>
      </c>
      <c r="X37" s="116">
        <v>16</v>
      </c>
      <c r="Y37" s="123">
        <v>93500.000000000015</v>
      </c>
      <c r="Z37" s="148">
        <f t="shared" si="43"/>
        <v>1496000.0000000002</v>
      </c>
      <c r="AA37" s="144"/>
      <c r="AB37" s="123">
        <f t="shared" si="44"/>
        <v>76000</v>
      </c>
      <c r="AC37" s="123"/>
      <c r="AD37" s="123">
        <f t="shared" si="45"/>
        <v>83100</v>
      </c>
      <c r="AE37" s="123"/>
      <c r="AF37" s="123">
        <f t="shared" si="16"/>
        <v>9.3421052631578849E-2</v>
      </c>
      <c r="AG37" s="123"/>
      <c r="AH37" s="123">
        <f t="shared" si="46"/>
        <v>79550</v>
      </c>
      <c r="AJ37" s="123">
        <f t="shared" si="47"/>
        <v>79550</v>
      </c>
      <c r="AK37" s="154">
        <f t="shared" si="51"/>
        <v>1272800</v>
      </c>
      <c r="AN37" s="145">
        <f t="shared" si="7"/>
        <v>76000</v>
      </c>
      <c r="AO37" s="145">
        <f t="shared" si="8"/>
        <v>1216000</v>
      </c>
      <c r="AP37" s="145">
        <f t="shared" si="26"/>
        <v>83100</v>
      </c>
      <c r="AQ37" s="145">
        <f t="shared" si="22"/>
        <v>1329600</v>
      </c>
      <c r="AR37" s="145">
        <f t="shared" si="23"/>
        <v>79550</v>
      </c>
      <c r="AS37" s="145">
        <f t="shared" si="9"/>
        <v>1272800</v>
      </c>
      <c r="AT37" s="146">
        <f t="shared" si="24"/>
        <v>0</v>
      </c>
      <c r="AU37" s="146"/>
      <c r="AW37" s="134">
        <f t="shared" si="10"/>
        <v>1216000</v>
      </c>
      <c r="AY37" s="147">
        <f t="shared" si="11"/>
        <v>0</v>
      </c>
    </row>
    <row r="38" spans="1:51" s="134" customFormat="1" ht="15" x14ac:dyDescent="0.2">
      <c r="A38" s="4"/>
      <c r="B38" s="116" t="s">
        <v>82</v>
      </c>
      <c r="C38" s="120" t="s">
        <v>49</v>
      </c>
      <c r="D38" s="116" t="s">
        <v>11</v>
      </c>
      <c r="E38" s="115">
        <v>32</v>
      </c>
      <c r="F38" s="152"/>
      <c r="G38" s="116" t="str">
        <f t="shared" si="39"/>
        <v>4.1.4</v>
      </c>
      <c r="H38" s="120" t="str">
        <f t="shared" si="40"/>
        <v>Pañete de muros en mortero 1:4.</v>
      </c>
      <c r="I38" s="116" t="s">
        <v>11</v>
      </c>
      <c r="J38" s="116">
        <v>32</v>
      </c>
      <c r="K38" s="123">
        <v>62000</v>
      </c>
      <c r="L38" s="148">
        <f t="shared" si="41"/>
        <v>1984000</v>
      </c>
      <c r="N38" s="116" t="str">
        <f t="shared" si="3"/>
        <v>4.1.4</v>
      </c>
      <c r="O38" s="120" t="str">
        <f t="shared" si="4"/>
        <v>Pañete de muros en mortero 1:4.</v>
      </c>
      <c r="P38" s="116" t="s">
        <v>11</v>
      </c>
      <c r="Q38" s="116">
        <v>32</v>
      </c>
      <c r="R38" s="123">
        <v>65100</v>
      </c>
      <c r="S38" s="148">
        <f t="shared" si="42"/>
        <v>2083200</v>
      </c>
      <c r="T38" s="60"/>
      <c r="U38" s="116" t="str">
        <f t="shared" si="5"/>
        <v>4.1.4</v>
      </c>
      <c r="V38" s="120" t="str">
        <f t="shared" si="6"/>
        <v>Pañete de muros en mortero 1:4.</v>
      </c>
      <c r="W38" s="116" t="s">
        <v>11</v>
      </c>
      <c r="X38" s="116">
        <v>32</v>
      </c>
      <c r="Y38" s="123">
        <v>49500.000000000007</v>
      </c>
      <c r="Z38" s="148">
        <f t="shared" si="43"/>
        <v>1584000.0000000002</v>
      </c>
      <c r="AA38" s="144"/>
      <c r="AB38" s="123">
        <f t="shared" si="44"/>
        <v>49500</v>
      </c>
      <c r="AC38" s="123"/>
      <c r="AD38" s="123">
        <f>+Y38</f>
        <v>49500.000000000007</v>
      </c>
      <c r="AE38" s="123"/>
      <c r="AF38" s="123">
        <f t="shared" si="16"/>
        <v>0</v>
      </c>
      <c r="AG38" s="123"/>
      <c r="AH38" s="123">
        <f t="shared" si="46"/>
        <v>49500</v>
      </c>
      <c r="AJ38" s="123">
        <f t="shared" si="47"/>
        <v>49500</v>
      </c>
      <c r="AK38" s="154">
        <f t="shared" si="51"/>
        <v>1584000</v>
      </c>
      <c r="AN38" s="151">
        <f t="shared" si="7"/>
        <v>49500.000000000007</v>
      </c>
      <c r="AO38" s="145">
        <f t="shared" si="8"/>
        <v>1584000.0000000002</v>
      </c>
      <c r="AP38" s="145">
        <f>+AN38</f>
        <v>49500.000000000007</v>
      </c>
      <c r="AQ38" s="145">
        <f t="shared" si="22"/>
        <v>1584000.0000000002</v>
      </c>
      <c r="AR38" s="145">
        <f t="shared" si="23"/>
        <v>49500.000000000007</v>
      </c>
      <c r="AS38" s="145">
        <f t="shared" si="9"/>
        <v>1584000.0000000002</v>
      </c>
      <c r="AT38" s="146">
        <f t="shared" si="24"/>
        <v>0</v>
      </c>
      <c r="AU38" s="146"/>
      <c r="AW38" s="134">
        <f t="shared" si="10"/>
        <v>1584000</v>
      </c>
      <c r="AY38" s="147">
        <f t="shared" si="11"/>
        <v>0</v>
      </c>
    </row>
    <row r="39" spans="1:51" s="134" customFormat="1" ht="15" x14ac:dyDescent="0.2">
      <c r="A39" s="4"/>
      <c r="B39" s="116" t="s">
        <v>83</v>
      </c>
      <c r="C39" s="120" t="s">
        <v>50</v>
      </c>
      <c r="D39" s="116" t="s">
        <v>11</v>
      </c>
      <c r="E39" s="115">
        <v>32</v>
      </c>
      <c r="F39" s="152"/>
      <c r="G39" s="116" t="str">
        <f t="shared" si="39"/>
        <v>4.1.5</v>
      </c>
      <c r="H39" s="120" t="str">
        <f t="shared" si="40"/>
        <v>Estuco de muros internos. Incluye lijado.</v>
      </c>
      <c r="I39" s="116" t="s">
        <v>11</v>
      </c>
      <c r="J39" s="116">
        <v>32</v>
      </c>
      <c r="K39" s="123">
        <v>23000</v>
      </c>
      <c r="L39" s="148">
        <f t="shared" si="41"/>
        <v>736000</v>
      </c>
      <c r="N39" s="116" t="str">
        <f t="shared" si="3"/>
        <v>4.1.5</v>
      </c>
      <c r="O39" s="120" t="str">
        <f t="shared" si="4"/>
        <v>Estuco de muros internos. Incluye lijado.</v>
      </c>
      <c r="P39" s="116" t="s">
        <v>11</v>
      </c>
      <c r="Q39" s="116">
        <v>32</v>
      </c>
      <c r="R39" s="123">
        <v>24150</v>
      </c>
      <c r="S39" s="148">
        <f t="shared" si="42"/>
        <v>772800</v>
      </c>
      <c r="T39" s="60"/>
      <c r="U39" s="116" t="str">
        <f t="shared" si="5"/>
        <v>4.1.5</v>
      </c>
      <c r="V39" s="120" t="str">
        <f t="shared" si="6"/>
        <v>Estuco de muros internos. Incluye lijado.</v>
      </c>
      <c r="W39" s="116" t="s">
        <v>11</v>
      </c>
      <c r="X39" s="116">
        <v>32</v>
      </c>
      <c r="Y39" s="123">
        <v>49500.000000000007</v>
      </c>
      <c r="Z39" s="148">
        <f t="shared" si="43"/>
        <v>1584000.0000000002</v>
      </c>
      <c r="AA39" s="144"/>
      <c r="AB39" s="123">
        <f t="shared" ref="AB39:AB40" si="53">ROUND(MIN(K39,R39),0)</f>
        <v>23000</v>
      </c>
      <c r="AC39" s="123"/>
      <c r="AD39" s="123">
        <f t="shared" ref="AD39:AD40" si="54">ROUND(AVERAGE(K39,R39),0)</f>
        <v>23575</v>
      </c>
      <c r="AE39" s="123"/>
      <c r="AF39" s="123">
        <f t="shared" si="16"/>
        <v>2.4999999999999911E-2</v>
      </c>
      <c r="AG39" s="123"/>
      <c r="AH39" s="123">
        <f t="shared" si="46"/>
        <v>23288</v>
      </c>
      <c r="AJ39" s="123">
        <f t="shared" si="47"/>
        <v>23288</v>
      </c>
      <c r="AK39" s="154">
        <f t="shared" si="51"/>
        <v>745216</v>
      </c>
      <c r="AN39" s="145">
        <f>+MIN(K39,R39)</f>
        <v>23000</v>
      </c>
      <c r="AO39" s="145">
        <f t="shared" ref="AO39:AO40" si="55">+AN39*$X39</f>
        <v>736000</v>
      </c>
      <c r="AP39" s="145">
        <f>+AVERAGE(K39,R39)</f>
        <v>23575</v>
      </c>
      <c r="AQ39" s="145">
        <f t="shared" si="22"/>
        <v>754400</v>
      </c>
      <c r="AR39" s="145">
        <f t="shared" si="23"/>
        <v>23287.5</v>
      </c>
      <c r="AS39" s="145">
        <f t="shared" si="9"/>
        <v>745200</v>
      </c>
      <c r="AT39" s="146">
        <f t="shared" si="24"/>
        <v>-16</v>
      </c>
      <c r="AU39" s="146"/>
      <c r="AW39" s="134">
        <f t="shared" si="10"/>
        <v>736000</v>
      </c>
      <c r="AY39" s="147">
        <f t="shared" si="11"/>
        <v>0</v>
      </c>
    </row>
    <row r="40" spans="1:51" s="134" customFormat="1" ht="15" x14ac:dyDescent="0.2">
      <c r="A40" s="4"/>
      <c r="B40" s="116" t="s">
        <v>84</v>
      </c>
      <c r="C40" s="120" t="s">
        <v>51</v>
      </c>
      <c r="D40" s="116" t="s">
        <v>11</v>
      </c>
      <c r="E40" s="115">
        <v>32</v>
      </c>
      <c r="F40" s="152"/>
      <c r="G40" s="116" t="str">
        <f t="shared" si="39"/>
        <v>4.1.6</v>
      </c>
      <c r="H40" s="120" t="str">
        <f t="shared" si="40"/>
        <v>Pintura en esmalte color a definir.</v>
      </c>
      <c r="I40" s="116" t="s">
        <v>11</v>
      </c>
      <c r="J40" s="116">
        <v>32</v>
      </c>
      <c r="K40" s="123">
        <v>29000</v>
      </c>
      <c r="L40" s="148">
        <f t="shared" si="41"/>
        <v>928000</v>
      </c>
      <c r="N40" s="116" t="str">
        <f t="shared" si="3"/>
        <v>4.1.6</v>
      </c>
      <c r="O40" s="120" t="str">
        <f t="shared" si="4"/>
        <v>Pintura en esmalte color a definir.</v>
      </c>
      <c r="P40" s="116" t="s">
        <v>11</v>
      </c>
      <c r="Q40" s="116">
        <v>32</v>
      </c>
      <c r="R40" s="123">
        <v>30450</v>
      </c>
      <c r="S40" s="148">
        <f t="shared" si="42"/>
        <v>974400</v>
      </c>
      <c r="T40" s="60"/>
      <c r="U40" s="116" t="str">
        <f t="shared" si="5"/>
        <v>4.1.6</v>
      </c>
      <c r="V40" s="120" t="str">
        <f t="shared" si="6"/>
        <v>Pintura en esmalte color a definir.</v>
      </c>
      <c r="W40" s="116" t="s">
        <v>11</v>
      </c>
      <c r="X40" s="116">
        <v>32</v>
      </c>
      <c r="Y40" s="123">
        <v>38500</v>
      </c>
      <c r="Z40" s="148">
        <f t="shared" si="43"/>
        <v>1232000</v>
      </c>
      <c r="AA40" s="144"/>
      <c r="AB40" s="123">
        <f t="shared" si="53"/>
        <v>29000</v>
      </c>
      <c r="AC40" s="123"/>
      <c r="AD40" s="123">
        <f t="shared" si="54"/>
        <v>29725</v>
      </c>
      <c r="AE40" s="123"/>
      <c r="AF40" s="123">
        <f t="shared" si="16"/>
        <v>2.4999999999999911E-2</v>
      </c>
      <c r="AG40" s="123"/>
      <c r="AH40" s="123">
        <f t="shared" si="46"/>
        <v>29363</v>
      </c>
      <c r="AJ40" s="123">
        <f t="shared" si="47"/>
        <v>29363</v>
      </c>
      <c r="AK40" s="154">
        <f t="shared" si="51"/>
        <v>939616</v>
      </c>
      <c r="AN40" s="145">
        <f>+MIN(K40,R40)</f>
        <v>29000</v>
      </c>
      <c r="AO40" s="145">
        <f t="shared" si="55"/>
        <v>928000</v>
      </c>
      <c r="AP40" s="145">
        <f>+AVERAGE(K40,R40)</f>
        <v>29725</v>
      </c>
      <c r="AQ40" s="145">
        <f t="shared" si="22"/>
        <v>951200</v>
      </c>
      <c r="AR40" s="145">
        <f t="shared" si="23"/>
        <v>29362.5</v>
      </c>
      <c r="AS40" s="145">
        <f t="shared" si="9"/>
        <v>939600</v>
      </c>
      <c r="AT40" s="146">
        <f t="shared" si="24"/>
        <v>-16</v>
      </c>
      <c r="AU40" s="146"/>
      <c r="AW40" s="134">
        <f t="shared" si="10"/>
        <v>928000</v>
      </c>
      <c r="AY40" s="147">
        <f t="shared" si="11"/>
        <v>0</v>
      </c>
    </row>
    <row r="41" spans="1:51" s="134" customFormat="1" ht="25.5" x14ac:dyDescent="0.2">
      <c r="A41" s="4"/>
      <c r="B41" s="116" t="s">
        <v>85</v>
      </c>
      <c r="C41" s="120" t="s">
        <v>52</v>
      </c>
      <c r="D41" s="116" t="s">
        <v>11</v>
      </c>
      <c r="E41" s="115">
        <v>18</v>
      </c>
      <c r="F41" s="152"/>
      <c r="G41" s="116" t="str">
        <f t="shared" si="39"/>
        <v>4.1.7</v>
      </c>
      <c r="H41" s="120" t="str">
        <f t="shared" si="40"/>
        <v>Pintura epóxica para piso en color a definir. Inclue preparación de la superficie.</v>
      </c>
      <c r="I41" s="116" t="s">
        <v>11</v>
      </c>
      <c r="J41" s="116">
        <v>18</v>
      </c>
      <c r="K41" s="123">
        <v>38000</v>
      </c>
      <c r="L41" s="148">
        <f t="shared" si="41"/>
        <v>684000</v>
      </c>
      <c r="N41" s="116" t="str">
        <f t="shared" si="3"/>
        <v>4.1.7</v>
      </c>
      <c r="O41" s="120" t="str">
        <f t="shared" si="4"/>
        <v>Pintura epóxica para piso en color a definir. Inclue preparación de la superficie.</v>
      </c>
      <c r="P41" s="116" t="s">
        <v>11</v>
      </c>
      <c r="Q41" s="116">
        <v>18</v>
      </c>
      <c r="R41" s="123">
        <v>39900</v>
      </c>
      <c r="S41" s="148">
        <f t="shared" si="42"/>
        <v>718200</v>
      </c>
      <c r="T41" s="60"/>
      <c r="U41" s="116" t="str">
        <f t="shared" si="5"/>
        <v>4.1.7</v>
      </c>
      <c r="V41" s="120" t="str">
        <f t="shared" si="6"/>
        <v>Pintura epóxica para piso en color a definir. Inclue preparación de la superficie.</v>
      </c>
      <c r="W41" s="116" t="s">
        <v>11</v>
      </c>
      <c r="X41" s="116">
        <v>18</v>
      </c>
      <c r="Y41" s="123">
        <v>49500.000000000007</v>
      </c>
      <c r="Z41" s="148">
        <f t="shared" si="43"/>
        <v>891000.00000000012</v>
      </c>
      <c r="AA41" s="144"/>
      <c r="AB41" s="123">
        <f t="shared" si="44"/>
        <v>38000</v>
      </c>
      <c r="AC41" s="123"/>
      <c r="AD41" s="123">
        <f t="shared" si="45"/>
        <v>42467</v>
      </c>
      <c r="AE41" s="123"/>
      <c r="AF41" s="123">
        <f t="shared" si="16"/>
        <v>0.11755263157894746</v>
      </c>
      <c r="AG41" s="123"/>
      <c r="AH41" s="123">
        <f t="shared" si="46"/>
        <v>40234</v>
      </c>
      <c r="AJ41" s="123">
        <f t="shared" si="47"/>
        <v>40234</v>
      </c>
      <c r="AK41" s="154">
        <f t="shared" si="51"/>
        <v>724212</v>
      </c>
      <c r="AN41" s="145">
        <f t="shared" si="7"/>
        <v>38000</v>
      </c>
      <c r="AO41" s="145">
        <f t="shared" si="8"/>
        <v>684000</v>
      </c>
      <c r="AP41" s="145">
        <f t="shared" si="26"/>
        <v>42466.666666666664</v>
      </c>
      <c r="AQ41" s="145">
        <f t="shared" si="22"/>
        <v>764400</v>
      </c>
      <c r="AR41" s="145">
        <f t="shared" si="23"/>
        <v>40233.333333333328</v>
      </c>
      <c r="AS41" s="145">
        <f t="shared" si="9"/>
        <v>724199.99999999988</v>
      </c>
      <c r="AT41" s="146">
        <f t="shared" si="24"/>
        <v>-12.000000000116415</v>
      </c>
      <c r="AU41" s="146"/>
      <c r="AW41" s="134">
        <f t="shared" si="10"/>
        <v>684000</v>
      </c>
      <c r="AY41" s="147">
        <f t="shared" si="11"/>
        <v>0</v>
      </c>
    </row>
    <row r="42" spans="1:51" s="134" customFormat="1" ht="25.5" x14ac:dyDescent="0.2">
      <c r="A42" s="4"/>
      <c r="B42" s="116" t="s">
        <v>86</v>
      </c>
      <c r="C42" s="120" t="s">
        <v>53</v>
      </c>
      <c r="D42" s="116" t="s">
        <v>12</v>
      </c>
      <c r="E42" s="115">
        <v>5</v>
      </c>
      <c r="F42" s="152"/>
      <c r="G42" s="116" t="str">
        <f t="shared" si="39"/>
        <v>4.1.8</v>
      </c>
      <c r="H42" s="120" t="str">
        <f t="shared" si="40"/>
        <v>Suministro e instalación de cableado eléctrico en tubería EMT.</v>
      </c>
      <c r="I42" s="116" t="s">
        <v>12</v>
      </c>
      <c r="J42" s="116">
        <v>5</v>
      </c>
      <c r="K42" s="123">
        <v>53000</v>
      </c>
      <c r="L42" s="148">
        <f t="shared" si="41"/>
        <v>265000</v>
      </c>
      <c r="N42" s="116" t="str">
        <f t="shared" si="3"/>
        <v>4.1.8</v>
      </c>
      <c r="O42" s="120" t="str">
        <f t="shared" si="4"/>
        <v>Suministro e instalación de cableado eléctrico en tubería EMT.</v>
      </c>
      <c r="P42" s="116" t="s">
        <v>12</v>
      </c>
      <c r="Q42" s="116">
        <v>5</v>
      </c>
      <c r="R42" s="123">
        <v>55650</v>
      </c>
      <c r="S42" s="148">
        <f t="shared" si="42"/>
        <v>278250</v>
      </c>
      <c r="T42" s="60"/>
      <c r="U42" s="116" t="str">
        <f t="shared" si="5"/>
        <v>4.1.8</v>
      </c>
      <c r="V42" s="120" t="str">
        <f t="shared" si="6"/>
        <v>Suministro e instalación de cableado eléctrico en tubería EMT.</v>
      </c>
      <c r="W42" s="116" t="s">
        <v>12</v>
      </c>
      <c r="X42" s="116">
        <v>5</v>
      </c>
      <c r="Y42" s="123">
        <v>49500.000000000007</v>
      </c>
      <c r="Z42" s="148">
        <f t="shared" si="43"/>
        <v>247500.00000000003</v>
      </c>
      <c r="AA42" s="144"/>
      <c r="AB42" s="123">
        <f t="shared" si="44"/>
        <v>49500</v>
      </c>
      <c r="AC42" s="123"/>
      <c r="AD42" s="123">
        <f t="shared" si="45"/>
        <v>52717</v>
      </c>
      <c r="AE42" s="123"/>
      <c r="AF42" s="123">
        <f t="shared" si="16"/>
        <v>6.4989898989898931E-2</v>
      </c>
      <c r="AG42" s="123"/>
      <c r="AH42" s="123">
        <f t="shared" si="46"/>
        <v>51109</v>
      </c>
      <c r="AJ42" s="123">
        <f t="shared" si="47"/>
        <v>51109</v>
      </c>
      <c r="AK42" s="154">
        <f t="shared" si="51"/>
        <v>255545</v>
      </c>
      <c r="AN42" s="145">
        <f t="shared" si="7"/>
        <v>49500.000000000007</v>
      </c>
      <c r="AO42" s="145">
        <f t="shared" si="8"/>
        <v>247500.00000000003</v>
      </c>
      <c r="AP42" s="145">
        <f t="shared" si="26"/>
        <v>52716.666666666664</v>
      </c>
      <c r="AQ42" s="145">
        <f t="shared" si="22"/>
        <v>263583.33333333331</v>
      </c>
      <c r="AR42" s="145">
        <f t="shared" si="23"/>
        <v>51108.333333333336</v>
      </c>
      <c r="AS42" s="145">
        <f t="shared" si="9"/>
        <v>255541.66666666669</v>
      </c>
      <c r="AT42" s="146">
        <f t="shared" si="24"/>
        <v>-3.3333333333139308</v>
      </c>
      <c r="AU42" s="146"/>
      <c r="AW42" s="134">
        <f t="shared" si="10"/>
        <v>247500</v>
      </c>
      <c r="AY42" s="147">
        <f t="shared" si="11"/>
        <v>0</v>
      </c>
    </row>
    <row r="43" spans="1:51" s="134" customFormat="1" ht="51" x14ac:dyDescent="0.2">
      <c r="A43" s="4"/>
      <c r="B43" s="116" t="s">
        <v>87</v>
      </c>
      <c r="C43" s="120" t="s">
        <v>54</v>
      </c>
      <c r="D43" s="116" t="s">
        <v>2</v>
      </c>
      <c r="E43" s="115">
        <v>5</v>
      </c>
      <c r="F43" s="152"/>
      <c r="G43" s="116" t="str">
        <f t="shared" si="39"/>
        <v>4.1.9</v>
      </c>
      <c r="H43" s="120" t="str">
        <f t="shared" si="40"/>
        <v>Suministro e instalación de salida para lámpara. Incluye caja, cableado en alambre de cobre, regata, tornillos y resanes.</v>
      </c>
      <c r="I43" s="116" t="s">
        <v>2</v>
      </c>
      <c r="J43" s="116">
        <v>5</v>
      </c>
      <c r="K43" s="123">
        <v>120000</v>
      </c>
      <c r="L43" s="148">
        <f t="shared" si="41"/>
        <v>600000</v>
      </c>
      <c r="N43" s="116" t="str">
        <f t="shared" si="3"/>
        <v>4.1.9</v>
      </c>
      <c r="O43" s="120" t="str">
        <f t="shared" si="4"/>
        <v>Suministro e instalación de salida para lámpara. Incluye caja, cableado en alambre de cobre, regata, tornillos y resanes.</v>
      </c>
      <c r="P43" s="116" t="s">
        <v>2</v>
      </c>
      <c r="Q43" s="116">
        <v>5</v>
      </c>
      <c r="R43" s="123">
        <v>126000</v>
      </c>
      <c r="S43" s="148">
        <f t="shared" si="42"/>
        <v>630000</v>
      </c>
      <c r="T43" s="60"/>
      <c r="U43" s="116" t="str">
        <f t="shared" si="5"/>
        <v>4.1.9</v>
      </c>
      <c r="V43" s="120" t="str">
        <f t="shared" si="6"/>
        <v>Suministro e instalación de salida para lámpara. Incluye caja, cableado en alambre de cobre, regata, tornillos y resanes.</v>
      </c>
      <c r="W43" s="116" t="s">
        <v>2</v>
      </c>
      <c r="X43" s="116">
        <v>5</v>
      </c>
      <c r="Y43" s="123">
        <v>71500</v>
      </c>
      <c r="Z43" s="148">
        <f t="shared" si="43"/>
        <v>357500</v>
      </c>
      <c r="AA43" s="144"/>
      <c r="AB43" s="123">
        <f t="shared" si="44"/>
        <v>71500</v>
      </c>
      <c r="AC43" s="123"/>
      <c r="AD43" s="123">
        <f t="shared" si="45"/>
        <v>105833</v>
      </c>
      <c r="AE43" s="123"/>
      <c r="AF43" s="123">
        <f t="shared" si="16"/>
        <v>0.48018181818181827</v>
      </c>
      <c r="AG43" s="123"/>
      <c r="AH43" s="123">
        <f t="shared" si="46"/>
        <v>88667</v>
      </c>
      <c r="AJ43" s="123">
        <f t="shared" si="47"/>
        <v>88667</v>
      </c>
      <c r="AK43" s="154">
        <f t="shared" si="51"/>
        <v>443335</v>
      </c>
      <c r="AN43" s="145">
        <f t="shared" si="7"/>
        <v>71500</v>
      </c>
      <c r="AO43" s="145">
        <f t="shared" si="8"/>
        <v>357500</v>
      </c>
      <c r="AP43" s="145">
        <f t="shared" si="26"/>
        <v>105833.33333333333</v>
      </c>
      <c r="AQ43" s="145">
        <f t="shared" si="22"/>
        <v>529166.66666666663</v>
      </c>
      <c r="AR43" s="145">
        <f t="shared" si="23"/>
        <v>88666.666666666657</v>
      </c>
      <c r="AS43" s="145">
        <f t="shared" si="9"/>
        <v>443333.33333333326</v>
      </c>
      <c r="AT43" s="146">
        <f t="shared" si="24"/>
        <v>-1.6666666667442769</v>
      </c>
      <c r="AU43" s="146"/>
      <c r="AW43" s="134">
        <f t="shared" si="10"/>
        <v>357500</v>
      </c>
      <c r="AY43" s="147">
        <f t="shared" si="11"/>
        <v>0</v>
      </c>
    </row>
    <row r="44" spans="1:51" s="134" customFormat="1" ht="38.25" x14ac:dyDescent="0.2">
      <c r="A44" s="4"/>
      <c r="B44" s="116" t="s">
        <v>88</v>
      </c>
      <c r="C44" s="120" t="s">
        <v>55</v>
      </c>
      <c r="D44" s="116" t="s">
        <v>2</v>
      </c>
      <c r="E44" s="115">
        <v>2</v>
      </c>
      <c r="F44" s="152"/>
      <c r="G44" s="116" t="str">
        <f t="shared" si="39"/>
        <v>4.1.10</v>
      </c>
      <c r="H44" s="120" t="str">
        <f t="shared" si="40"/>
        <v>Suministro e instalación de salida para interruptores. Incluye caja, cableado en alamabre, regata, tornillos y resanes.</v>
      </c>
      <c r="I44" s="116" t="s">
        <v>2</v>
      </c>
      <c r="J44" s="116">
        <v>2</v>
      </c>
      <c r="K44" s="123">
        <v>120000</v>
      </c>
      <c r="L44" s="148">
        <f t="shared" si="41"/>
        <v>240000</v>
      </c>
      <c r="N44" s="116" t="str">
        <f t="shared" si="3"/>
        <v>4.1.10</v>
      </c>
      <c r="O44" s="120" t="str">
        <f t="shared" si="4"/>
        <v>Suministro e instalación de salida para interruptores. Incluye caja, cableado en alamabre, regata, tornillos y resanes.</v>
      </c>
      <c r="P44" s="116" t="s">
        <v>2</v>
      </c>
      <c r="Q44" s="116">
        <v>2</v>
      </c>
      <c r="R44" s="123">
        <v>126000</v>
      </c>
      <c r="S44" s="148">
        <f t="shared" si="42"/>
        <v>252000</v>
      </c>
      <c r="T44" s="60"/>
      <c r="U44" s="116" t="str">
        <f t="shared" si="5"/>
        <v>4.1.10</v>
      </c>
      <c r="V44" s="120" t="str">
        <f t="shared" si="6"/>
        <v>Suministro e instalación de salida para interruptores. Incluye caja, cableado en alamabre, regata, tornillos y resanes.</v>
      </c>
      <c r="W44" s="116" t="s">
        <v>2</v>
      </c>
      <c r="X44" s="116">
        <v>2</v>
      </c>
      <c r="Y44" s="123">
        <v>71500</v>
      </c>
      <c r="Z44" s="148">
        <f t="shared" si="43"/>
        <v>143000</v>
      </c>
      <c r="AA44" s="144"/>
      <c r="AB44" s="123">
        <f t="shared" si="44"/>
        <v>71500</v>
      </c>
      <c r="AC44" s="123"/>
      <c r="AD44" s="123">
        <f t="shared" si="45"/>
        <v>105833</v>
      </c>
      <c r="AE44" s="123"/>
      <c r="AF44" s="123">
        <f t="shared" si="16"/>
        <v>0.48018181818181827</v>
      </c>
      <c r="AG44" s="123"/>
      <c r="AH44" s="123">
        <f t="shared" si="46"/>
        <v>88667</v>
      </c>
      <c r="AJ44" s="123">
        <f t="shared" si="47"/>
        <v>88667</v>
      </c>
      <c r="AK44" s="154">
        <f t="shared" si="51"/>
        <v>177334</v>
      </c>
      <c r="AN44" s="145">
        <f t="shared" si="7"/>
        <v>71500</v>
      </c>
      <c r="AO44" s="145">
        <f t="shared" si="8"/>
        <v>143000</v>
      </c>
      <c r="AP44" s="145">
        <f t="shared" si="26"/>
        <v>105833.33333333333</v>
      </c>
      <c r="AQ44" s="145">
        <f t="shared" si="22"/>
        <v>211666.66666666666</v>
      </c>
      <c r="AR44" s="145">
        <f t="shared" si="23"/>
        <v>88666.666666666657</v>
      </c>
      <c r="AS44" s="145">
        <f t="shared" si="9"/>
        <v>177333.33333333331</v>
      </c>
      <c r="AT44" s="146">
        <f t="shared" si="24"/>
        <v>-0.66666666668606922</v>
      </c>
      <c r="AU44" s="146"/>
      <c r="AW44" s="134">
        <f t="shared" si="10"/>
        <v>143000</v>
      </c>
      <c r="AY44" s="147">
        <f t="shared" si="11"/>
        <v>0</v>
      </c>
    </row>
    <row r="45" spans="1:51" s="134" customFormat="1" ht="38.25" x14ac:dyDescent="0.2">
      <c r="A45" s="4"/>
      <c r="B45" s="116" t="s">
        <v>89</v>
      </c>
      <c r="C45" s="120" t="s">
        <v>32</v>
      </c>
      <c r="D45" s="116" t="s">
        <v>2</v>
      </c>
      <c r="E45" s="115">
        <v>3</v>
      </c>
      <c r="F45" s="152"/>
      <c r="G45" s="116" t="str">
        <f t="shared" si="39"/>
        <v>4.1.11</v>
      </c>
      <c r="H45" s="120" t="str">
        <f t="shared" si="40"/>
        <v>Suministro e instalación de salida para tomacorrientes. Incluye caja, cableado en alamabre, regata, tornillos y resanes.</v>
      </c>
      <c r="I45" s="116" t="s">
        <v>2</v>
      </c>
      <c r="J45" s="116">
        <v>3</v>
      </c>
      <c r="K45" s="123">
        <v>120000</v>
      </c>
      <c r="L45" s="148">
        <f t="shared" si="41"/>
        <v>360000</v>
      </c>
      <c r="N45" s="116" t="str">
        <f t="shared" si="3"/>
        <v>4.1.11</v>
      </c>
      <c r="O45" s="120" t="str">
        <f t="shared" si="4"/>
        <v>Suministro e instalación de salida para tomacorrientes. Incluye caja, cableado en alamabre, regata, tornillos y resanes.</v>
      </c>
      <c r="P45" s="116" t="s">
        <v>2</v>
      </c>
      <c r="Q45" s="116">
        <v>3</v>
      </c>
      <c r="R45" s="123">
        <v>126000</v>
      </c>
      <c r="S45" s="148">
        <f t="shared" si="42"/>
        <v>378000</v>
      </c>
      <c r="T45" s="60"/>
      <c r="U45" s="116" t="str">
        <f t="shared" si="5"/>
        <v>4.1.11</v>
      </c>
      <c r="V45" s="120" t="str">
        <f t="shared" si="6"/>
        <v>Suministro e instalación de salida para tomacorrientes. Incluye caja, cableado en alamabre, regata, tornillos y resanes.</v>
      </c>
      <c r="W45" s="116" t="s">
        <v>2</v>
      </c>
      <c r="X45" s="116">
        <v>3</v>
      </c>
      <c r="Y45" s="123">
        <v>71500</v>
      </c>
      <c r="Z45" s="148">
        <f t="shared" si="43"/>
        <v>214500</v>
      </c>
      <c r="AA45" s="144"/>
      <c r="AB45" s="123">
        <f t="shared" si="44"/>
        <v>71500</v>
      </c>
      <c r="AC45" s="123"/>
      <c r="AD45" s="123">
        <f t="shared" si="45"/>
        <v>105833</v>
      </c>
      <c r="AE45" s="123"/>
      <c r="AF45" s="123">
        <f t="shared" si="16"/>
        <v>0.48018181818181827</v>
      </c>
      <c r="AG45" s="123"/>
      <c r="AH45" s="123">
        <f t="shared" si="46"/>
        <v>88667</v>
      </c>
      <c r="AJ45" s="123">
        <f t="shared" si="47"/>
        <v>88667</v>
      </c>
      <c r="AK45" s="154">
        <f t="shared" si="51"/>
        <v>266001</v>
      </c>
      <c r="AN45" s="145">
        <f t="shared" si="7"/>
        <v>71500</v>
      </c>
      <c r="AO45" s="145">
        <f t="shared" si="8"/>
        <v>214500</v>
      </c>
      <c r="AP45" s="145">
        <f t="shared" si="26"/>
        <v>105833.33333333333</v>
      </c>
      <c r="AQ45" s="145">
        <f t="shared" si="22"/>
        <v>317500</v>
      </c>
      <c r="AR45" s="145">
        <f t="shared" si="23"/>
        <v>88666.666666666657</v>
      </c>
      <c r="AS45" s="145">
        <f t="shared" si="9"/>
        <v>266000</v>
      </c>
      <c r="AT45" s="146">
        <f t="shared" si="24"/>
        <v>-1</v>
      </c>
      <c r="AU45" s="146"/>
      <c r="AW45" s="134">
        <f t="shared" si="10"/>
        <v>214500</v>
      </c>
      <c r="AY45" s="147">
        <f t="shared" si="11"/>
        <v>0</v>
      </c>
    </row>
    <row r="46" spans="1:51" s="134" customFormat="1" ht="25.5" x14ac:dyDescent="0.2">
      <c r="A46" s="4"/>
      <c r="B46" s="116" t="s">
        <v>90</v>
      </c>
      <c r="C46" s="120" t="s">
        <v>56</v>
      </c>
      <c r="D46" s="116" t="s">
        <v>2</v>
      </c>
      <c r="E46" s="115">
        <v>2</v>
      </c>
      <c r="F46" s="152"/>
      <c r="G46" s="116" t="str">
        <f t="shared" si="39"/>
        <v>4.1.12</v>
      </c>
      <c r="H46" s="120" t="str">
        <f t="shared" si="40"/>
        <v>Suministro e instalación de tomacorrientes doble con polo a tierra.</v>
      </c>
      <c r="I46" s="116" t="s">
        <v>2</v>
      </c>
      <c r="J46" s="116">
        <v>2</v>
      </c>
      <c r="K46" s="123">
        <v>90000</v>
      </c>
      <c r="L46" s="148">
        <f t="shared" si="41"/>
        <v>180000</v>
      </c>
      <c r="N46" s="116" t="str">
        <f t="shared" si="3"/>
        <v>4.1.12</v>
      </c>
      <c r="O46" s="120" t="str">
        <f t="shared" si="4"/>
        <v>Suministro e instalación de tomacorrientes doble con polo a tierra.</v>
      </c>
      <c r="P46" s="116" t="s">
        <v>2</v>
      </c>
      <c r="Q46" s="116">
        <v>2</v>
      </c>
      <c r="R46" s="123">
        <v>94500</v>
      </c>
      <c r="S46" s="148">
        <f t="shared" si="42"/>
        <v>189000</v>
      </c>
      <c r="T46" s="60"/>
      <c r="U46" s="116" t="str">
        <f t="shared" si="5"/>
        <v>4.1.12</v>
      </c>
      <c r="V46" s="120" t="str">
        <f t="shared" si="6"/>
        <v>Suministro e instalación de tomacorrientes doble con polo a tierra.</v>
      </c>
      <c r="W46" s="116" t="s">
        <v>2</v>
      </c>
      <c r="X46" s="116">
        <v>2</v>
      </c>
      <c r="Y46" s="123">
        <v>71500</v>
      </c>
      <c r="Z46" s="148">
        <f t="shared" si="43"/>
        <v>143000</v>
      </c>
      <c r="AA46" s="144"/>
      <c r="AB46" s="123">
        <f t="shared" si="44"/>
        <v>71500</v>
      </c>
      <c r="AC46" s="123"/>
      <c r="AD46" s="123">
        <f t="shared" si="45"/>
        <v>85333</v>
      </c>
      <c r="AE46" s="123"/>
      <c r="AF46" s="123">
        <f t="shared" si="16"/>
        <v>0.19346853146853138</v>
      </c>
      <c r="AG46" s="123"/>
      <c r="AH46" s="123">
        <f t="shared" si="46"/>
        <v>78417</v>
      </c>
      <c r="AJ46" s="123">
        <f t="shared" si="47"/>
        <v>78417</v>
      </c>
      <c r="AK46" s="154">
        <f t="shared" si="51"/>
        <v>156834</v>
      </c>
      <c r="AN46" s="145">
        <f t="shared" si="7"/>
        <v>71500</v>
      </c>
      <c r="AO46" s="145">
        <f t="shared" si="8"/>
        <v>143000</v>
      </c>
      <c r="AP46" s="145">
        <f t="shared" si="26"/>
        <v>85333.333333333328</v>
      </c>
      <c r="AQ46" s="145">
        <f t="shared" si="22"/>
        <v>170666.66666666666</v>
      </c>
      <c r="AR46" s="145">
        <f t="shared" si="23"/>
        <v>78416.666666666657</v>
      </c>
      <c r="AS46" s="145">
        <f t="shared" si="9"/>
        <v>156833.33333333331</v>
      </c>
      <c r="AT46" s="146">
        <f t="shared" si="24"/>
        <v>-0.66666666668606922</v>
      </c>
      <c r="AU46" s="146"/>
      <c r="AW46" s="134">
        <f t="shared" si="10"/>
        <v>143000</v>
      </c>
      <c r="AY46" s="147">
        <f t="shared" si="11"/>
        <v>0</v>
      </c>
    </row>
    <row r="47" spans="1:51" s="134" customFormat="1" ht="25.5" x14ac:dyDescent="0.2">
      <c r="A47" s="4"/>
      <c r="B47" s="116" t="s">
        <v>91</v>
      </c>
      <c r="C47" s="120" t="s">
        <v>57</v>
      </c>
      <c r="D47" s="116" t="s">
        <v>2</v>
      </c>
      <c r="E47" s="115">
        <v>2</v>
      </c>
      <c r="F47" s="152"/>
      <c r="G47" s="116" t="str">
        <f t="shared" si="39"/>
        <v>4.1.13</v>
      </c>
      <c r="H47" s="120" t="str">
        <f t="shared" si="40"/>
        <v>Suministro e instalación de interruptores sencillos.</v>
      </c>
      <c r="I47" s="116" t="s">
        <v>2</v>
      </c>
      <c r="J47" s="116">
        <v>2</v>
      </c>
      <c r="K47" s="123">
        <v>45000</v>
      </c>
      <c r="L47" s="148">
        <f t="shared" si="41"/>
        <v>90000</v>
      </c>
      <c r="N47" s="116" t="str">
        <f t="shared" si="3"/>
        <v>4.1.13</v>
      </c>
      <c r="O47" s="120" t="str">
        <f t="shared" si="4"/>
        <v>Suministro e instalación de interruptores sencillos.</v>
      </c>
      <c r="P47" s="116" t="s">
        <v>2</v>
      </c>
      <c r="Q47" s="116">
        <v>2</v>
      </c>
      <c r="R47" s="123">
        <v>47250</v>
      </c>
      <c r="S47" s="148">
        <f t="shared" si="42"/>
        <v>94500</v>
      </c>
      <c r="T47" s="60"/>
      <c r="U47" s="116" t="str">
        <f t="shared" si="5"/>
        <v>4.1.13</v>
      </c>
      <c r="V47" s="120" t="str">
        <f t="shared" si="6"/>
        <v>Suministro e instalación de interruptores sencillos.</v>
      </c>
      <c r="W47" s="116" t="s">
        <v>2</v>
      </c>
      <c r="X47" s="116">
        <v>2</v>
      </c>
      <c r="Y47" s="123">
        <v>71500</v>
      </c>
      <c r="Z47" s="148">
        <f t="shared" si="43"/>
        <v>143000</v>
      </c>
      <c r="AA47" s="144"/>
      <c r="AB47" s="123">
        <f t="shared" ref="AB47" si="56">ROUND(MIN(K47,R47),0)</f>
        <v>45000</v>
      </c>
      <c r="AC47" s="123"/>
      <c r="AD47" s="123">
        <f t="shared" ref="AD47" si="57">ROUND(AVERAGE(K47,R47),0)</f>
        <v>46125</v>
      </c>
      <c r="AE47" s="123"/>
      <c r="AF47" s="123">
        <f t="shared" si="16"/>
        <v>2.4999999999999911E-2</v>
      </c>
      <c r="AG47" s="123"/>
      <c r="AH47" s="123">
        <f t="shared" si="46"/>
        <v>45563</v>
      </c>
      <c r="AJ47" s="123">
        <f t="shared" si="47"/>
        <v>45563</v>
      </c>
      <c r="AK47" s="154">
        <f t="shared" si="51"/>
        <v>91126</v>
      </c>
      <c r="AN47" s="145">
        <f>+MIN(K47,R47)</f>
        <v>45000</v>
      </c>
      <c r="AO47" s="145">
        <f t="shared" ref="AO47:AO48" si="58">+AN47*$X47</f>
        <v>90000</v>
      </c>
      <c r="AP47" s="145">
        <f>+AVERAGE(K47,R47)</f>
        <v>46125</v>
      </c>
      <c r="AQ47" s="145">
        <f t="shared" si="22"/>
        <v>92250</v>
      </c>
      <c r="AR47" s="145">
        <f t="shared" si="23"/>
        <v>45562.5</v>
      </c>
      <c r="AS47" s="145">
        <f t="shared" si="9"/>
        <v>91125</v>
      </c>
      <c r="AT47" s="146">
        <f t="shared" si="24"/>
        <v>-1</v>
      </c>
      <c r="AU47" s="146"/>
      <c r="AW47" s="134">
        <f t="shared" si="10"/>
        <v>90000</v>
      </c>
      <c r="AY47" s="147">
        <f t="shared" si="11"/>
        <v>0</v>
      </c>
    </row>
    <row r="48" spans="1:51" s="134" customFormat="1" ht="165.75" x14ac:dyDescent="0.2">
      <c r="A48" s="4"/>
      <c r="B48" s="116" t="s">
        <v>92</v>
      </c>
      <c r="C48" s="120" t="s">
        <v>58</v>
      </c>
      <c r="D48" s="116" t="s">
        <v>11</v>
      </c>
      <c r="E48" s="115">
        <v>8</v>
      </c>
      <c r="F48" s="152"/>
      <c r="G48" s="116" t="str">
        <f t="shared" si="39"/>
        <v>4.1.14</v>
      </c>
      <c r="H48" s="120" t="str">
        <f t="shared" si="40"/>
        <v>Fabricación e instalación de portón corredizo en aluminio en vano de 6 m de largo en dos hojas de 3 m de largo y 2 m de altura con marco en perfil de 3" x 1 1/2", dos verticales intermedios cada 1 m en perfil de 3" x 1", un horizontal intermedio en perfil de 3" x 1" y diez horizontales intermedios en perfil de 1" x 1". Incluye perfil de soporte a muro de 1 3/4" x 4" en ambos lados, sistema de rodamiento, obras civiles para riel inferior, riel inferior, carritos, cerradura de seguridad, manija y anclaje a muros.</v>
      </c>
      <c r="I48" s="116" t="s">
        <v>11</v>
      </c>
      <c r="J48" s="116">
        <v>8</v>
      </c>
      <c r="K48" s="123">
        <v>820000</v>
      </c>
      <c r="L48" s="148">
        <f t="shared" si="41"/>
        <v>6560000</v>
      </c>
      <c r="N48" s="116" t="str">
        <f t="shared" si="3"/>
        <v>4.1.14</v>
      </c>
      <c r="O48" s="120" t="str">
        <f t="shared" si="4"/>
        <v>Fabricación e instalación de portón corredizo en aluminio en vano de 6 m de largo en dos hojas de 3 m de largo y 2 m de altura con marco en perfil de 3" x 1 1/2", dos verticales intermedios cada 1 m en perfil de 3" x 1", un horizontal intermedio en perfil de 3" x 1" y diez horizontales intermedios en perfil de 1" x 1". Incluye perfil de soporte a muro de 1 3/4" x 4" en ambos lados, sistema de rodamiento, obras civiles para riel inferior, riel inferior, carritos, cerradura de seguridad, manija y anclaje a muros.</v>
      </c>
      <c r="P48" s="116" t="s">
        <v>11</v>
      </c>
      <c r="Q48" s="116">
        <v>8</v>
      </c>
      <c r="R48" s="123">
        <v>861000</v>
      </c>
      <c r="S48" s="148">
        <f t="shared" si="42"/>
        <v>6888000</v>
      </c>
      <c r="T48" s="60"/>
      <c r="U48" s="116" t="str">
        <f t="shared" si="5"/>
        <v>4.1.14</v>
      </c>
      <c r="V48" s="120" t="str">
        <f t="shared" si="6"/>
        <v>Fabricación e instalación de portón corredizo en aluminio en vano de 6 m de largo en dos hojas de 3 m de largo y 2 m de altura con marco en perfil de 3" x 1 1/2", dos verticales intermedios cada 1 m en perfil de 3" x 1", un horizontal intermedio en perfil de 3" x 1" y diez horizontales intermedios en perfil de 1" x 1". Incluye perfil de soporte a muro de 1 3/4" x 4" en ambos lados, sistema de rodamiento, obras civiles para riel inferior, riel inferior, carritos, cerradura de seguridad, manija y anclaje a muros.</v>
      </c>
      <c r="W48" s="116" t="s">
        <v>11</v>
      </c>
      <c r="X48" s="116">
        <v>8</v>
      </c>
      <c r="Y48" s="123">
        <v>13200000.000000002</v>
      </c>
      <c r="Z48" s="148">
        <f t="shared" si="43"/>
        <v>105600000.00000001</v>
      </c>
      <c r="AA48" s="144"/>
      <c r="AB48" s="123">
        <f t="shared" ref="AB48" si="59">ROUND(MIN(K48,R48),0)</f>
        <v>820000</v>
      </c>
      <c r="AC48" s="123"/>
      <c r="AD48" s="123">
        <f t="shared" ref="AD48" si="60">ROUND(AVERAGE(K48,R48),0)</f>
        <v>840500</v>
      </c>
      <c r="AE48" s="123"/>
      <c r="AF48" s="123">
        <f t="shared" si="16"/>
        <v>2.4999999999999911E-2</v>
      </c>
      <c r="AG48" s="123"/>
      <c r="AH48" s="123">
        <f t="shared" si="46"/>
        <v>830250</v>
      </c>
      <c r="AJ48" s="123">
        <f t="shared" si="47"/>
        <v>830250</v>
      </c>
      <c r="AK48" s="154">
        <f t="shared" si="51"/>
        <v>6642000</v>
      </c>
      <c r="AN48" s="145">
        <f>+MIN(K48,R48)</f>
        <v>820000</v>
      </c>
      <c r="AO48" s="145">
        <f t="shared" si="58"/>
        <v>6560000</v>
      </c>
      <c r="AP48" s="145">
        <f>+AVERAGE(K48,R48)</f>
        <v>840500</v>
      </c>
      <c r="AQ48" s="145">
        <f t="shared" si="22"/>
        <v>6724000</v>
      </c>
      <c r="AR48" s="145">
        <f t="shared" si="23"/>
        <v>830250</v>
      </c>
      <c r="AS48" s="145">
        <f t="shared" si="9"/>
        <v>6642000</v>
      </c>
      <c r="AT48" s="146">
        <f t="shared" si="24"/>
        <v>0</v>
      </c>
      <c r="AU48" s="146"/>
      <c r="AW48" s="134">
        <f t="shared" si="10"/>
        <v>6560000</v>
      </c>
      <c r="AY48" s="147">
        <f t="shared" si="11"/>
        <v>0</v>
      </c>
    </row>
    <row r="49" spans="1:51" s="134" customFormat="1" ht="140.25" x14ac:dyDescent="0.2">
      <c r="A49" s="4"/>
      <c r="B49" s="116" t="s">
        <v>93</v>
      </c>
      <c r="C49" s="120" t="s">
        <v>59</v>
      </c>
      <c r="D49" s="116" t="s">
        <v>2</v>
      </c>
      <c r="E49" s="115">
        <v>2</v>
      </c>
      <c r="F49" s="152"/>
      <c r="G49" s="116" t="str">
        <f t="shared" si="39"/>
        <v>4.1.15</v>
      </c>
      <c r="H49" s="120" t="str">
        <f t="shared" si="40"/>
        <v>Fabricación e instalación de puertas metálicas cortafuego entamboradas de 1 hoja. Incluye marco en el mismo material, cerradura de embutir con cerrojo accionado con la llave por ambos lados color cromo satinado con backset de 45 mm tipo pico de loro, bisagras, aplicación de anticorrosivo, pintura en esmalte color negro y gato hidráulico. (En la medida se incluye la medida del marco). Medidas de 1 m x 2 m.</v>
      </c>
      <c r="I49" s="116" t="s">
        <v>2</v>
      </c>
      <c r="J49" s="116">
        <v>2</v>
      </c>
      <c r="K49" s="123">
        <v>4500000</v>
      </c>
      <c r="L49" s="148">
        <f t="shared" si="41"/>
        <v>9000000</v>
      </c>
      <c r="N49" s="116" t="str">
        <f t="shared" si="3"/>
        <v>4.1.15</v>
      </c>
      <c r="O49" s="120" t="str">
        <f t="shared" si="4"/>
        <v>Fabricación e instalación de puertas metálicas cortafuego entamboradas de 1 hoja. Incluye marco en el mismo material, cerradura de embutir con cerrojo accionado con la llave por ambos lados color cromo satinado con backset de 45 mm tipo pico de loro, bisagras, aplicación de anticorrosivo, pintura en esmalte color negro y gato hidráulico. (En la medida se incluye la medida del marco). Medidas de 1 m x 2 m.</v>
      </c>
      <c r="P49" s="116" t="s">
        <v>2</v>
      </c>
      <c r="Q49" s="116">
        <v>2</v>
      </c>
      <c r="R49" s="123">
        <v>4725000</v>
      </c>
      <c r="S49" s="148">
        <f t="shared" si="42"/>
        <v>9450000</v>
      </c>
      <c r="T49" s="60"/>
      <c r="U49" s="116" t="str">
        <f t="shared" si="5"/>
        <v>4.1.15</v>
      </c>
      <c r="V49" s="120" t="str">
        <f t="shared" si="6"/>
        <v>Fabricación e instalación de puertas metálicas cortafuego entamboradas de 1 hoja. Incluye marco en el mismo material, cerradura de embutir con cerrojo accionado con la llave por ambos lados color cromo satinado con backset de 45 mm tipo pico de loro, bisagras, aplicación de anticorrosivo, pintura en esmalte color negro y gato hidráulico. (En la medida se incluye la medida del marco). Medidas de 1 m x 2 m.</v>
      </c>
      <c r="W49" s="116" t="s">
        <v>2</v>
      </c>
      <c r="X49" s="116">
        <v>2</v>
      </c>
      <c r="Y49" s="123">
        <v>935000.00000000012</v>
      </c>
      <c r="Z49" s="148">
        <f t="shared" si="43"/>
        <v>1870000.0000000002</v>
      </c>
      <c r="AA49" s="144"/>
      <c r="AB49" s="123">
        <f t="shared" si="44"/>
        <v>935000</v>
      </c>
      <c r="AC49" s="123"/>
      <c r="AD49" s="123">
        <f t="shared" si="45"/>
        <v>3386667</v>
      </c>
      <c r="AE49" s="123"/>
      <c r="AF49" s="123">
        <f t="shared" si="16"/>
        <v>2.6221037433155079</v>
      </c>
      <c r="AG49" s="123"/>
      <c r="AH49" s="123">
        <f t="shared" si="46"/>
        <v>2160834</v>
      </c>
      <c r="AJ49" s="123">
        <f t="shared" si="47"/>
        <v>2160834</v>
      </c>
      <c r="AK49" s="154">
        <f t="shared" si="51"/>
        <v>4321668</v>
      </c>
      <c r="AN49" s="145">
        <f t="shared" si="7"/>
        <v>935000.00000000012</v>
      </c>
      <c r="AO49" s="145">
        <f t="shared" si="8"/>
        <v>1870000.0000000002</v>
      </c>
      <c r="AP49" s="145">
        <f t="shared" si="26"/>
        <v>3386666.6666666665</v>
      </c>
      <c r="AQ49" s="145">
        <f t="shared" si="22"/>
        <v>6773333.333333333</v>
      </c>
      <c r="AR49" s="145">
        <f t="shared" si="23"/>
        <v>2160833.3333333335</v>
      </c>
      <c r="AS49" s="145">
        <f t="shared" si="9"/>
        <v>4321666.666666667</v>
      </c>
      <c r="AT49" s="146">
        <f t="shared" si="24"/>
        <v>-1.3333333330228925</v>
      </c>
      <c r="AU49" s="146"/>
      <c r="AW49" s="134">
        <f t="shared" si="10"/>
        <v>1870000</v>
      </c>
      <c r="AY49" s="147">
        <f t="shared" si="11"/>
        <v>0</v>
      </c>
    </row>
    <row r="50" spans="1:51" s="134" customFormat="1" ht="15" x14ac:dyDescent="0.2">
      <c r="A50" s="4"/>
      <c r="B50" s="100" t="s">
        <v>94</v>
      </c>
      <c r="C50" s="112" t="s">
        <v>40</v>
      </c>
      <c r="D50" s="112"/>
      <c r="E50" s="112"/>
      <c r="F50" s="140"/>
      <c r="G50" s="100" t="str">
        <f t="shared" si="1"/>
        <v>4.2</v>
      </c>
      <c r="H50" s="112" t="str">
        <f t="shared" si="2"/>
        <v>Orden y aseo</v>
      </c>
      <c r="I50" s="100"/>
      <c r="J50" s="100"/>
      <c r="K50" s="124"/>
      <c r="L50" s="129">
        <f>+SUM(L51:L52)</f>
        <v>1400000</v>
      </c>
      <c r="N50" s="100" t="str">
        <f t="shared" si="3"/>
        <v>4.2</v>
      </c>
      <c r="O50" s="112" t="str">
        <f t="shared" si="4"/>
        <v>Orden y aseo</v>
      </c>
      <c r="P50" s="100"/>
      <c r="Q50" s="100"/>
      <c r="R50" s="124"/>
      <c r="S50" s="129">
        <f>+SUM(S51:S52)</f>
        <v>1470000</v>
      </c>
      <c r="T50" s="143"/>
      <c r="U50" s="100" t="str">
        <f t="shared" si="5"/>
        <v>4.2</v>
      </c>
      <c r="V50" s="112" t="str">
        <f t="shared" si="6"/>
        <v>Orden y aseo</v>
      </c>
      <c r="W50" s="100"/>
      <c r="X50" s="100"/>
      <c r="Y50" s="124"/>
      <c r="Z50" s="129">
        <f>+SUM(Z51:Z52)</f>
        <v>264000</v>
      </c>
      <c r="AA50" s="144"/>
      <c r="AB50" s="124">
        <f t="shared" si="15"/>
        <v>0</v>
      </c>
      <c r="AC50" s="124"/>
      <c r="AD50" s="124" t="e">
        <f t="shared" si="25"/>
        <v>#DIV/0!</v>
      </c>
      <c r="AE50" s="124"/>
      <c r="AF50" s="124" t="e">
        <f t="shared" si="16"/>
        <v>#DIV/0!</v>
      </c>
      <c r="AG50" s="124"/>
      <c r="AH50" s="124" t="e">
        <f t="shared" si="17"/>
        <v>#DIV/0!</v>
      </c>
      <c r="AJ50" s="124">
        <f t="shared" ref="AJ50" si="61">ROUND(AB50,0)</f>
        <v>0</v>
      </c>
      <c r="AK50" s="129">
        <f>+SUM(AK51:AK52)</f>
        <v>1417500</v>
      </c>
      <c r="AN50" s="145">
        <f t="shared" si="7"/>
        <v>0</v>
      </c>
      <c r="AO50" s="145">
        <f t="shared" si="8"/>
        <v>0</v>
      </c>
      <c r="AP50" s="145"/>
      <c r="AQ50" s="145"/>
      <c r="AR50" s="145"/>
      <c r="AS50" s="145">
        <f t="shared" si="9"/>
        <v>0</v>
      </c>
      <c r="AT50" s="146"/>
      <c r="AU50" s="146"/>
      <c r="AW50" s="134">
        <f t="shared" si="10"/>
        <v>0</v>
      </c>
      <c r="AY50" s="147">
        <f t="shared" si="11"/>
        <v>0</v>
      </c>
    </row>
    <row r="51" spans="1:51" s="134" customFormat="1" ht="15" x14ac:dyDescent="0.2">
      <c r="A51" s="4"/>
      <c r="B51" s="116" t="s">
        <v>95</v>
      </c>
      <c r="C51" s="120" t="s">
        <v>41</v>
      </c>
      <c r="D51" s="120" t="s">
        <v>60</v>
      </c>
      <c r="E51" s="120">
        <v>1</v>
      </c>
      <c r="F51" s="140"/>
      <c r="G51" s="116" t="str">
        <f t="shared" si="1"/>
        <v>4.2.1</v>
      </c>
      <c r="H51" s="120" t="str">
        <f t="shared" si="2"/>
        <v>Orden y aseo final.</v>
      </c>
      <c r="I51" s="116" t="s">
        <v>60</v>
      </c>
      <c r="J51" s="116">
        <v>1</v>
      </c>
      <c r="K51" s="123">
        <v>650000</v>
      </c>
      <c r="L51" s="148">
        <f t="shared" si="38"/>
        <v>650000</v>
      </c>
      <c r="N51" s="116" t="str">
        <f t="shared" si="3"/>
        <v>4.2.1</v>
      </c>
      <c r="O51" s="120" t="str">
        <f t="shared" si="4"/>
        <v>Orden y aseo final.</v>
      </c>
      <c r="P51" s="116" t="s">
        <v>60</v>
      </c>
      <c r="Q51" s="116">
        <v>1</v>
      </c>
      <c r="R51" s="123">
        <v>682500</v>
      </c>
      <c r="S51" s="148">
        <f t="shared" si="13"/>
        <v>682500</v>
      </c>
      <c r="T51" s="143"/>
      <c r="U51" s="116" t="str">
        <f t="shared" si="5"/>
        <v>4.2.1</v>
      </c>
      <c r="V51" s="120" t="str">
        <f t="shared" si="6"/>
        <v>Orden y aseo final.</v>
      </c>
      <c r="W51" s="116" t="s">
        <v>60</v>
      </c>
      <c r="X51" s="116">
        <v>1</v>
      </c>
      <c r="Y51" s="123">
        <v>132000</v>
      </c>
      <c r="Z51" s="148">
        <f t="shared" si="14"/>
        <v>132000</v>
      </c>
      <c r="AA51" s="144"/>
      <c r="AB51" s="123">
        <f t="shared" ref="AB51:AB52" si="62">ROUND(MIN(K51,R51),0)</f>
        <v>650000</v>
      </c>
      <c r="AC51" s="123"/>
      <c r="AD51" s="123">
        <f t="shared" ref="AD51:AD52" si="63">ROUND(AVERAGE(K51,R51),0)</f>
        <v>666250</v>
      </c>
      <c r="AE51" s="123"/>
      <c r="AF51" s="123"/>
      <c r="AG51" s="123"/>
      <c r="AH51" s="123">
        <f t="shared" si="17"/>
        <v>658125</v>
      </c>
      <c r="AJ51" s="123">
        <f t="shared" ref="AJ51:AJ52" si="64">ROUND(AH51,0)</f>
        <v>658125</v>
      </c>
      <c r="AK51" s="154">
        <f t="shared" si="51"/>
        <v>658125</v>
      </c>
      <c r="AN51" s="145">
        <f>+MIN(K51,R51)</f>
        <v>650000</v>
      </c>
      <c r="AO51" s="145">
        <f t="shared" ref="AO51:AO52" si="65">+AN51*$X51</f>
        <v>650000</v>
      </c>
      <c r="AP51" s="145">
        <f>+AVERAGE(K51,R51)</f>
        <v>666250</v>
      </c>
      <c r="AQ51" s="145">
        <f t="shared" si="22"/>
        <v>666250</v>
      </c>
      <c r="AR51" s="145">
        <f t="shared" si="23"/>
        <v>658125</v>
      </c>
      <c r="AS51" s="145">
        <f t="shared" si="9"/>
        <v>658125</v>
      </c>
      <c r="AT51" s="146">
        <f t="shared" si="24"/>
        <v>0</v>
      </c>
      <c r="AU51" s="146"/>
      <c r="AW51" s="134">
        <f t="shared" si="10"/>
        <v>650000</v>
      </c>
      <c r="AY51" s="147">
        <f t="shared" si="11"/>
        <v>0</v>
      </c>
    </row>
    <row r="52" spans="1:51" s="134" customFormat="1" ht="26.25" thickBot="1" x14ac:dyDescent="0.25">
      <c r="A52" s="4"/>
      <c r="B52" s="116" t="s">
        <v>96</v>
      </c>
      <c r="C52" s="120" t="s">
        <v>42</v>
      </c>
      <c r="D52" s="120" t="s">
        <v>60</v>
      </c>
      <c r="E52" s="120">
        <v>1</v>
      </c>
      <c r="F52" s="140"/>
      <c r="G52" s="116" t="str">
        <f t="shared" si="1"/>
        <v>4.2.2</v>
      </c>
      <c r="H52" s="120" t="str">
        <f t="shared" si="2"/>
        <v>Retiro de todos los escombros producto de todas las actividades contempladas.</v>
      </c>
      <c r="I52" s="116" t="s">
        <v>60</v>
      </c>
      <c r="J52" s="116">
        <v>1</v>
      </c>
      <c r="K52" s="123">
        <v>750000</v>
      </c>
      <c r="L52" s="148">
        <f t="shared" si="38"/>
        <v>750000</v>
      </c>
      <c r="N52" s="116" t="str">
        <f t="shared" si="3"/>
        <v>4.2.2</v>
      </c>
      <c r="O52" s="120" t="str">
        <f t="shared" si="4"/>
        <v>Retiro de todos los escombros producto de todas las actividades contempladas.</v>
      </c>
      <c r="P52" s="116" t="s">
        <v>60</v>
      </c>
      <c r="Q52" s="116">
        <v>1</v>
      </c>
      <c r="R52" s="123">
        <v>787500</v>
      </c>
      <c r="S52" s="148">
        <f t="shared" si="13"/>
        <v>787500</v>
      </c>
      <c r="T52" s="143"/>
      <c r="U52" s="116" t="str">
        <f t="shared" si="5"/>
        <v>4.2.2</v>
      </c>
      <c r="V52" s="120" t="str">
        <f t="shared" si="6"/>
        <v>Retiro de todos los escombros producto de todas las actividades contempladas.</v>
      </c>
      <c r="W52" s="116" t="s">
        <v>60</v>
      </c>
      <c r="X52" s="116">
        <v>1</v>
      </c>
      <c r="Y52" s="123">
        <v>132000</v>
      </c>
      <c r="Z52" s="148">
        <f t="shared" si="14"/>
        <v>132000</v>
      </c>
      <c r="AA52" s="144"/>
      <c r="AB52" s="123">
        <f t="shared" si="62"/>
        <v>750000</v>
      </c>
      <c r="AC52" s="123"/>
      <c r="AD52" s="123">
        <f t="shared" si="63"/>
        <v>768750</v>
      </c>
      <c r="AE52" s="123"/>
      <c r="AF52" s="123">
        <f t="shared" si="16"/>
        <v>2.4999999999999911E-2</v>
      </c>
      <c r="AG52" s="123"/>
      <c r="AH52" s="123">
        <f t="shared" si="17"/>
        <v>759375</v>
      </c>
      <c r="AJ52" s="123">
        <f t="shared" si="64"/>
        <v>759375</v>
      </c>
      <c r="AK52" s="154">
        <f t="shared" si="51"/>
        <v>759375</v>
      </c>
      <c r="AN52" s="145">
        <f>+MIN(K52,R52)</f>
        <v>750000</v>
      </c>
      <c r="AO52" s="145">
        <f t="shared" si="65"/>
        <v>750000</v>
      </c>
      <c r="AP52" s="145">
        <f>+AVERAGE(K52,R52)</f>
        <v>768750</v>
      </c>
      <c r="AQ52" s="145">
        <f t="shared" si="22"/>
        <v>768750</v>
      </c>
      <c r="AR52" s="145">
        <f t="shared" si="23"/>
        <v>759375</v>
      </c>
      <c r="AS52" s="145">
        <f t="shared" si="9"/>
        <v>759375</v>
      </c>
      <c r="AT52" s="146">
        <f t="shared" si="24"/>
        <v>0</v>
      </c>
      <c r="AU52" s="146"/>
      <c r="AW52" s="134">
        <f t="shared" si="10"/>
        <v>750000</v>
      </c>
      <c r="AY52" s="147">
        <f t="shared" si="11"/>
        <v>0</v>
      </c>
    </row>
    <row r="53" spans="1:51" ht="15.75" thickBot="1" x14ac:dyDescent="0.25">
      <c r="A53" s="4"/>
      <c r="B53" s="100"/>
      <c r="C53" s="104" t="s">
        <v>4</v>
      </c>
      <c r="D53" s="101"/>
      <c r="E53" s="103"/>
      <c r="F53" s="59"/>
      <c r="G53" s="104" t="s">
        <v>4</v>
      </c>
      <c r="H53" s="105"/>
      <c r="I53" s="106"/>
      <c r="J53" s="106"/>
      <c r="K53" s="107"/>
      <c r="L53" s="130" t="e">
        <f>+L11+L24+#REF!+L29+L33</f>
        <v>#REF!</v>
      </c>
      <c r="M53" s="33"/>
      <c r="N53" s="104" t="s">
        <v>4</v>
      </c>
      <c r="O53" s="105"/>
      <c r="P53" s="106"/>
      <c r="Q53" s="106"/>
      <c r="R53" s="107"/>
      <c r="S53" s="130" t="e">
        <f>+S11+S24+#REF!+S29+S33</f>
        <v>#REF!</v>
      </c>
      <c r="T53" s="65"/>
      <c r="U53" s="104" t="s">
        <v>4</v>
      </c>
      <c r="V53" s="105"/>
      <c r="W53" s="106"/>
      <c r="X53" s="106"/>
      <c r="Y53" s="107"/>
      <c r="Z53" s="130" t="e">
        <f>+Z11+Z24+#REF!+Z29+Z33</f>
        <v>#REF!</v>
      </c>
      <c r="AA53" s="34"/>
      <c r="AB53" s="6"/>
      <c r="AC53" s="62"/>
      <c r="AD53" s="7"/>
      <c r="AE53" s="62"/>
      <c r="AF53" s="8"/>
      <c r="AG53" s="62"/>
      <c r="AH53" s="6"/>
      <c r="AJ53" s="110" t="s">
        <v>4</v>
      </c>
      <c r="AK53" s="130">
        <f>+AK11+AK24+AK29+AK33</f>
        <v>52613374.600000001</v>
      </c>
      <c r="AN53" s="135"/>
      <c r="AO53" s="135">
        <f>SUM(AO12:AO52)</f>
        <v>34569260</v>
      </c>
      <c r="AP53" s="135"/>
      <c r="AQ53" s="135">
        <f>SUM(AQ12:AQ52)</f>
        <v>41772536.166666672</v>
      </c>
      <c r="AR53" s="135">
        <f>SUM(AR12:AR52)</f>
        <v>9379437.5</v>
      </c>
      <c r="AS53" s="135">
        <f>SUM(AS12:AS52)</f>
        <v>52613182.083333336</v>
      </c>
      <c r="AT53" s="135"/>
      <c r="AU53" s="135">
        <f>SUM(AU12:AU52)</f>
        <v>0</v>
      </c>
      <c r="AV53" s="135">
        <f>SUM(AV12:AV52)</f>
        <v>0</v>
      </c>
      <c r="AW53" s="135">
        <f>SUM(AW12:AW52)</f>
        <v>48715780</v>
      </c>
    </row>
    <row r="54" spans="1:51" ht="26.25" thickBot="1" x14ac:dyDescent="0.25">
      <c r="A54" s="4"/>
      <c r="B54" s="102"/>
      <c r="C54" s="66" t="s">
        <v>5</v>
      </c>
      <c r="D54" s="68"/>
      <c r="E54" s="69"/>
      <c r="F54" s="61"/>
      <c r="G54" s="66" t="s">
        <v>5</v>
      </c>
      <c r="H54" s="67"/>
      <c r="I54" s="68"/>
      <c r="J54" s="69"/>
      <c r="K54" s="68"/>
      <c r="L54" s="131" t="e">
        <f>SUM(L55:L58)</f>
        <v>#REF!</v>
      </c>
      <c r="M54" s="33"/>
      <c r="N54" s="66" t="s">
        <v>5</v>
      </c>
      <c r="O54" s="67"/>
      <c r="P54" s="68"/>
      <c r="Q54" s="69"/>
      <c r="R54" s="68"/>
      <c r="S54" s="64" t="e">
        <f>SUM(S55:S58)</f>
        <v>#REF!</v>
      </c>
      <c r="T54" s="65"/>
      <c r="U54" s="66" t="s">
        <v>5</v>
      </c>
      <c r="V54" s="67"/>
      <c r="W54" s="68"/>
      <c r="X54" s="69"/>
      <c r="Y54" s="68"/>
      <c r="Z54" s="64" t="e">
        <f>SUM(Z55:Z58)</f>
        <v>#REF!</v>
      </c>
      <c r="AA54" s="34"/>
      <c r="AB54" s="6"/>
      <c r="AC54" s="62"/>
      <c r="AD54" s="7"/>
      <c r="AE54" s="62"/>
      <c r="AF54" s="23"/>
      <c r="AG54" s="62"/>
      <c r="AH54" s="6"/>
      <c r="AJ54" s="22" t="s">
        <v>5</v>
      </c>
      <c r="AK54" s="64">
        <f>SUM(AK55:AK58)</f>
        <v>15319261</v>
      </c>
      <c r="AN54" s="135"/>
      <c r="AO54" s="135"/>
      <c r="AP54" s="135"/>
      <c r="AQ54" s="135"/>
      <c r="AR54" s="135"/>
      <c r="AS54" s="135"/>
      <c r="AT54" s="135"/>
      <c r="AU54" s="24"/>
    </row>
    <row r="55" spans="1:51" ht="15" x14ac:dyDescent="0.2">
      <c r="A55" s="4"/>
      <c r="B55" s="102"/>
      <c r="C55" s="71" t="s">
        <v>6</v>
      </c>
      <c r="D55" s="72"/>
      <c r="E55" s="73"/>
      <c r="F55" s="61"/>
      <c r="G55" s="70"/>
      <c r="H55" s="71" t="s">
        <v>6</v>
      </c>
      <c r="I55" s="72">
        <v>0.23</v>
      </c>
      <c r="J55" s="73"/>
      <c r="K55" s="74"/>
      <c r="L55" s="77" t="e">
        <f>L53*I55</f>
        <v>#REF!</v>
      </c>
      <c r="M55" s="33"/>
      <c r="N55" s="70"/>
      <c r="O55" s="71" t="s">
        <v>6</v>
      </c>
      <c r="P55" s="122">
        <v>0.24</v>
      </c>
      <c r="Q55" s="73"/>
      <c r="R55" s="74"/>
      <c r="S55" s="75" t="e">
        <f>S53*P55</f>
        <v>#REF!</v>
      </c>
      <c r="T55" s="76"/>
      <c r="U55" s="70"/>
      <c r="V55" s="71" t="s">
        <v>6</v>
      </c>
      <c r="W55" s="72">
        <v>0.21</v>
      </c>
      <c r="X55" s="73"/>
      <c r="Y55" s="74"/>
      <c r="Z55" s="75" t="e">
        <f>Z53*W55</f>
        <v>#REF!</v>
      </c>
      <c r="AA55" s="34"/>
      <c r="AB55" s="109">
        <f>MIN(I55,P55,W55)</f>
        <v>0.21</v>
      </c>
      <c r="AC55" s="108"/>
      <c r="AD55" s="109">
        <f>AVERAGE(I55,P55,W55)</f>
        <v>0.22666666666666666</v>
      </c>
      <c r="AE55" s="108"/>
      <c r="AF55" s="109">
        <f t="shared" ref="AF55:AF58" si="66">($AD55/$AB55)-1</f>
        <v>7.9365079365079305E-2</v>
      </c>
      <c r="AG55" s="108"/>
      <c r="AH55" s="109">
        <f>AVERAGE(AB55,AD55)</f>
        <v>0.21833333333333332</v>
      </c>
      <c r="AJ55" s="26">
        <f>+AH55</f>
        <v>0.21833333333333332</v>
      </c>
      <c r="AK55" s="77">
        <f>ROUND(AK53*AJ55,0)</f>
        <v>11487253</v>
      </c>
      <c r="AN55" s="138">
        <f>+MIN(I55,P55,W55)</f>
        <v>0.21</v>
      </c>
      <c r="AO55" s="135">
        <f>+AN55*$AO53</f>
        <v>7259544.5999999996</v>
      </c>
      <c r="AP55" s="135">
        <f>+AVERAGE(I55,P55,W55)</f>
        <v>0.22666666666666666</v>
      </c>
      <c r="AQ55" s="135">
        <f>+AP55*$AQ53</f>
        <v>9468441.5311111119</v>
      </c>
      <c r="AR55" s="135">
        <f t="shared" si="23"/>
        <v>0.21833333333333332</v>
      </c>
      <c r="AS55" s="135">
        <f>+AR55*$AS53</f>
        <v>11487211.421527779</v>
      </c>
      <c r="AT55" s="135"/>
      <c r="AU55" s="24"/>
      <c r="AW55" s="136">
        <f>+AB55*$AW$53</f>
        <v>10230313.799999999</v>
      </c>
    </row>
    <row r="56" spans="1:51" ht="15" customHeight="1" x14ac:dyDescent="0.2">
      <c r="A56" s="4"/>
      <c r="B56" s="78"/>
      <c r="C56" s="79" t="s">
        <v>7</v>
      </c>
      <c r="D56" s="80"/>
      <c r="E56" s="58"/>
      <c r="F56" s="61"/>
      <c r="G56" s="78"/>
      <c r="H56" s="79" t="s">
        <v>7</v>
      </c>
      <c r="I56" s="80">
        <v>0.02</v>
      </c>
      <c r="J56" s="58"/>
      <c r="K56" s="81"/>
      <c r="L56" s="83" t="e">
        <f>L53*I56</f>
        <v>#REF!</v>
      </c>
      <c r="M56" s="33"/>
      <c r="N56" s="78"/>
      <c r="O56" s="79" t="s">
        <v>7</v>
      </c>
      <c r="P56" s="80">
        <v>0.02</v>
      </c>
      <c r="Q56" s="58"/>
      <c r="R56" s="81"/>
      <c r="S56" s="82" t="e">
        <f>S53*P56</f>
        <v>#REF!</v>
      </c>
      <c r="T56" s="76"/>
      <c r="U56" s="78"/>
      <c r="V56" s="79" t="s">
        <v>7</v>
      </c>
      <c r="W56" s="80">
        <v>0.01</v>
      </c>
      <c r="X56" s="58"/>
      <c r="Y56" s="81"/>
      <c r="Z56" s="82" t="e">
        <f>Z53*W56</f>
        <v>#REF!</v>
      </c>
      <c r="AA56" s="34"/>
      <c r="AB56" s="109">
        <f t="shared" ref="AB56:AB58" si="67">MIN(I56,P56,W56)</f>
        <v>0.01</v>
      </c>
      <c r="AC56" s="98"/>
      <c r="AD56" s="109">
        <f t="shared" ref="AD56:AD58" si="68">AVERAGE(I56,P56,W56)</f>
        <v>1.6666666666666666E-2</v>
      </c>
      <c r="AE56" s="98"/>
      <c r="AF56" s="97">
        <f t="shared" si="66"/>
        <v>0.66666666666666652</v>
      </c>
      <c r="AG56" s="98"/>
      <c r="AH56" s="109">
        <f t="shared" ref="AH56:AH58" si="69">AVERAGE(AB56,AD56)</f>
        <v>1.3333333333333332E-2</v>
      </c>
      <c r="AJ56" s="26">
        <f>+AH56</f>
        <v>1.3333333333333332E-2</v>
      </c>
      <c r="AK56" s="83">
        <f>ROUND(AK53*AJ56,0)</f>
        <v>701512</v>
      </c>
      <c r="AN56" s="138">
        <f t="shared" ref="AN56:AN58" si="70">+MIN(I56,P56,W56)</f>
        <v>0.01</v>
      </c>
      <c r="AO56" s="135">
        <f>+AN56*$AO53</f>
        <v>345692.60000000003</v>
      </c>
      <c r="AP56" s="135">
        <f t="shared" ref="AP56:AP58" si="71">+AVERAGE(I56,P56,W56)</f>
        <v>1.6666666666666666E-2</v>
      </c>
      <c r="AQ56" s="135">
        <f>+AP56*$AQ53</f>
        <v>696208.93611111119</v>
      </c>
      <c r="AR56" s="135">
        <f t="shared" si="23"/>
        <v>1.3333333333333332E-2</v>
      </c>
      <c r="AS56" s="135">
        <f>+AR56*$AS53</f>
        <v>701509.0944444444</v>
      </c>
      <c r="AT56" s="135"/>
      <c r="AU56" s="24"/>
      <c r="AW56" s="136">
        <f t="shared" ref="AW56:AW59" si="72">+AB56*$AW$53</f>
        <v>487157.8</v>
      </c>
    </row>
    <row r="57" spans="1:51" ht="15" x14ac:dyDescent="0.2">
      <c r="A57" s="4"/>
      <c r="B57" s="78"/>
      <c r="C57" s="79" t="s">
        <v>8</v>
      </c>
      <c r="D57" s="80"/>
      <c r="E57" s="58"/>
      <c r="F57" s="61"/>
      <c r="G57" s="78"/>
      <c r="H57" s="79" t="s">
        <v>8</v>
      </c>
      <c r="I57" s="80">
        <v>0.05</v>
      </c>
      <c r="J57" s="58"/>
      <c r="K57" s="81"/>
      <c r="L57" s="83" t="e">
        <f>L53*I57</f>
        <v>#REF!</v>
      </c>
      <c r="M57" s="33"/>
      <c r="N57" s="78"/>
      <c r="O57" s="79" t="s">
        <v>8</v>
      </c>
      <c r="P57" s="80">
        <v>0.05</v>
      </c>
      <c r="Q57" s="58"/>
      <c r="R57" s="81"/>
      <c r="S57" s="82" t="e">
        <f>S53*P57</f>
        <v>#REF!</v>
      </c>
      <c r="T57" s="76"/>
      <c r="U57" s="78"/>
      <c r="V57" s="79" t="s">
        <v>8</v>
      </c>
      <c r="W57" s="80">
        <v>0.05</v>
      </c>
      <c r="X57" s="58"/>
      <c r="Y57" s="81"/>
      <c r="Z57" s="82" t="e">
        <f>Z53*W57</f>
        <v>#REF!</v>
      </c>
      <c r="AA57" s="34"/>
      <c r="AB57" s="109">
        <f t="shared" si="67"/>
        <v>0.05</v>
      </c>
      <c r="AC57" s="98"/>
      <c r="AD57" s="109">
        <f t="shared" si="68"/>
        <v>5.000000000000001E-2</v>
      </c>
      <c r="AE57" s="98"/>
      <c r="AF57" s="97">
        <f t="shared" si="66"/>
        <v>0</v>
      </c>
      <c r="AG57" s="98"/>
      <c r="AH57" s="109">
        <f t="shared" si="69"/>
        <v>0.05</v>
      </c>
      <c r="AJ57" s="26">
        <f>+AH57</f>
        <v>0.05</v>
      </c>
      <c r="AK57" s="83">
        <f>ROUND(AK53*AJ57,0)</f>
        <v>2630669</v>
      </c>
      <c r="AN57" s="138">
        <f t="shared" si="70"/>
        <v>0.05</v>
      </c>
      <c r="AO57" s="135">
        <f>+AN57*$AO53</f>
        <v>1728463</v>
      </c>
      <c r="AP57" s="135">
        <f t="shared" si="71"/>
        <v>5.000000000000001E-2</v>
      </c>
      <c r="AQ57" s="135">
        <f>+AP57*$AQ53</f>
        <v>2088626.808333334</v>
      </c>
      <c r="AR57" s="135">
        <f t="shared" ref="AR57:AR59" si="73">+(AN57+AP57)/2</f>
        <v>0.05</v>
      </c>
      <c r="AS57" s="135">
        <f>+AR57*$AS53</f>
        <v>2630659.104166667</v>
      </c>
      <c r="AT57" s="135"/>
      <c r="AU57" s="24"/>
      <c r="AW57" s="136">
        <f t="shared" si="72"/>
        <v>2435789</v>
      </c>
    </row>
    <row r="58" spans="1:51" ht="15.75" thickBot="1" x14ac:dyDescent="0.25">
      <c r="A58" s="4"/>
      <c r="B58" s="84"/>
      <c r="C58" s="63" t="s">
        <v>9</v>
      </c>
      <c r="D58" s="85"/>
      <c r="E58" s="86"/>
      <c r="F58" s="61"/>
      <c r="G58" s="84"/>
      <c r="H58" s="63" t="s">
        <v>9</v>
      </c>
      <c r="I58" s="85">
        <v>0.19</v>
      </c>
      <c r="J58" s="86"/>
      <c r="K58" s="87"/>
      <c r="L58" s="89" t="e">
        <f>L57*I58</f>
        <v>#REF!</v>
      </c>
      <c r="M58" s="33"/>
      <c r="N58" s="84"/>
      <c r="O58" s="63" t="s">
        <v>9</v>
      </c>
      <c r="P58" s="85">
        <v>0.19</v>
      </c>
      <c r="Q58" s="86"/>
      <c r="R58" s="87"/>
      <c r="S58" s="88" t="e">
        <f>S57*P58</f>
        <v>#REF!</v>
      </c>
      <c r="T58" s="76"/>
      <c r="U58" s="84"/>
      <c r="V58" s="63" t="s">
        <v>9</v>
      </c>
      <c r="W58" s="85">
        <v>0.19</v>
      </c>
      <c r="X58" s="86"/>
      <c r="Y58" s="87"/>
      <c r="Z58" s="88" t="e">
        <f>Z57*W58</f>
        <v>#REF!</v>
      </c>
      <c r="AA58" s="34"/>
      <c r="AB58" s="109">
        <f t="shared" si="67"/>
        <v>0.19</v>
      </c>
      <c r="AC58" s="108"/>
      <c r="AD58" s="109">
        <f t="shared" si="68"/>
        <v>0.19000000000000003</v>
      </c>
      <c r="AE58" s="108"/>
      <c r="AF58" s="109">
        <f t="shared" si="66"/>
        <v>0</v>
      </c>
      <c r="AG58" s="108"/>
      <c r="AH58" s="109">
        <f t="shared" si="69"/>
        <v>0.19</v>
      </c>
      <c r="AI58" s="33"/>
      <c r="AJ58" s="27">
        <v>0.19</v>
      </c>
      <c r="AK58" s="89">
        <f>ROUND(AK57*AJ58,0)</f>
        <v>499827</v>
      </c>
      <c r="AN58" s="138">
        <f t="shared" si="70"/>
        <v>0.19</v>
      </c>
      <c r="AO58" s="135">
        <f>+AN58*$AO57</f>
        <v>328407.97000000003</v>
      </c>
      <c r="AP58" s="135">
        <f t="shared" si="71"/>
        <v>0.19000000000000003</v>
      </c>
      <c r="AQ58" s="135">
        <f>+AP58*$AQ57</f>
        <v>396839.09358333354</v>
      </c>
      <c r="AR58" s="135">
        <f t="shared" si="73"/>
        <v>0.19</v>
      </c>
      <c r="AS58" s="135">
        <f>+AR58*$AS57</f>
        <v>499825.22979166673</v>
      </c>
      <c r="AT58" s="135"/>
      <c r="AU58" s="24"/>
      <c r="AW58" s="136">
        <f>+AB58*$AW$57</f>
        <v>462799.91000000003</v>
      </c>
    </row>
    <row r="59" spans="1:51" ht="15.75" thickBot="1" x14ac:dyDescent="0.25">
      <c r="A59" s="4"/>
      <c r="B59" s="90" t="s">
        <v>13</v>
      </c>
      <c r="C59" s="91"/>
      <c r="D59" s="92"/>
      <c r="E59" s="93"/>
      <c r="F59" s="61"/>
      <c r="G59" s="90" t="s">
        <v>13</v>
      </c>
      <c r="H59" s="91"/>
      <c r="I59" s="92"/>
      <c r="J59" s="93"/>
      <c r="K59" s="92"/>
      <c r="L59" s="94" t="e">
        <f>L53+L54</f>
        <v>#REF!</v>
      </c>
      <c r="M59" s="33"/>
      <c r="N59" s="90" t="s">
        <v>13</v>
      </c>
      <c r="O59" s="91"/>
      <c r="P59" s="92"/>
      <c r="Q59" s="93"/>
      <c r="R59" s="92"/>
      <c r="S59" s="94" t="e">
        <f>S53+S54</f>
        <v>#REF!</v>
      </c>
      <c r="T59" s="95"/>
      <c r="U59" s="90" t="s">
        <v>13</v>
      </c>
      <c r="V59" s="91"/>
      <c r="W59" s="92"/>
      <c r="X59" s="93"/>
      <c r="Y59" s="92"/>
      <c r="Z59" s="94" t="e">
        <f>Z53+Z54</f>
        <v>#REF!</v>
      </c>
      <c r="AA59" s="34"/>
      <c r="AB59" s="6"/>
      <c r="AC59" s="62"/>
      <c r="AD59" s="7"/>
      <c r="AE59" s="62"/>
      <c r="AF59" s="8"/>
      <c r="AG59" s="62"/>
      <c r="AH59" s="6"/>
      <c r="AI59" s="33"/>
      <c r="AJ59" s="15" t="s">
        <v>25</v>
      </c>
      <c r="AK59" s="94">
        <f>AK53+AK54</f>
        <v>67932635.599999994</v>
      </c>
      <c r="AN59" s="135"/>
      <c r="AO59" s="135"/>
      <c r="AP59" s="135"/>
      <c r="AQ59" s="137"/>
      <c r="AR59" s="135">
        <f t="shared" si="73"/>
        <v>0</v>
      </c>
      <c r="AS59" s="137"/>
      <c r="AT59" s="137"/>
      <c r="AU59" s="24"/>
      <c r="AW59" s="136">
        <f t="shared" si="72"/>
        <v>0</v>
      </c>
    </row>
    <row r="60" spans="1:51" ht="15" customHeight="1" x14ac:dyDescent="0.2">
      <c r="A60" s="4"/>
      <c r="B60" s="175" t="s">
        <v>10</v>
      </c>
      <c r="C60" s="176"/>
      <c r="D60" s="176"/>
      <c r="E60" s="176"/>
      <c r="F60" s="61"/>
      <c r="G60" s="175" t="s">
        <v>10</v>
      </c>
      <c r="H60" s="176"/>
      <c r="I60" s="176"/>
      <c r="J60" s="176"/>
      <c r="K60" s="176"/>
      <c r="L60" s="179" t="e">
        <f>L59</f>
        <v>#REF!</v>
      </c>
      <c r="M60" s="33"/>
      <c r="N60" s="175" t="s">
        <v>10</v>
      </c>
      <c r="O60" s="176"/>
      <c r="P60" s="176"/>
      <c r="Q60" s="176"/>
      <c r="R60" s="176"/>
      <c r="S60" s="181" t="e">
        <f>S59</f>
        <v>#REF!</v>
      </c>
      <c r="T60" s="96"/>
      <c r="U60" s="175" t="s">
        <v>10</v>
      </c>
      <c r="V60" s="176"/>
      <c r="W60" s="176"/>
      <c r="X60" s="176"/>
      <c r="Y60" s="176"/>
      <c r="Z60" s="181" t="e">
        <f>Z59</f>
        <v>#REF!</v>
      </c>
      <c r="AA60" s="34"/>
      <c r="AB60" s="6"/>
      <c r="AC60" s="62"/>
      <c r="AD60" s="7"/>
      <c r="AE60" s="62"/>
      <c r="AF60" s="8"/>
      <c r="AG60" s="62"/>
      <c r="AH60" s="6"/>
      <c r="AI60" s="33"/>
      <c r="AJ60" s="183" t="s">
        <v>10</v>
      </c>
      <c r="AK60" s="171">
        <f>AK59</f>
        <v>67932635.599999994</v>
      </c>
      <c r="AO60" s="136">
        <f>SUM(AO53:AO59)</f>
        <v>44231368.170000002</v>
      </c>
      <c r="AQ60" s="136">
        <f>SUM(AQ53:AQ59)</f>
        <v>54422652.535805568</v>
      </c>
      <c r="AS60" s="136">
        <f>SUM(AS53:AS59)</f>
        <v>67932386.933263898</v>
      </c>
      <c r="AT60" s="136"/>
      <c r="AW60" s="136">
        <f>SUM(AW53:AW59)</f>
        <v>62331840.50999999</v>
      </c>
    </row>
    <row r="61" spans="1:51" ht="15.75" customHeight="1" thickBot="1" x14ac:dyDescent="0.25">
      <c r="A61" s="4"/>
      <c r="B61" s="177"/>
      <c r="C61" s="178"/>
      <c r="D61" s="178"/>
      <c r="E61" s="178"/>
      <c r="F61" s="61"/>
      <c r="G61" s="177"/>
      <c r="H61" s="178"/>
      <c r="I61" s="178"/>
      <c r="J61" s="178"/>
      <c r="K61" s="178"/>
      <c r="L61" s="180"/>
      <c r="M61" s="33"/>
      <c r="N61" s="177"/>
      <c r="O61" s="178"/>
      <c r="P61" s="178"/>
      <c r="Q61" s="178"/>
      <c r="R61" s="178"/>
      <c r="S61" s="182"/>
      <c r="T61" s="96"/>
      <c r="U61" s="177"/>
      <c r="V61" s="178"/>
      <c r="W61" s="178"/>
      <c r="X61" s="178"/>
      <c r="Y61" s="178"/>
      <c r="Z61" s="182"/>
      <c r="AA61" s="34"/>
      <c r="AB61" s="6"/>
      <c r="AC61" s="62"/>
      <c r="AD61" s="7"/>
      <c r="AE61" s="62"/>
      <c r="AF61" s="8"/>
      <c r="AG61" s="62"/>
      <c r="AH61" s="6"/>
      <c r="AI61" s="33"/>
      <c r="AJ61" s="184"/>
      <c r="AK61" s="172"/>
    </row>
    <row r="62" spans="1:51" ht="15" x14ac:dyDescent="0.2">
      <c r="A62" s="4"/>
      <c r="B62" s="28"/>
      <c r="C62" s="29"/>
      <c r="D62" s="28"/>
      <c r="E62" s="1"/>
      <c r="F62" s="2"/>
      <c r="AB62" s="6"/>
      <c r="AC62" s="11"/>
      <c r="AD62" s="7"/>
      <c r="AE62" s="11"/>
      <c r="AF62" s="8"/>
      <c r="AG62" s="11"/>
      <c r="AH62" s="6"/>
      <c r="AJ62" s="5"/>
      <c r="AK62" s="16"/>
      <c r="AS62" s="139">
        <f>+AS60-AK60</f>
        <v>-248.66673609614372</v>
      </c>
      <c r="AW62" s="136">
        <f>+AW60-AO60</f>
        <v>18100472.339999989</v>
      </c>
    </row>
    <row r="63" spans="1:51" ht="12.75" customHeight="1" x14ac:dyDescent="0.2">
      <c r="AB63" s="6"/>
      <c r="AC63" s="11"/>
      <c r="AD63" s="7"/>
      <c r="AE63" s="11"/>
      <c r="AF63" s="8"/>
      <c r="AG63" s="11"/>
      <c r="AH63" s="6"/>
      <c r="AJ63" s="5"/>
      <c r="AK63" s="16"/>
    </row>
    <row r="64" spans="1:51" ht="13.5" customHeight="1" x14ac:dyDescent="0.2">
      <c r="AB64" s="6"/>
      <c r="AC64" s="11"/>
      <c r="AD64" s="7"/>
      <c r="AE64" s="11"/>
      <c r="AF64" s="8"/>
      <c r="AG64" s="11"/>
      <c r="AH64" s="6"/>
      <c r="AJ64" s="17"/>
      <c r="AK64" s="18"/>
    </row>
    <row r="65" spans="3:38" ht="36" customHeight="1" x14ac:dyDescent="0.2">
      <c r="C65" s="173" t="s">
        <v>27</v>
      </c>
      <c r="D65" s="173"/>
      <c r="E65" s="173"/>
      <c r="F65" s="173"/>
      <c r="G65" s="173"/>
      <c r="H65" s="173"/>
      <c r="I65" s="173"/>
      <c r="J65" s="173"/>
      <c r="K65" s="173"/>
      <c r="AB65" s="6"/>
      <c r="AC65" s="11"/>
      <c r="AD65" s="7"/>
      <c r="AE65" s="11"/>
      <c r="AF65" s="8"/>
      <c r="AG65" s="11"/>
      <c r="AH65" s="6"/>
      <c r="AJ65" s="5"/>
      <c r="AK65" s="16"/>
    </row>
    <row r="66" spans="3:38" x14ac:dyDescent="0.2">
      <c r="C66" s="31"/>
      <c r="D66" s="31"/>
      <c r="E66" s="31"/>
      <c r="F66" s="31"/>
      <c r="G66" s="31"/>
      <c r="H66" s="31"/>
      <c r="I66" s="31"/>
      <c r="J66" s="31"/>
      <c r="K66" s="31"/>
      <c r="AB66" s="32"/>
      <c r="AC66" s="11"/>
      <c r="AD66" s="5"/>
      <c r="AE66" s="11"/>
      <c r="AF66" s="8"/>
      <c r="AG66" s="11"/>
      <c r="AH66" s="32"/>
      <c r="AJ66" s="9"/>
      <c r="AK66" s="5"/>
    </row>
    <row r="67" spans="3:38" x14ac:dyDescent="0.2">
      <c r="C67" s="31"/>
      <c r="D67" s="31"/>
      <c r="E67" s="31"/>
      <c r="F67" s="31"/>
      <c r="G67" s="31"/>
      <c r="H67" s="31"/>
      <c r="I67" s="31"/>
      <c r="J67" s="31"/>
      <c r="K67" s="31"/>
      <c r="AB67" s="10"/>
      <c r="AC67" s="11"/>
      <c r="AD67" s="12"/>
      <c r="AE67" s="11"/>
      <c r="AF67" s="8"/>
      <c r="AG67" s="11"/>
      <c r="AH67" s="10"/>
      <c r="AI67" s="11"/>
      <c r="AJ67" s="19"/>
      <c r="AK67" s="20"/>
      <c r="AL67" s="11"/>
    </row>
    <row r="68" spans="3:38" x14ac:dyDescent="0.2">
      <c r="AB68" s="6"/>
      <c r="AC68" s="11"/>
      <c r="AD68" s="9"/>
      <c r="AE68" s="11"/>
      <c r="AF68" s="8"/>
      <c r="AG68" s="11"/>
      <c r="AH68" s="6"/>
      <c r="AI68" s="11"/>
      <c r="AJ68" s="5"/>
      <c r="AK68" s="157"/>
      <c r="AL68" s="11"/>
    </row>
    <row r="69" spans="3:38" x14ac:dyDescent="0.2">
      <c r="AB69" s="6"/>
      <c r="AC69" s="11"/>
      <c r="AD69" s="9"/>
      <c r="AE69" s="11"/>
      <c r="AF69" s="8"/>
      <c r="AG69" s="11"/>
      <c r="AH69" s="6"/>
      <c r="AJ69" s="21"/>
      <c r="AK69" s="158"/>
    </row>
    <row r="70" spans="3:38" x14ac:dyDescent="0.2">
      <c r="AB70" s="6"/>
      <c r="AC70" s="11"/>
      <c r="AD70" s="9"/>
      <c r="AE70" s="11"/>
      <c r="AF70" s="8"/>
      <c r="AG70" s="11"/>
      <c r="AH70" s="6"/>
      <c r="AJ70" s="5"/>
      <c r="AK70" s="158"/>
    </row>
    <row r="71" spans="3:38" x14ac:dyDescent="0.2">
      <c r="AB71" s="10"/>
      <c r="AC71" s="11"/>
      <c r="AD71" s="12"/>
      <c r="AE71" s="11"/>
      <c r="AF71" s="8"/>
      <c r="AG71" s="11"/>
      <c r="AH71" s="10"/>
      <c r="AJ71" s="19"/>
      <c r="AK71" s="158"/>
    </row>
    <row r="72" spans="3:38" x14ac:dyDescent="0.2">
      <c r="AB72" s="6"/>
      <c r="AC72" s="11"/>
      <c r="AD72" s="9"/>
      <c r="AE72" s="11"/>
      <c r="AF72" s="8"/>
      <c r="AG72" s="11"/>
      <c r="AH72" s="6"/>
      <c r="AJ72" s="5"/>
      <c r="AK72" s="158"/>
    </row>
    <row r="73" spans="3:38" ht="15.75" x14ac:dyDescent="0.2">
      <c r="AB73" s="13"/>
      <c r="AC73" s="11"/>
      <c r="AD73" s="14"/>
      <c r="AE73" s="11"/>
      <c r="AF73" s="8"/>
      <c r="AG73" s="11"/>
      <c r="AH73" s="13"/>
      <c r="AJ73" s="19"/>
      <c r="AK73" s="158"/>
    </row>
    <row r="74" spans="3:38" x14ac:dyDescent="0.2">
      <c r="AB74" s="6"/>
      <c r="AC74" s="11"/>
      <c r="AD74" s="9"/>
      <c r="AE74" s="11"/>
      <c r="AF74" s="9"/>
      <c r="AG74" s="11"/>
      <c r="AH74" s="6"/>
      <c r="AJ74" s="5"/>
      <c r="AK74" s="9"/>
    </row>
    <row r="75" spans="3:38" x14ac:dyDescent="0.2">
      <c r="AK75" s="11"/>
    </row>
  </sheetData>
  <sheetProtection algorithmName="SHA-512" hashValue="WVjhjNMErkr/lYAVi/sF+3QXNKBw5IVjdhRW509xM1QbIOQelzmW9t+CVaP9V6F1VCqZIqW6xP7Ss6JShY7eWw==" saltValue="JNOBGDxt/nB6jO+GCP9Uww==" spinCount="100000" sheet="1" objects="1" scenarios="1" selectLockedCells="1" selectUnlockedCells="1"/>
  <mergeCells count="27">
    <mergeCell ref="A1:XFD1"/>
    <mergeCell ref="B2:E2"/>
    <mergeCell ref="C3:E3"/>
    <mergeCell ref="B4:E4"/>
    <mergeCell ref="B6:E6"/>
    <mergeCell ref="G6:L6"/>
    <mergeCell ref="N6:S6"/>
    <mergeCell ref="U6:Z6"/>
    <mergeCell ref="N7:Q7"/>
    <mergeCell ref="U7:X7"/>
    <mergeCell ref="AJ7:AK7"/>
    <mergeCell ref="B8:E8"/>
    <mergeCell ref="G8:L8"/>
    <mergeCell ref="N8:S8"/>
    <mergeCell ref="U8:Z8"/>
    <mergeCell ref="G7:J7"/>
    <mergeCell ref="AK60:AK61"/>
    <mergeCell ref="C65:K65"/>
    <mergeCell ref="AB9:AH10"/>
    <mergeCell ref="B60:E61"/>
    <mergeCell ref="G60:K61"/>
    <mergeCell ref="L60:L61"/>
    <mergeCell ref="N60:R61"/>
    <mergeCell ref="S60:S61"/>
    <mergeCell ref="U60:Y61"/>
    <mergeCell ref="Z60:Z61"/>
    <mergeCell ref="AJ60:AJ61"/>
  </mergeCells>
  <printOptions horizontalCentered="1"/>
  <pageMargins left="0" right="0.15748031496062992" top="0.19685039370078741" bottom="7.874015748031496E-2" header="0" footer="0"/>
  <pageSetup paperSize="14" scale="45" orientation="landscape" horizontalDpi="4294967294"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1 </vt:lpstr>
    </vt:vector>
  </TitlesOfParts>
  <Company>FISCALIA GENERAL DE LA NACION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FISCALIA GENERAL DE LA NACION</dc:creator>
  <cp:lastModifiedBy>Mauricio Alfonso Fontalvo Toncel</cp:lastModifiedBy>
  <cp:lastPrinted>2023-02-06T19:20:40Z</cp:lastPrinted>
  <dcterms:created xsi:type="dcterms:W3CDTF">2002-07-22T15:53:43Z</dcterms:created>
  <dcterms:modified xsi:type="dcterms:W3CDTF">2025-05-27T13:18:23Z</dcterms:modified>
</cp:coreProperties>
</file>