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MARIA JOSE\Desktop\Escritorio SENA 2025\ByS\PROCESOS 2025\MÍNIMA CUANTÍA\Revisiones\15. Medicina domiciliaria 2\6. Evaluación\2. FINAL\"/>
    </mc:Choice>
  </mc:AlternateContent>
  <xr:revisionPtr revIDLastSave="0" documentId="13_ncr:1_{940C544C-F4C3-4913-8D55-30D4F0A481DC}" xr6:coauthVersionLast="47" xr6:coauthVersionMax="47" xr10:uidLastSave="{00000000-0000-0000-0000-000000000000}"/>
  <bookViews>
    <workbookView xWindow="-108" yWindow="-108" windowWidth="23256" windowHeight="12456" activeTab="1" xr2:uid="{2ECE331E-76CD-4DC4-8E70-0D33138DBF78}"/>
  </bookViews>
  <sheets>
    <sheet name="Analisis oferta y posiciones" sheetId="5" r:id="rId1"/>
    <sheet name="Verificación aritmetica " sheetId="6" r:id="rId2"/>
    <sheet name="Hoja1" sheetId="2" state="hidden" r:id="rId3"/>
  </sheets>
  <externalReferences>
    <externalReference r:id="rId4"/>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4" i="6" l="1"/>
  <c r="L5" i="6"/>
  <c r="L6" i="6"/>
  <c r="K4" i="6"/>
  <c r="K5" i="6"/>
  <c r="K6" i="6"/>
  <c r="J4" i="6"/>
  <c r="J5" i="6"/>
  <c r="J6" i="6"/>
  <c r="I5" i="6"/>
  <c r="I6" i="6"/>
  <c r="I4" i="6"/>
  <c r="L3" i="6"/>
  <c r="K3" i="6"/>
  <c r="J3" i="6"/>
  <c r="I3" i="6"/>
  <c r="F4" i="6"/>
  <c r="G4" i="6" s="1"/>
  <c r="F5" i="6"/>
  <c r="G5" i="6" s="1"/>
  <c r="F6" i="6"/>
  <c r="G6" i="6" s="1"/>
  <c r="F7" i="6"/>
  <c r="G7" i="6" s="1"/>
  <c r="F3" i="6"/>
  <c r="G3" i="6" s="1"/>
  <c r="P4" i="6" l="1"/>
  <c r="D9" i="6" s="1"/>
  <c r="F9" i="6" s="1"/>
  <c r="G9" i="6" s="1"/>
  <c r="P3" i="6"/>
  <c r="D8" i="6" s="1"/>
  <c r="P1" i="6"/>
  <c r="N15" i="5"/>
  <c r="N14" i="5"/>
  <c r="N12" i="5"/>
  <c r="N13" i="5"/>
  <c r="F14" i="5"/>
  <c r="E14" i="5"/>
  <c r="D14" i="5"/>
  <c r="P4" i="5"/>
  <c r="P3" i="5"/>
  <c r="O4" i="5"/>
  <c r="O3" i="5"/>
  <c r="M4" i="5"/>
  <c r="M3" i="5"/>
  <c r="D12" i="6" l="1"/>
  <c r="F8" i="6"/>
  <c r="G8" i="6" s="1"/>
  <c r="P5" i="6"/>
  <c r="D10" i="6" s="1"/>
  <c r="G8" i="5"/>
  <c r="F8" i="5"/>
  <c r="E8" i="5"/>
  <c r="D8" i="5"/>
  <c r="P5" i="5"/>
  <c r="G12" i="5" s="1"/>
  <c r="O5" i="5"/>
  <c r="F12" i="5" s="1"/>
  <c r="N5" i="5"/>
  <c r="E12" i="5" s="1"/>
  <c r="M5" i="5"/>
  <c r="D12" i="5" s="1"/>
  <c r="P1" i="5"/>
  <c r="O1" i="5"/>
  <c r="M1" i="5"/>
  <c r="N1" i="5"/>
  <c r="G14" i="5" l="1"/>
  <c r="G9" i="5"/>
  <c r="F9" i="5"/>
  <c r="E9" i="5"/>
  <c r="D9" i="5"/>
</calcChain>
</file>

<file path=xl/sharedStrings.xml><?xml version="1.0" encoding="utf-8"?>
<sst xmlns="http://schemas.openxmlformats.org/spreadsheetml/2006/main" count="96" uniqueCount="54">
  <si>
    <t>UNIDAD DE MEDIDA</t>
  </si>
  <si>
    <t>Atención Domiciliaria por Medicina General</t>
  </si>
  <si>
    <t>Atención Domiciliaria en Terapia Física</t>
  </si>
  <si>
    <t>Atención Domiciliaria en Terapia Respiratoria</t>
  </si>
  <si>
    <t>Atención Domiciliaria en Terapia del Lenguaje</t>
  </si>
  <si>
    <t>Atención Domiciliaria por Enfermería por turnos</t>
  </si>
  <si>
    <t>Atención Domiciliaria en Curaciones con tecnología</t>
  </si>
  <si>
    <t>Atención Domiciliaria en Curaciones</t>
  </si>
  <si>
    <t>TARIFAS REFERENTES</t>
  </si>
  <si>
    <t>SERVICIO MEDICINA DOMICILIARIA</t>
  </si>
  <si>
    <t>OFERTA en pesos teniendo en cuenta la  Resolución 0824 de 2022 aplicado IPC</t>
  </si>
  <si>
    <t>Resolución 1-00824-2022 art 2 categoría B literal D</t>
  </si>
  <si>
    <t>Máximo $110.403, acorde con la Resolución No. 0822 de 2022</t>
  </si>
  <si>
    <t>Máximo $85.065, acorde con la Resolución No. 0822 de 2022</t>
  </si>
  <si>
    <t xml:space="preserve">Máximo $90.494, acorde con la Resolución No. 0822 de 2022 </t>
  </si>
  <si>
    <t>Oferta SERFAR LTDA</t>
  </si>
  <si>
    <t>Oferta IPS MADSS</t>
  </si>
  <si>
    <t>Análisis de items ofertados en ISS + % incremento</t>
  </si>
  <si>
    <t>ITEM</t>
  </si>
  <si>
    <t>TARIFA ISS</t>
  </si>
  <si>
    <t>TOTAL VALOR items ofertados en ISS + % de incremento</t>
  </si>
  <si>
    <t>La oferta se encuentra dentro de los límites de la Resolución 0824 de 2022</t>
  </si>
  <si>
    <t>Oferta INTERNACIÓN DOMICILIARIA BARRAZA S.A.S.</t>
  </si>
  <si>
    <t>Ofrecimientos de ISS + en pesos</t>
  </si>
  <si>
    <t>Ofrecimientos de ISS +  en pesos</t>
  </si>
  <si>
    <t>POSICIÓN</t>
  </si>
  <si>
    <t>NOMBRE DEL PROPONENTE</t>
  </si>
  <si>
    <t>VALOR DE LA OFERTA</t>
  </si>
  <si>
    <t>OFERTA DE MENOR VALOR</t>
  </si>
  <si>
    <t>OFERTA DE SEGUNDO MENOR VALOR</t>
  </si>
  <si>
    <t>OFERTA DE TERCER MENOR VALOR</t>
  </si>
  <si>
    <t>OFERTA DE CUARTO MENOR VALOR</t>
  </si>
  <si>
    <t>TOTAL SUMATORIA PRECIOS UNITARIOS OFERTADOS EN PESOS</t>
  </si>
  <si>
    <t>ANALISIS OFERTA ECONÓMICA</t>
  </si>
  <si>
    <t>Oferta COOMEVA EXPERIENCIA MEDICA SAS</t>
  </si>
  <si>
    <t>ISS + incrementado hasta            90%</t>
  </si>
  <si>
    <t>ISS + incrementado hasta            65%</t>
  </si>
  <si>
    <t>ISS + incrementado hasta            80%</t>
  </si>
  <si>
    <t>ISS + incrementado hasta            95%</t>
  </si>
  <si>
    <t>ISS + incrementado hasta            98%</t>
  </si>
  <si>
    <t>Valor ofertado          $ 57.099</t>
  </si>
  <si>
    <t>Valor ofertado           $ 75.070</t>
  </si>
  <si>
    <t xml:space="preserve"> SERFAR LTDA</t>
  </si>
  <si>
    <t>IPS MADSS</t>
  </si>
  <si>
    <t>INTERNACIÓN DOMICILIARIA BARRAZA S.A.S.</t>
  </si>
  <si>
    <t>COOMEVA</t>
  </si>
  <si>
    <t>TARIFA REFERENCIAL RESOLUCIÓN 0824 DE 2022 (CON IPC)</t>
  </si>
  <si>
    <t xml:space="preserve">DIFERENCIA </t>
  </si>
  <si>
    <t>PORCENTAJE DE DESCUENTO</t>
  </si>
  <si>
    <t>COSTOS DE SERVICIOS/Y/OBIEN 60%</t>
  </si>
  <si>
    <t>GASTOS GENERALES 23%</t>
  </si>
  <si>
    <t>IMPREVISTOS 2%</t>
  </si>
  <si>
    <t>UTILIDAD 15%</t>
  </si>
  <si>
    <t>Se observa que la oferta de menor valor fue la presentada por el proponente SERFAR LTDA y los valores ofertados se encuentran dentro de los límites de la Resolución 0824 de 2022. 
Sin embargo, conforme a lo establecido en la matriz de riesgos del proceso de contratación, específicamente al riesgo de tipo económico “ofertas artificialmente bajas”, la Entidad procedió a dar aplicación al control correspondiente a la implementación de lo establecido en el Decreto 1082 de 2015 y a lo establecido en la Guía para el manejo de ofertas artificialmente bajas en procesos de contratación de la ANCP-CCE, requiriendo la justificación del precio ofertado con la presentación de matriz de desagregación de precios de los ítems referidos. Al término del traslado, el proponente presenta la respectiva aclaración. Asimismo, el proponente aporta la matriz de desagregación de precios donde se evidencia que a través del precio ofertado por el ítem se logra cubrir costos, gastos, imprevistos, dejando una utilidad para el proponente. 
Por tanto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</si>
</sst>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quot;$&quot;\ #,##0.00"/>
  </numFmts>
  <fonts count="14" x14ac:knownFonts="1">
    <font>
      <sz val="11"/>
      <color theme="1"/>
      <name val="Calibri"/>
      <family val="2"/>
      <scheme val="minor"/>
    </font>
    <font>
      <sz val="11"/>
      <color rgb="FF000000"/>
      <name val="Arial"/>
      <family val="2"/>
    </font>
    <font>
      <b/>
      <sz val="12"/>
      <color rgb="FF000000"/>
      <name val="Arial"/>
      <family val="2"/>
    </font>
    <font>
      <b/>
      <sz val="12"/>
      <color theme="1"/>
      <name val="Arial"/>
      <family val="2"/>
    </font>
    <font>
      <b/>
      <sz val="11"/>
      <color theme="1"/>
      <name val="Arial"/>
      <family val="2"/>
    </font>
    <font>
      <b/>
      <sz val="20"/>
      <color theme="1"/>
      <name val="Calibri"/>
      <family val="2"/>
      <scheme val="minor"/>
    </font>
    <font>
      <sz val="11"/>
      <color theme="1"/>
      <name val="Arial"/>
      <family val="2"/>
    </font>
    <font>
      <sz val="8"/>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sz val="11"/>
      <color rgb="FF000000"/>
      <name val="Calibri"/>
      <family val="2"/>
      <scheme val="minor"/>
    </font>
    <font>
      <b/>
      <sz val="10"/>
      <color rgb="FF000000"/>
      <name val="Arial"/>
      <family val="2"/>
    </font>
    <font>
      <b/>
      <sz val="12"/>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0"/>
        <bgColor rgb="FF000000"/>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4"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cellStyleXfs>
  <cellXfs count="58">
    <xf numFmtId="0" fontId="0" fillId="0" borderId="0" xfId="0"/>
    <xf numFmtId="0" fontId="2" fillId="0" borderId="0" xfId="0" applyFont="1" applyAlignment="1">
      <alignment horizontal="justify" vertical="center" wrapText="1"/>
    </xf>
    <xf numFmtId="0" fontId="3" fillId="0" borderId="0" xfId="0" applyFont="1"/>
    <xf numFmtId="0" fontId="1" fillId="0" borderId="0" xfId="0" applyFont="1" applyAlignment="1">
      <alignment horizontal="justify" vertical="center" wrapText="1"/>
    </xf>
    <xf numFmtId="0" fontId="0" fillId="0" borderId="1" xfId="0" applyBorder="1" applyAlignment="1">
      <alignment horizontal="center"/>
    </xf>
    <xf numFmtId="0" fontId="4" fillId="0" borderId="4" xfId="0" applyFont="1" applyBorder="1" applyAlignment="1">
      <alignment horizontal="center" wrapText="1"/>
    </xf>
    <xf numFmtId="0" fontId="4" fillId="0" borderId="2" xfId="0" applyFont="1" applyBorder="1" applyAlignment="1">
      <alignment horizontal="center" vertical="center"/>
    </xf>
    <xf numFmtId="0" fontId="4" fillId="0" borderId="3" xfId="0" applyFont="1" applyBorder="1" applyAlignment="1">
      <alignment wrapText="1"/>
    </xf>
    <xf numFmtId="0" fontId="6" fillId="0" borderId="2" xfId="0" applyFont="1" applyBorder="1" applyAlignment="1">
      <alignment vertical="center"/>
    </xf>
    <xf numFmtId="6" fontId="0" fillId="0" borderId="1" xfId="0" applyNumberFormat="1" applyBorder="1" applyAlignment="1">
      <alignment horizont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6" fontId="0" fillId="0" borderId="11" xfId="0" applyNumberFormat="1" applyBorder="1" applyAlignment="1">
      <alignment horizontal="center"/>
    </xf>
    <xf numFmtId="0" fontId="0" fillId="0" borderId="12" xfId="0" applyBorder="1" applyAlignment="1">
      <alignment horizontal="center" wrapText="1"/>
    </xf>
    <xf numFmtId="6" fontId="9" fillId="0" borderId="12" xfId="0" applyNumberFormat="1" applyFont="1" applyBorder="1" applyAlignment="1">
      <alignment horizontal="center" vertical="center"/>
    </xf>
    <xf numFmtId="0" fontId="0" fillId="2" borderId="8" xfId="0" applyFill="1" applyBorder="1" applyAlignment="1">
      <alignment horizontal="center" vertical="center" wrapText="1"/>
    </xf>
    <xf numFmtId="0" fontId="9" fillId="0" borderId="1" xfId="0" applyFont="1" applyBorder="1" applyAlignment="1">
      <alignment horizontal="center" vertical="center" wrapText="1"/>
    </xf>
    <xf numFmtId="0" fontId="8" fillId="0" borderId="8" xfId="0" applyFont="1" applyBorder="1" applyAlignment="1">
      <alignment horizontal="center" vertical="center" wrapText="1"/>
    </xf>
    <xf numFmtId="0" fontId="0" fillId="0" borderId="1" xfId="0" applyBorder="1"/>
    <xf numFmtId="0" fontId="8" fillId="0" borderId="1" xfId="0" applyFont="1" applyBorder="1" applyAlignment="1">
      <alignment horizontal="center"/>
    </xf>
    <xf numFmtId="6" fontId="8" fillId="0" borderId="4" xfId="0" applyNumberFormat="1" applyFont="1" applyBorder="1" applyAlignment="1">
      <alignment horizontal="center" vertical="center"/>
    </xf>
    <xf numFmtId="6" fontId="11" fillId="3" borderId="1" xfId="0" applyNumberFormat="1" applyFont="1" applyFill="1" applyBorder="1" applyAlignment="1">
      <alignment horizontal="center" vertical="center"/>
    </xf>
    <xf numFmtId="0" fontId="12" fillId="0" borderId="10" xfId="0" applyFont="1" applyBorder="1" applyAlignment="1">
      <alignment horizontal="center" vertical="center" wrapText="1"/>
    </xf>
    <xf numFmtId="6" fontId="8" fillId="0" borderId="1" xfId="0" applyNumberFormat="1" applyFont="1" applyBorder="1" applyAlignment="1">
      <alignment horizontal="center" vertical="center"/>
    </xf>
    <xf numFmtId="0" fontId="4" fillId="0" borderId="1" xfId="0" applyFont="1" applyBorder="1" applyAlignment="1">
      <alignment vertical="center" wrapText="1"/>
    </xf>
    <xf numFmtId="0" fontId="6" fillId="0" borderId="15" xfId="0" applyFont="1" applyBorder="1" applyAlignment="1">
      <alignment vertical="center"/>
    </xf>
    <xf numFmtId="0" fontId="6" fillId="0" borderId="16" xfId="0" applyFont="1" applyBorder="1" applyAlignment="1">
      <alignment vertical="center"/>
    </xf>
    <xf numFmtId="6" fontId="0" fillId="0" borderId="17" xfId="0" applyNumberFormat="1" applyBorder="1" applyAlignment="1">
      <alignment horizontal="center"/>
    </xf>
    <xf numFmtId="6" fontId="0" fillId="0" borderId="18" xfId="0" applyNumberFormat="1" applyBorder="1" applyAlignment="1">
      <alignment horizontal="center"/>
    </xf>
    <xf numFmtId="6" fontId="0" fillId="0" borderId="19" xfId="0" applyNumberFormat="1" applyBorder="1" applyAlignment="1">
      <alignment horizontal="center"/>
    </xf>
    <xf numFmtId="6" fontId="0" fillId="0" borderId="20" xfId="0" applyNumberFormat="1" applyBorder="1" applyAlignment="1">
      <alignment horizontal="center"/>
    </xf>
    <xf numFmtId="6" fontId="0" fillId="0" borderId="21" xfId="0" applyNumberFormat="1" applyBorder="1" applyAlignment="1">
      <alignment horizontal="center"/>
    </xf>
    <xf numFmtId="6" fontId="0" fillId="0" borderId="1" xfId="0" applyNumberFormat="1" applyBorder="1" applyAlignment="1">
      <alignment horizontal="center" vertical="center"/>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vertical="center" wrapText="1"/>
    </xf>
    <xf numFmtId="164" fontId="0" fillId="0" borderId="1" xfId="3" quotePrefix="1" applyNumberFormat="1" applyFont="1" applyBorder="1"/>
    <xf numFmtId="6" fontId="0" fillId="0" borderId="1" xfId="0" applyNumberFormat="1" applyBorder="1"/>
    <xf numFmtId="164" fontId="0" fillId="0" borderId="1" xfId="0" applyNumberFormat="1" applyBorder="1"/>
    <xf numFmtId="0" fontId="8" fillId="0" borderId="0" xfId="0" applyFont="1" applyAlignment="1">
      <alignment vertical="top" wrapText="1"/>
    </xf>
    <xf numFmtId="10" fontId="0" fillId="4" borderId="1" xfId="2" applyNumberFormat="1" applyFont="1" applyFill="1" applyBorder="1"/>
    <xf numFmtId="10" fontId="0" fillId="0" borderId="1" xfId="2" applyNumberFormat="1" applyFont="1" applyBorder="1"/>
    <xf numFmtId="10" fontId="0" fillId="0" borderId="1" xfId="2" applyNumberFormat="1" applyFont="1" applyFill="1" applyBorder="1"/>
    <xf numFmtId="6" fontId="0" fillId="0" borderId="0" xfId="0" applyNumberFormat="1"/>
    <xf numFmtId="0" fontId="0" fillId="0" borderId="0" xfId="0" applyAlignment="1">
      <alignment horizontal="center" vertical="center" wrapText="1"/>
    </xf>
    <xf numFmtId="6" fontId="9" fillId="0" borderId="8" xfId="0" applyNumberFormat="1" applyFont="1" applyBorder="1" applyAlignment="1">
      <alignment horizontal="center" vertical="center"/>
    </xf>
    <xf numFmtId="2" fontId="0" fillId="0" borderId="0" xfId="0" applyNumberFormat="1"/>
    <xf numFmtId="0" fontId="8" fillId="0" borderId="1" xfId="0" applyFont="1" applyBorder="1" applyAlignment="1">
      <alignment horizontal="center" wrapText="1"/>
    </xf>
    <xf numFmtId="0" fontId="13" fillId="0" borderId="0" xfId="0" applyFont="1" applyFill="1" applyAlignment="1">
      <alignment vertical="top"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6" fillId="0" borderId="1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3" fillId="2" borderId="0" xfId="0" applyFont="1" applyFill="1" applyAlignment="1">
      <alignment horizontal="center" vertical="top" wrapText="1"/>
    </xf>
  </cellXfs>
  <cellStyles count="4">
    <cellStyle name="Moneda" xfId="3" builtinId="4"/>
    <cellStyle name="Moneda 2" xfId="1" xr:uid="{E87EB367-60FA-4217-8C5A-A4B70DABF940}"/>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2656114</xdr:colOff>
      <xdr:row>0</xdr:row>
      <xdr:rowOff>46264</xdr:rowOff>
    </xdr:from>
    <xdr:to>
      <xdr:col>0</xdr:col>
      <xdr:colOff>3322864</xdr:colOff>
      <xdr:row>1</xdr:row>
      <xdr:rowOff>115479</xdr:rowOff>
    </xdr:to>
    <xdr:pic>
      <xdr:nvPicPr>
        <xdr:cNvPr id="3" name="Imagen 2" descr="Logo SENA">
          <a:extLst>
            <a:ext uri="{FF2B5EF4-FFF2-40B4-BE49-F238E27FC236}">
              <a16:creationId xmlns:a16="http://schemas.microsoft.com/office/drawing/2014/main" id="{07DF01A5-1E25-37A1-3438-6466EDE641E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2909" b="34430"/>
        <a:stretch/>
      </xdr:blipFill>
      <xdr:spPr bwMode="auto">
        <a:xfrm>
          <a:off x="2656114" y="46264"/>
          <a:ext cx="666750" cy="695144"/>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2656114</xdr:colOff>
      <xdr:row>0</xdr:row>
      <xdr:rowOff>46264</xdr:rowOff>
    </xdr:from>
    <xdr:to>
      <xdr:col>0</xdr:col>
      <xdr:colOff>3322864</xdr:colOff>
      <xdr:row>1</xdr:row>
      <xdr:rowOff>115479</xdr:rowOff>
    </xdr:to>
    <xdr:pic>
      <xdr:nvPicPr>
        <xdr:cNvPr id="2" name="Imagen 1" descr="Logo SENA">
          <a:extLst>
            <a:ext uri="{FF2B5EF4-FFF2-40B4-BE49-F238E27FC236}">
              <a16:creationId xmlns:a16="http://schemas.microsoft.com/office/drawing/2014/main" id="{D76DEBBB-E9F7-4FA3-A0C5-5F4D3AE3246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2909" b="34430"/>
        <a:stretch/>
      </xdr:blipFill>
      <xdr:spPr bwMode="auto">
        <a:xfrm>
          <a:off x="2656114" y="46264"/>
          <a:ext cx="666750" cy="697865"/>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sena4-my.sharepoint.com/personal/mjbohorquez_sena_edu_co/Documents/Escritorio/PROCESOS%202024/3.%20SELECCI&#211;N%20ABREVIADA/2.%20CL&#205;NICAS/5.%20PLIEGO%20DE%20CONDICIONES%20DEFINITIVO/2.16.%20Formato%20No%2014%20Oferta%20Economica%20AJUSTADO%20-.xlsx" TargetMode="External"/><Relationship Id="rId2" Type="http://schemas.microsoft.com/office/2019/04/relationships/externalLinkLongPath" Target="https://sena4-my.sharepoint.com/personal/mjbohorquez_sena_edu_co/Documents/Escritorio/PROCESOS%202024/3.%20SELECCI&#211;N%20ABREVIADA/2.%20CL&#205;NICAS/5.%20PLIEGO%20DE%20CONDICIONES%20DEFINITIVO/2.16.%20Formato%20No%2014%20Oferta%20Economica%20AJUSTADO%20-.xlsx?1970CC51" TargetMode="External"/><Relationship Id="rId1" Type="http://schemas.openxmlformats.org/officeDocument/2006/relationships/externalLinkPath" Target="file:///\\1970CC51\2.16.%20Formato%20No%2014%20Oferta%20Economica%20AJUSTADO%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OFERTA ECONÓMICA"/>
      <sheetName val="Hoja1"/>
    </sheetNames>
    <sheetDataSet>
      <sheetData sheetId="0">
        <row r="2">
          <cell r="F2" t="str">
            <v>OFERTA en ISS incrementado máximo hasta el % indicado en Resolución 0824 de 2022</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F5824-36ED-43D4-B7F4-E227902E9302}">
  <dimension ref="A1:P30"/>
  <sheetViews>
    <sheetView zoomScale="70" zoomScaleNormal="70" workbookViewId="0">
      <selection activeCell="G10" sqref="G10"/>
    </sheetView>
  </sheetViews>
  <sheetFormatPr baseColWidth="10" defaultRowHeight="14.4" x14ac:dyDescent="0.3"/>
  <cols>
    <col min="1" max="1" width="57.44140625" customWidth="1"/>
    <col min="2" max="2" width="31" customWidth="1"/>
    <col min="3" max="3" width="63.109375" customWidth="1"/>
    <col min="4" max="4" width="41.109375" customWidth="1"/>
    <col min="5" max="5" width="39.6640625" customWidth="1"/>
    <col min="6" max="6" width="37" customWidth="1"/>
    <col min="7" max="7" width="37.88671875" customWidth="1"/>
    <col min="9" max="10" width="11.5546875" customWidth="1"/>
    <col min="11" max="11" width="58.6640625" customWidth="1"/>
    <col min="12" max="12" width="38.6640625" customWidth="1"/>
    <col min="13" max="13" width="34.33203125" customWidth="1"/>
    <col min="14" max="14" width="34.109375" customWidth="1"/>
    <col min="15" max="15" width="36.6640625" customWidth="1"/>
    <col min="16" max="16" width="34.109375" customWidth="1"/>
  </cols>
  <sheetData>
    <row r="1" spans="1:16" ht="50.1" customHeight="1" thickBot="1" x14ac:dyDescent="0.35">
      <c r="A1" s="49" t="s">
        <v>33</v>
      </c>
      <c r="B1" s="50"/>
      <c r="C1" s="51"/>
      <c r="D1" s="16" t="s">
        <v>15</v>
      </c>
      <c r="E1" s="16" t="s">
        <v>34</v>
      </c>
      <c r="F1" s="16" t="s">
        <v>22</v>
      </c>
      <c r="G1" s="16" t="s">
        <v>16</v>
      </c>
      <c r="K1" s="52" t="s">
        <v>17</v>
      </c>
      <c r="L1" s="53"/>
      <c r="M1" s="17" t="str">
        <f>D1</f>
        <v>Oferta SERFAR LTDA</v>
      </c>
      <c r="N1" s="17" t="str">
        <f>E1</f>
        <v>Oferta COOMEVA EXPERIENCIA MEDICA SAS</v>
      </c>
      <c r="O1" s="17" t="str">
        <f>F1</f>
        <v>Oferta INTERNACIÓN DOMICILIARIA BARRAZA S.A.S.</v>
      </c>
      <c r="P1" s="17" t="str">
        <f>G1</f>
        <v>Oferta IPS MADSS</v>
      </c>
    </row>
    <row r="2" spans="1:16" ht="42" thickBot="1" x14ac:dyDescent="0.35">
      <c r="A2" s="6" t="s">
        <v>9</v>
      </c>
      <c r="B2" s="7" t="s">
        <v>0</v>
      </c>
      <c r="C2" s="5" t="s">
        <v>8</v>
      </c>
      <c r="D2" s="24" t="s">
        <v>10</v>
      </c>
      <c r="E2" s="24" t="s">
        <v>10</v>
      </c>
      <c r="F2" s="24" t="s">
        <v>10</v>
      </c>
      <c r="G2" s="24" t="s">
        <v>10</v>
      </c>
      <c r="K2" s="10" t="s">
        <v>18</v>
      </c>
      <c r="L2" s="11" t="s">
        <v>19</v>
      </c>
      <c r="M2" s="22" t="s">
        <v>23</v>
      </c>
      <c r="N2" s="22" t="s">
        <v>24</v>
      </c>
      <c r="O2" s="22" t="s">
        <v>23</v>
      </c>
      <c r="P2" s="22" t="s">
        <v>23</v>
      </c>
    </row>
    <row r="3" spans="1:16" x14ac:dyDescent="0.3">
      <c r="A3" s="8" t="s">
        <v>1</v>
      </c>
      <c r="B3" s="4">
        <v>1</v>
      </c>
      <c r="C3" s="4" t="s">
        <v>12</v>
      </c>
      <c r="D3" s="9">
        <v>50000</v>
      </c>
      <c r="E3" s="21">
        <v>68531</v>
      </c>
      <c r="F3" s="9">
        <v>65000</v>
      </c>
      <c r="G3" s="9">
        <v>80000</v>
      </c>
      <c r="K3" s="25" t="s">
        <v>7</v>
      </c>
      <c r="L3" s="27">
        <v>19675</v>
      </c>
      <c r="M3" s="12">
        <f>+L3*0.9+L3</f>
        <v>37382.5</v>
      </c>
      <c r="N3" s="12">
        <v>57099</v>
      </c>
      <c r="O3" s="12">
        <f>+L3*0.95+L3</f>
        <v>38366.25</v>
      </c>
      <c r="P3" s="28">
        <f>+L3*0.65+L3</f>
        <v>32463.75</v>
      </c>
    </row>
    <row r="4" spans="1:16" ht="15" thickBot="1" x14ac:dyDescent="0.35">
      <c r="A4" s="8" t="s">
        <v>2</v>
      </c>
      <c r="B4" s="4">
        <v>1</v>
      </c>
      <c r="C4" s="4" t="s">
        <v>13</v>
      </c>
      <c r="D4" s="9">
        <v>28000</v>
      </c>
      <c r="E4" s="21">
        <v>52248</v>
      </c>
      <c r="F4" s="9">
        <v>60000</v>
      </c>
      <c r="G4" s="9">
        <v>50000</v>
      </c>
      <c r="K4" s="26" t="s">
        <v>6</v>
      </c>
      <c r="L4" s="29">
        <v>19675</v>
      </c>
      <c r="M4" s="30">
        <f>+L4*0.9+L4</f>
        <v>37382.5</v>
      </c>
      <c r="N4" s="30">
        <v>75070</v>
      </c>
      <c r="O4" s="30">
        <f>+L4*0.98+L4</f>
        <v>38956.5</v>
      </c>
      <c r="P4" s="31">
        <f>+L4*0.8+L4</f>
        <v>35415</v>
      </c>
    </row>
    <row r="5" spans="1:16" ht="29.4" thickBot="1" x14ac:dyDescent="0.35">
      <c r="A5" s="8" t="s">
        <v>3</v>
      </c>
      <c r="B5" s="4">
        <v>1</v>
      </c>
      <c r="C5" s="33" t="s">
        <v>13</v>
      </c>
      <c r="D5" s="32">
        <v>28000</v>
      </c>
      <c r="E5" s="21">
        <v>55696</v>
      </c>
      <c r="F5" s="32">
        <v>50000</v>
      </c>
      <c r="G5" s="32">
        <v>50000</v>
      </c>
      <c r="L5" s="13" t="s">
        <v>20</v>
      </c>
      <c r="M5" s="14">
        <f>+SUM(M3:M4)</f>
        <v>74765</v>
      </c>
      <c r="N5" s="45">
        <f>+SUM(N3:N4)</f>
        <v>132169</v>
      </c>
      <c r="O5" s="45">
        <f>+SUM(O3:O4)</f>
        <v>77322.75</v>
      </c>
      <c r="P5" s="45">
        <f>+SUM(P3:P4)</f>
        <v>67878.75</v>
      </c>
    </row>
    <row r="6" spans="1:16" ht="53.25" customHeight="1" thickBot="1" x14ac:dyDescent="0.35">
      <c r="A6" s="8" t="s">
        <v>4</v>
      </c>
      <c r="B6" s="4">
        <v>1</v>
      </c>
      <c r="C6" s="33" t="s">
        <v>13</v>
      </c>
      <c r="D6" s="32">
        <v>28000</v>
      </c>
      <c r="E6" s="21">
        <v>56248</v>
      </c>
      <c r="F6" s="32">
        <v>50000</v>
      </c>
      <c r="G6" s="32">
        <v>50000</v>
      </c>
      <c r="M6" s="15" t="s">
        <v>21</v>
      </c>
      <c r="N6" s="44"/>
      <c r="O6" s="44"/>
      <c r="P6" s="44"/>
    </row>
    <row r="7" spans="1:16" x14ac:dyDescent="0.3">
      <c r="A7" s="8" t="s">
        <v>5</v>
      </c>
      <c r="B7" s="4">
        <v>1</v>
      </c>
      <c r="C7" s="4" t="s">
        <v>14</v>
      </c>
      <c r="D7" s="9">
        <v>90454</v>
      </c>
      <c r="E7" s="21">
        <v>85270</v>
      </c>
      <c r="F7" s="9">
        <v>90100</v>
      </c>
      <c r="G7" s="9">
        <v>74500</v>
      </c>
    </row>
    <row r="8" spans="1:16" ht="40.200000000000003" customHeight="1" x14ac:dyDescent="0.3">
      <c r="A8" s="54" t="s">
        <v>32</v>
      </c>
      <c r="B8" s="55"/>
      <c r="C8" s="56"/>
      <c r="D8" s="23">
        <f>SUM(D3:D7)</f>
        <v>224454</v>
      </c>
      <c r="E8" s="23">
        <f>SUM(E3:E7)</f>
        <v>317993</v>
      </c>
      <c r="F8" s="23">
        <f>SUM(F3:F7)</f>
        <v>315100</v>
      </c>
      <c r="G8" s="23">
        <f>SUM(G3:G7)</f>
        <v>304500</v>
      </c>
    </row>
    <row r="9" spans="1:16" ht="52.5" customHeight="1" x14ac:dyDescent="0.3">
      <c r="A9" s="6" t="s">
        <v>9</v>
      </c>
      <c r="B9" s="7" t="s">
        <v>0</v>
      </c>
      <c r="C9" s="5" t="s">
        <v>8</v>
      </c>
      <c r="D9" s="24" t="str">
        <f>'[1]OFERTA ECONÓMICA'!$F$2</f>
        <v>OFERTA en ISS incrementado máximo hasta el % indicado en Resolución 0824 de 2022</v>
      </c>
      <c r="E9" s="24" t="str">
        <f>'[1]OFERTA ECONÓMICA'!$F$2</f>
        <v>OFERTA en ISS incrementado máximo hasta el % indicado en Resolución 0824 de 2022</v>
      </c>
      <c r="F9" s="24" t="str">
        <f>'[1]OFERTA ECONÓMICA'!$F$2</f>
        <v>OFERTA en ISS incrementado máximo hasta el % indicado en Resolución 0824 de 2022</v>
      </c>
      <c r="G9" s="24" t="str">
        <f>'[1]OFERTA ECONÓMICA'!$F$2</f>
        <v>OFERTA en ISS incrementado máximo hasta el % indicado en Resolución 0824 de 2022</v>
      </c>
    </row>
    <row r="10" spans="1:16" x14ac:dyDescent="0.3">
      <c r="A10" s="8" t="s">
        <v>7</v>
      </c>
      <c r="B10" s="4">
        <v>1</v>
      </c>
      <c r="C10" s="4" t="s">
        <v>11</v>
      </c>
      <c r="D10" s="4" t="s">
        <v>35</v>
      </c>
      <c r="E10" s="4" t="s">
        <v>40</v>
      </c>
      <c r="F10" s="4" t="s">
        <v>38</v>
      </c>
      <c r="G10" s="4" t="s">
        <v>36</v>
      </c>
    </row>
    <row r="11" spans="1:16" x14ac:dyDescent="0.3">
      <c r="A11" s="8" t="s">
        <v>6</v>
      </c>
      <c r="B11" s="4">
        <v>1</v>
      </c>
      <c r="C11" s="4" t="s">
        <v>11</v>
      </c>
      <c r="D11" s="4" t="s">
        <v>35</v>
      </c>
      <c r="E11" s="4" t="s">
        <v>41</v>
      </c>
      <c r="F11" s="4" t="s">
        <v>39</v>
      </c>
      <c r="G11" s="4" t="s">
        <v>37</v>
      </c>
      <c r="L11" s="19" t="s">
        <v>25</v>
      </c>
      <c r="M11" s="19" t="s">
        <v>26</v>
      </c>
      <c r="N11" s="19" t="s">
        <v>27</v>
      </c>
    </row>
    <row r="12" spans="1:16" x14ac:dyDescent="0.3">
      <c r="D12" s="20">
        <f>+M5</f>
        <v>74765</v>
      </c>
      <c r="E12" s="20">
        <f>+N5</f>
        <v>132169</v>
      </c>
      <c r="F12" s="20">
        <f>+O5</f>
        <v>77322.75</v>
      </c>
      <c r="G12" s="20">
        <f>+P5</f>
        <v>67878.75</v>
      </c>
      <c r="L12" s="18" t="s">
        <v>28</v>
      </c>
      <c r="M12" s="18" t="s">
        <v>42</v>
      </c>
      <c r="N12" s="23">
        <f>+D14</f>
        <v>299219</v>
      </c>
    </row>
    <row r="13" spans="1:16" x14ac:dyDescent="0.3">
      <c r="L13" s="18" t="s">
        <v>29</v>
      </c>
      <c r="M13" s="18" t="s">
        <v>43</v>
      </c>
      <c r="N13" s="23">
        <f>+G14</f>
        <v>372378.75</v>
      </c>
    </row>
    <row r="14" spans="1:16" x14ac:dyDescent="0.3">
      <c r="D14" s="23">
        <f>+D8+D12</f>
        <v>299219</v>
      </c>
      <c r="E14" s="23">
        <f>+E8+E12</f>
        <v>450162</v>
      </c>
      <c r="F14" s="23">
        <f>+F8+F12</f>
        <v>392422.75</v>
      </c>
      <c r="G14" s="23">
        <f t="shared" ref="G14" si="0">+G8+G12</f>
        <v>372378.75</v>
      </c>
      <c r="L14" s="18" t="s">
        <v>30</v>
      </c>
      <c r="M14" s="18" t="s">
        <v>44</v>
      </c>
      <c r="N14" s="23">
        <f>+F14</f>
        <v>392422.75</v>
      </c>
    </row>
    <row r="15" spans="1:16" x14ac:dyDescent="0.3">
      <c r="L15" s="18" t="s">
        <v>31</v>
      </c>
      <c r="M15" s="18" t="s">
        <v>45</v>
      </c>
      <c r="N15" s="23">
        <f>+E14</f>
        <v>450162</v>
      </c>
    </row>
    <row r="18" spans="1:1" x14ac:dyDescent="0.3">
      <c r="A18" s="3"/>
    </row>
    <row r="19" spans="1:1" ht="15.6" x14ac:dyDescent="0.3">
      <c r="A19" s="1"/>
    </row>
    <row r="20" spans="1:1" ht="15.6" x14ac:dyDescent="0.3">
      <c r="A20" s="1"/>
    </row>
    <row r="21" spans="1:1" ht="15.6" x14ac:dyDescent="0.3">
      <c r="A21" s="2"/>
    </row>
    <row r="22" spans="1:1" ht="15.6" x14ac:dyDescent="0.3">
      <c r="A22" s="2"/>
    </row>
    <row r="27" spans="1:1" ht="15.75" customHeight="1" x14ac:dyDescent="0.3"/>
    <row r="28" spans="1:1" ht="15.75" customHeight="1" x14ac:dyDescent="0.3"/>
    <row r="29" spans="1:1" ht="15.75" customHeight="1" x14ac:dyDescent="0.3"/>
    <row r="30" spans="1:1" ht="15.75" customHeight="1" x14ac:dyDescent="0.3"/>
  </sheetData>
  <mergeCells count="3">
    <mergeCell ref="A1:C1"/>
    <mergeCell ref="K1:L1"/>
    <mergeCell ref="A8:C8"/>
  </mergeCells>
  <phoneticPr fontId="7" type="noConversion"/>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FD495-DC0F-4D85-96BC-51CA3B7B2C00}">
  <dimension ref="A1:P41"/>
  <sheetViews>
    <sheetView tabSelected="1" topLeftCell="C1" zoomScale="70" zoomScaleNormal="70" workbookViewId="0">
      <selection activeCell="N14" sqref="N14"/>
    </sheetView>
  </sheetViews>
  <sheetFormatPr baseColWidth="10" defaultRowHeight="14.4" x14ac:dyDescent="0.3"/>
  <cols>
    <col min="1" max="1" width="57.44140625" customWidth="1"/>
    <col min="2" max="2" width="31" customWidth="1"/>
    <col min="3" max="3" width="63.109375" customWidth="1"/>
    <col min="4" max="4" width="41.109375" customWidth="1"/>
    <col min="5" max="5" width="19" customWidth="1"/>
    <col min="6" max="6" width="14.88671875" customWidth="1"/>
    <col min="7" max="7" width="16" customWidth="1"/>
    <col min="8" max="13" width="11.5546875" customWidth="1"/>
    <col min="14" max="14" width="58.6640625" customWidth="1"/>
    <col min="15" max="15" width="38.6640625" customWidth="1"/>
    <col min="16" max="16" width="34.33203125" customWidth="1"/>
  </cols>
  <sheetData>
    <row r="1" spans="1:16" ht="50.1" customHeight="1" thickBot="1" x14ac:dyDescent="0.35">
      <c r="A1" s="49" t="s">
        <v>33</v>
      </c>
      <c r="B1" s="50"/>
      <c r="C1" s="51"/>
      <c r="D1" s="16" t="s">
        <v>15</v>
      </c>
      <c r="N1" s="52" t="s">
        <v>17</v>
      </c>
      <c r="O1" s="53"/>
      <c r="P1" s="17" t="str">
        <f>D1</f>
        <v>Oferta SERFAR LTDA</v>
      </c>
    </row>
    <row r="2" spans="1:16" ht="58.2" thickBot="1" x14ac:dyDescent="0.35">
      <c r="A2" s="6" t="s">
        <v>9</v>
      </c>
      <c r="B2" s="7" t="s">
        <v>0</v>
      </c>
      <c r="C2" s="5" t="s">
        <v>8</v>
      </c>
      <c r="D2" s="24" t="s">
        <v>10</v>
      </c>
      <c r="E2" s="34" t="s">
        <v>46</v>
      </c>
      <c r="F2" s="35" t="s">
        <v>47</v>
      </c>
      <c r="G2" s="35" t="s">
        <v>48</v>
      </c>
      <c r="I2" s="47" t="s">
        <v>49</v>
      </c>
      <c r="J2" s="47" t="s">
        <v>50</v>
      </c>
      <c r="K2" s="47" t="s">
        <v>51</v>
      </c>
      <c r="L2" s="47" t="s">
        <v>52</v>
      </c>
      <c r="N2" s="10" t="s">
        <v>18</v>
      </c>
      <c r="O2" s="11" t="s">
        <v>19</v>
      </c>
      <c r="P2" s="22" t="s">
        <v>23</v>
      </c>
    </row>
    <row r="3" spans="1:16" x14ac:dyDescent="0.3">
      <c r="A3" s="8" t="s">
        <v>1</v>
      </c>
      <c r="B3" s="4">
        <v>1</v>
      </c>
      <c r="C3" s="4" t="s">
        <v>12</v>
      </c>
      <c r="D3" s="9">
        <v>50000</v>
      </c>
      <c r="E3" s="36">
        <v>110403</v>
      </c>
      <c r="F3" s="37">
        <f>E3-D3</f>
        <v>60403</v>
      </c>
      <c r="G3" s="40">
        <f>+F3/E3</f>
        <v>0.54711375596677625</v>
      </c>
      <c r="I3" s="37">
        <f>D3*60%</f>
        <v>30000</v>
      </c>
      <c r="J3" s="37">
        <f>D3*23%</f>
        <v>11500</v>
      </c>
      <c r="K3" s="37">
        <f>D3*2%</f>
        <v>1000</v>
      </c>
      <c r="L3" s="37">
        <f>D3*15%</f>
        <v>7500</v>
      </c>
      <c r="M3" s="43"/>
      <c r="N3" s="25" t="s">
        <v>7</v>
      </c>
      <c r="O3" s="27">
        <v>19675</v>
      </c>
      <c r="P3" s="12">
        <f>+O3*0.9+O3</f>
        <v>37382.5</v>
      </c>
    </row>
    <row r="4" spans="1:16" ht="15" thickBot="1" x14ac:dyDescent="0.35">
      <c r="A4" s="8" t="s">
        <v>2</v>
      </c>
      <c r="B4" s="4">
        <v>1</v>
      </c>
      <c r="C4" s="4" t="s">
        <v>13</v>
      </c>
      <c r="D4" s="9">
        <v>28000</v>
      </c>
      <c r="E4" s="38">
        <v>85065</v>
      </c>
      <c r="F4" s="37">
        <f t="shared" ref="F4:F7" si="0">E4-D4</f>
        <v>57065</v>
      </c>
      <c r="G4" s="40">
        <f t="shared" ref="G4:G9" si="1">+F4/E4</f>
        <v>0.67083994592370544</v>
      </c>
      <c r="I4" s="37">
        <f>D4*60%</f>
        <v>16800</v>
      </c>
      <c r="J4" s="37">
        <f t="shared" ref="J4:J6" si="2">D4*23%</f>
        <v>6440</v>
      </c>
      <c r="K4" s="37">
        <f t="shared" ref="K4:K6" si="3">D4*2%</f>
        <v>560</v>
      </c>
      <c r="L4" s="37">
        <f t="shared" ref="L4:L6" si="4">D4*15%</f>
        <v>4200</v>
      </c>
      <c r="M4" s="43"/>
      <c r="N4" s="26" t="s">
        <v>6</v>
      </c>
      <c r="O4" s="29">
        <v>19675</v>
      </c>
      <c r="P4" s="30">
        <f>+O4*0.9+O4</f>
        <v>37382.5</v>
      </c>
    </row>
    <row r="5" spans="1:16" ht="29.4" thickBot="1" x14ac:dyDescent="0.35">
      <c r="A5" s="8" t="s">
        <v>3</v>
      </c>
      <c r="B5" s="4">
        <v>1</v>
      </c>
      <c r="C5" s="33" t="s">
        <v>13</v>
      </c>
      <c r="D5" s="32">
        <v>28000</v>
      </c>
      <c r="E5" s="38">
        <v>85065</v>
      </c>
      <c r="F5" s="37">
        <f t="shared" si="0"/>
        <v>57065</v>
      </c>
      <c r="G5" s="40">
        <f t="shared" si="1"/>
        <v>0.67083994592370544</v>
      </c>
      <c r="I5" s="37">
        <f t="shared" ref="I5:I6" si="5">D5*60%</f>
        <v>16800</v>
      </c>
      <c r="J5" s="37">
        <f t="shared" si="2"/>
        <v>6440</v>
      </c>
      <c r="K5" s="37">
        <f t="shared" si="3"/>
        <v>560</v>
      </c>
      <c r="L5" s="37">
        <f t="shared" si="4"/>
        <v>4200</v>
      </c>
      <c r="M5" s="43"/>
      <c r="O5" s="13" t="s">
        <v>20</v>
      </c>
      <c r="P5" s="14">
        <f>+SUM(P3:P4)</f>
        <v>74765</v>
      </c>
    </row>
    <row r="6" spans="1:16" ht="53.25" customHeight="1" thickBot="1" x14ac:dyDescent="0.35">
      <c r="A6" s="8" t="s">
        <v>4</v>
      </c>
      <c r="B6" s="4">
        <v>1</v>
      </c>
      <c r="C6" s="33" t="s">
        <v>13</v>
      </c>
      <c r="D6" s="32">
        <v>28000</v>
      </c>
      <c r="E6" s="38">
        <v>85065</v>
      </c>
      <c r="F6" s="37">
        <f t="shared" si="0"/>
        <v>57065</v>
      </c>
      <c r="G6" s="40">
        <f t="shared" si="1"/>
        <v>0.67083994592370544</v>
      </c>
      <c r="I6" s="37">
        <f t="shared" si="5"/>
        <v>16800</v>
      </c>
      <c r="J6" s="37">
        <f t="shared" si="2"/>
        <v>6440</v>
      </c>
      <c r="K6" s="37">
        <f t="shared" si="3"/>
        <v>560</v>
      </c>
      <c r="L6" s="37">
        <f t="shared" si="4"/>
        <v>4200</v>
      </c>
      <c r="M6" s="43"/>
      <c r="P6" s="15" t="s">
        <v>21</v>
      </c>
    </row>
    <row r="7" spans="1:16" x14ac:dyDescent="0.3">
      <c r="A7" s="8" t="s">
        <v>5</v>
      </c>
      <c r="B7" s="4">
        <v>1</v>
      </c>
      <c r="C7" s="4" t="s">
        <v>14</v>
      </c>
      <c r="D7" s="9">
        <v>90454</v>
      </c>
      <c r="E7" s="38">
        <v>90494</v>
      </c>
      <c r="F7" s="37">
        <f t="shared" si="0"/>
        <v>40</v>
      </c>
      <c r="G7" s="41">
        <f t="shared" si="1"/>
        <v>4.4201825535394613E-4</v>
      </c>
      <c r="O7" s="43"/>
    </row>
    <row r="8" spans="1:16" x14ac:dyDescent="0.3">
      <c r="A8" s="8" t="s">
        <v>7</v>
      </c>
      <c r="B8" s="4">
        <v>1</v>
      </c>
      <c r="C8" s="4" t="s">
        <v>11</v>
      </c>
      <c r="D8" s="9">
        <f>P3</f>
        <v>37382.5</v>
      </c>
      <c r="E8" s="38">
        <v>43503</v>
      </c>
      <c r="F8" s="38">
        <f>E8-D8</f>
        <v>6120.5</v>
      </c>
      <c r="G8" s="42">
        <f t="shared" si="1"/>
        <v>0.14069144656690344</v>
      </c>
      <c r="O8" s="46"/>
    </row>
    <row r="9" spans="1:16" x14ac:dyDescent="0.3">
      <c r="A9" s="8" t="s">
        <v>6</v>
      </c>
      <c r="B9" s="4">
        <v>1</v>
      </c>
      <c r="C9" s="4" t="s">
        <v>11</v>
      </c>
      <c r="D9" s="9">
        <f>P4</f>
        <v>37382.5</v>
      </c>
      <c r="E9" s="38">
        <v>43503</v>
      </c>
      <c r="F9" s="38">
        <f>E9-D9</f>
        <v>6120.5</v>
      </c>
      <c r="G9" s="42">
        <f t="shared" si="1"/>
        <v>0.14069144656690344</v>
      </c>
    </row>
    <row r="10" spans="1:16" x14ac:dyDescent="0.3">
      <c r="D10" s="20">
        <f>+P5</f>
        <v>74765</v>
      </c>
      <c r="O10" s="46"/>
    </row>
    <row r="12" spans="1:16" x14ac:dyDescent="0.3">
      <c r="D12" s="23">
        <f>SUM(D3:D9)</f>
        <v>299219</v>
      </c>
    </row>
    <row r="14" spans="1:16" ht="269.25" customHeight="1" x14ac:dyDescent="0.3">
      <c r="F14" s="57" t="s">
        <v>53</v>
      </c>
      <c r="G14" s="57"/>
      <c r="H14" s="57"/>
      <c r="I14" s="57"/>
      <c r="J14" s="48"/>
      <c r="K14" s="48"/>
      <c r="L14" s="48"/>
      <c r="M14" s="48"/>
      <c r="N14" s="48"/>
      <c r="O14" s="48"/>
    </row>
    <row r="15" spans="1:16" ht="15" customHeight="1" x14ac:dyDescent="0.3">
      <c r="F15" s="57"/>
      <c r="G15" s="57"/>
      <c r="H15" s="57"/>
      <c r="I15" s="57"/>
      <c r="J15" s="48"/>
      <c r="K15" s="48"/>
      <c r="L15" s="48"/>
      <c r="M15" s="48"/>
      <c r="N15" s="48"/>
      <c r="O15" s="48"/>
    </row>
    <row r="16" spans="1:16" ht="15" customHeight="1" x14ac:dyDescent="0.3">
      <c r="A16" s="3"/>
      <c r="F16" s="57"/>
      <c r="G16" s="57"/>
      <c r="H16" s="57"/>
      <c r="I16" s="57"/>
      <c r="J16" s="48"/>
      <c r="K16" s="48"/>
      <c r="L16" s="48"/>
      <c r="M16" s="48"/>
      <c r="N16" s="48"/>
      <c r="O16" s="48"/>
    </row>
    <row r="17" spans="1:16" ht="15.6" x14ac:dyDescent="0.3">
      <c r="A17" s="1"/>
      <c r="F17" s="57"/>
      <c r="G17" s="57"/>
      <c r="H17" s="57"/>
      <c r="I17" s="57"/>
      <c r="J17" s="48"/>
      <c r="K17" s="48"/>
      <c r="L17" s="48"/>
      <c r="M17" s="48"/>
      <c r="N17" s="48"/>
      <c r="O17" s="48"/>
    </row>
    <row r="18" spans="1:16" ht="15.6" x14ac:dyDescent="0.3">
      <c r="A18" s="1"/>
      <c r="F18" s="57"/>
      <c r="G18" s="57"/>
      <c r="H18" s="57"/>
      <c r="I18" s="57"/>
      <c r="J18" s="48"/>
      <c r="K18" s="48"/>
      <c r="L18" s="48"/>
      <c r="M18" s="48"/>
      <c r="N18" s="48"/>
      <c r="O18" s="48"/>
    </row>
    <row r="19" spans="1:16" ht="15.6" x14ac:dyDescent="0.3">
      <c r="A19" s="2"/>
      <c r="F19" s="57"/>
      <c r="G19" s="57"/>
      <c r="H19" s="57"/>
      <c r="I19" s="57"/>
      <c r="J19" s="48"/>
      <c r="K19" s="48"/>
      <c r="L19" s="48"/>
      <c r="M19" s="48"/>
      <c r="N19" s="48"/>
      <c r="O19" s="48"/>
    </row>
    <row r="20" spans="1:16" ht="15.6" x14ac:dyDescent="0.3">
      <c r="A20" s="2"/>
      <c r="F20" s="57"/>
      <c r="G20" s="57"/>
      <c r="H20" s="57"/>
      <c r="I20" s="57"/>
      <c r="J20" s="48"/>
      <c r="K20" s="48"/>
      <c r="L20" s="48"/>
      <c r="M20" s="48"/>
      <c r="N20" s="48"/>
      <c r="O20" s="48"/>
    </row>
    <row r="21" spans="1:16" ht="15" customHeight="1" x14ac:dyDescent="0.3">
      <c r="F21" s="48"/>
      <c r="G21" s="48"/>
      <c r="H21" s="48"/>
      <c r="I21" s="48"/>
      <c r="J21" s="48"/>
      <c r="K21" s="48"/>
      <c r="L21" s="48"/>
      <c r="M21" s="48"/>
      <c r="N21" s="48"/>
      <c r="O21" s="48"/>
    </row>
    <row r="22" spans="1:16" ht="15" customHeight="1" x14ac:dyDescent="0.3">
      <c r="F22" s="48"/>
      <c r="G22" s="48"/>
      <c r="H22" s="48"/>
      <c r="I22" s="48"/>
      <c r="J22" s="48"/>
      <c r="K22" s="48"/>
      <c r="L22" s="48"/>
      <c r="M22" s="48"/>
      <c r="N22" s="48"/>
      <c r="O22" s="48"/>
    </row>
    <row r="23" spans="1:16" ht="15" customHeight="1" x14ac:dyDescent="0.3">
      <c r="F23" s="48"/>
      <c r="G23" s="48"/>
      <c r="H23" s="48"/>
      <c r="I23" s="48"/>
      <c r="J23" s="48"/>
      <c r="K23" s="48"/>
      <c r="L23" s="48"/>
      <c r="M23" s="48"/>
      <c r="N23" s="48"/>
      <c r="O23" s="48"/>
    </row>
    <row r="24" spans="1:16" ht="15" customHeight="1" x14ac:dyDescent="0.3">
      <c r="F24" s="48"/>
      <c r="G24" s="48"/>
      <c r="H24" s="48"/>
      <c r="I24" s="48"/>
      <c r="J24" s="48"/>
      <c r="K24" s="48"/>
      <c r="L24" s="48"/>
      <c r="M24" s="48"/>
      <c r="N24" s="48"/>
      <c r="O24" s="48"/>
      <c r="P24" s="39"/>
    </row>
    <row r="25" spans="1:16" ht="15.75" customHeight="1" x14ac:dyDescent="0.3">
      <c r="F25" s="48"/>
      <c r="G25" s="48"/>
      <c r="H25" s="48"/>
      <c r="I25" s="48"/>
      <c r="J25" s="48"/>
      <c r="K25" s="48"/>
      <c r="L25" s="48"/>
      <c r="M25" s="48"/>
      <c r="N25" s="48"/>
      <c r="O25" s="48"/>
      <c r="P25" s="39"/>
    </row>
    <row r="26" spans="1:16" ht="15.75" customHeight="1" x14ac:dyDescent="0.3">
      <c r="F26" s="48"/>
      <c r="G26" s="48"/>
      <c r="H26" s="48"/>
      <c r="I26" s="48"/>
      <c r="J26" s="48"/>
      <c r="K26" s="48"/>
      <c r="L26" s="48"/>
      <c r="M26" s="48"/>
      <c r="N26" s="48"/>
      <c r="O26" s="48"/>
      <c r="P26" s="39"/>
    </row>
    <row r="27" spans="1:16" ht="15.75" customHeight="1" x14ac:dyDescent="0.3">
      <c r="F27" s="48"/>
      <c r="G27" s="48"/>
      <c r="H27" s="48"/>
      <c r="I27" s="48"/>
      <c r="J27" s="48"/>
      <c r="K27" s="48"/>
      <c r="L27" s="48"/>
      <c r="M27" s="48"/>
      <c r="N27" s="48"/>
      <c r="O27" s="48"/>
      <c r="P27" s="39"/>
    </row>
    <row r="28" spans="1:16" ht="15.75" customHeight="1" x14ac:dyDescent="0.3">
      <c r="F28" s="48"/>
      <c r="G28" s="48"/>
      <c r="H28" s="48"/>
      <c r="I28" s="48"/>
      <c r="J28" s="48"/>
      <c r="K28" s="48"/>
      <c r="L28" s="48"/>
      <c r="M28" s="48"/>
      <c r="N28" s="48"/>
      <c r="O28" s="48"/>
      <c r="P28" s="39"/>
    </row>
    <row r="29" spans="1:16" ht="15" customHeight="1" x14ac:dyDescent="0.3">
      <c r="F29" s="48"/>
      <c r="G29" s="48"/>
      <c r="H29" s="48"/>
      <c r="I29" s="48"/>
      <c r="J29" s="48"/>
      <c r="K29" s="48"/>
      <c r="L29" s="48"/>
      <c r="M29" s="48"/>
      <c r="N29" s="48"/>
      <c r="O29" s="48"/>
      <c r="P29" s="39"/>
    </row>
    <row r="30" spans="1:16" ht="15" customHeight="1" x14ac:dyDescent="0.3">
      <c r="F30" s="48"/>
      <c r="G30" s="48"/>
      <c r="H30" s="48"/>
      <c r="I30" s="48"/>
      <c r="J30" s="48"/>
      <c r="K30" s="48"/>
      <c r="L30" s="48"/>
      <c r="M30" s="48"/>
      <c r="N30" s="48"/>
      <c r="O30" s="48"/>
      <c r="P30" s="39"/>
    </row>
    <row r="31" spans="1:16" x14ac:dyDescent="0.3">
      <c r="G31" s="39"/>
      <c r="H31" s="39"/>
      <c r="I31" s="39"/>
      <c r="J31" s="39"/>
      <c r="K31" s="39"/>
      <c r="L31" s="39"/>
      <c r="M31" s="39"/>
      <c r="N31" s="39"/>
      <c r="O31" s="39"/>
      <c r="P31" s="39"/>
    </row>
    <row r="32" spans="1:16" x14ac:dyDescent="0.3">
      <c r="G32" s="39"/>
      <c r="H32" s="39"/>
      <c r="I32" s="39"/>
      <c r="J32" s="39"/>
      <c r="K32" s="39"/>
      <c r="L32" s="39"/>
      <c r="M32" s="39"/>
      <c r="N32" s="39"/>
      <c r="O32" s="39"/>
      <c r="P32" s="39"/>
    </row>
    <row r="33" spans="7:16" x14ac:dyDescent="0.3">
      <c r="G33" s="39"/>
      <c r="H33" s="39"/>
      <c r="I33" s="39"/>
      <c r="J33" s="39"/>
      <c r="K33" s="39"/>
      <c r="L33" s="39"/>
      <c r="M33" s="39"/>
      <c r="N33" s="39"/>
      <c r="O33" s="39"/>
      <c r="P33" s="39"/>
    </row>
    <row r="34" spans="7:16" x14ac:dyDescent="0.3">
      <c r="G34" s="39"/>
      <c r="H34" s="39"/>
      <c r="I34" s="39"/>
      <c r="J34" s="39"/>
      <c r="K34" s="39"/>
      <c r="L34" s="39"/>
      <c r="M34" s="39"/>
      <c r="N34" s="39"/>
      <c r="O34" s="39"/>
      <c r="P34" s="39"/>
    </row>
    <row r="35" spans="7:16" x14ac:dyDescent="0.3">
      <c r="G35" s="39"/>
      <c r="H35" s="39"/>
      <c r="I35" s="39"/>
      <c r="J35" s="39"/>
      <c r="K35" s="39"/>
      <c r="L35" s="39"/>
      <c r="M35" s="39"/>
      <c r="N35" s="39"/>
      <c r="O35" s="39"/>
      <c r="P35" s="39"/>
    </row>
    <row r="36" spans="7:16" x14ac:dyDescent="0.3">
      <c r="G36" s="39"/>
      <c r="H36" s="39"/>
      <c r="I36" s="39"/>
      <c r="J36" s="39"/>
      <c r="K36" s="39"/>
      <c r="L36" s="39"/>
      <c r="M36" s="39"/>
      <c r="N36" s="39"/>
      <c r="O36" s="39"/>
      <c r="P36" s="39"/>
    </row>
    <row r="37" spans="7:16" x14ac:dyDescent="0.3">
      <c r="G37" s="39"/>
      <c r="H37" s="39"/>
      <c r="I37" s="39"/>
      <c r="J37" s="39"/>
      <c r="K37" s="39"/>
      <c r="L37" s="39"/>
      <c r="M37" s="39"/>
      <c r="N37" s="39"/>
      <c r="O37" s="39"/>
      <c r="P37" s="39"/>
    </row>
    <row r="38" spans="7:16" x14ac:dyDescent="0.3">
      <c r="G38" s="39"/>
      <c r="H38" s="39"/>
      <c r="I38" s="39"/>
      <c r="J38" s="39"/>
      <c r="K38" s="39"/>
      <c r="L38" s="39"/>
      <c r="M38" s="39"/>
      <c r="N38" s="39"/>
      <c r="O38" s="39"/>
      <c r="P38" s="39"/>
    </row>
    <row r="39" spans="7:16" x14ac:dyDescent="0.3">
      <c r="G39" s="39"/>
      <c r="H39" s="39"/>
      <c r="I39" s="39"/>
      <c r="J39" s="39"/>
      <c r="K39" s="39"/>
      <c r="L39" s="39"/>
      <c r="M39" s="39"/>
      <c r="N39" s="39"/>
      <c r="O39" s="39"/>
      <c r="P39" s="39"/>
    </row>
    <row r="40" spans="7:16" x14ac:dyDescent="0.3">
      <c r="G40" s="39"/>
      <c r="H40" s="39"/>
      <c r="I40" s="39"/>
      <c r="J40" s="39"/>
      <c r="K40" s="39"/>
      <c r="L40" s="39"/>
      <c r="M40" s="39"/>
      <c r="N40" s="39"/>
      <c r="O40" s="39"/>
      <c r="P40" s="39"/>
    </row>
    <row r="41" spans="7:16" x14ac:dyDescent="0.3">
      <c r="G41" s="39"/>
      <c r="H41" s="39"/>
      <c r="I41" s="39"/>
      <c r="J41" s="39"/>
      <c r="K41" s="39"/>
      <c r="L41" s="39"/>
      <c r="M41" s="39"/>
      <c r="N41" s="39"/>
      <c r="O41" s="39"/>
      <c r="P41" s="39"/>
    </row>
  </sheetData>
  <mergeCells count="3">
    <mergeCell ref="A1:C1"/>
    <mergeCell ref="N1:O1"/>
    <mergeCell ref="F14:I20"/>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62862-F71B-4748-9CBD-B12382762238}">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Analisis oferta y posiciones</vt:lpstr>
      <vt:lpstr>Verificación aritmetica </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Jose Diaz Florez</dc:creator>
  <cp:lastModifiedBy>María José Bohórquez Salgado</cp:lastModifiedBy>
  <dcterms:created xsi:type="dcterms:W3CDTF">2021-04-13T20:41:36Z</dcterms:created>
  <dcterms:modified xsi:type="dcterms:W3CDTF">2025-06-16T15:26:15Z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2025-03-18T14:14:56Z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47ccad4c-d31a-45d6-9bd3-09ef06213ff4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