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ocumentos\ACTIVE RECREACION\PRESUPUESTOS ACTIVE RECREACION\CLIENTES\PATINODROMO DE VILLAMARIA CALDAS\AJUSTE RINAL DOCUMENTOS 13 FEBRERO 2025\"/>
    </mc:Choice>
  </mc:AlternateContent>
  <xr:revisionPtr revIDLastSave="0" documentId="13_ncr:1_{35A10497-264A-4E42-9BA4-65773C7170EA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CRONOG CON FLUJO" sheetId="2" r:id="rId1"/>
    <sheet name="PPTO " sheetId="23" r:id="rId2"/>
    <sheet name="ANÁLISIS AIU " sheetId="25" r:id="rId3"/>
    <sheet name="APUS" sheetId="4" r:id="rId4"/>
    <sheet name="CADENA DE VALOR" sheetId="5" r:id="rId5"/>
    <sheet name="MEMORIA  1 - DESTRONQUE Y LIJAD" sheetId="6" r:id="rId6"/>
    <sheet name="MEMORIA  2 - LAVADA Y DESCONTAM" sheetId="7" r:id="rId7"/>
    <sheet name="MEMORIA  3 - RECUBRIMIENTO SINT" sheetId="8" r:id="rId8"/>
    <sheet name="MEMORIA  4 - REDUCTORES DE VELO" sheetId="9" r:id="rId9"/>
    <sheet name="MEMORIA  5 - BARANDA DE PROTECC" sheetId="10" r:id="rId10"/>
    <sheet name="frente2" sheetId="11" state="hidden" r:id="rId11"/>
    <sheet name="TK ALM 100k" sheetId="12" state="hidden" r:id="rId12"/>
    <sheet name="TANK DREN" sheetId="13" state="hidden" r:id="rId13"/>
    <sheet name="Pad inyeccion" sheetId="14" state="hidden" r:id="rId14"/>
    <sheet name="Foso Bombas" sheetId="15" state="hidden" r:id="rId15"/>
    <sheet name="Bmb transf" sheetId="16" state="hidden" r:id="rId16"/>
    <sheet name="Hoja1" sheetId="17" state="hidden" r:id="rId17"/>
    <sheet name="Hoja2" sheetId="18" state="hidden" r:id="rId18"/>
    <sheet name="MEMORIA 6 - DESMONTE BARANDA EX" sheetId="19" r:id="rId19"/>
    <sheet name="MEMORIA 7 - LAV Y DESCON CARCAM" sheetId="20" r:id="rId20"/>
    <sheet name="MEMORIA 8 - HOMOLOGACION FEDEPA" sheetId="21" r:id="rId21"/>
    <sheet name="MEMORIA 9 - VALLA INFORMATIVA" sheetId="24" r:id="rId22"/>
  </sheets>
  <externalReferences>
    <externalReference r:id="rId23"/>
  </externalReferences>
  <definedNames>
    <definedName name="\b" localSheetId="4">[1]insumos!#REF!</definedName>
    <definedName name="\b" localSheetId="5">#REF!</definedName>
    <definedName name="\b" localSheetId="6">#REF!</definedName>
    <definedName name="\b" localSheetId="7">#REF!</definedName>
    <definedName name="\b" localSheetId="8">#REF!</definedName>
    <definedName name="\b" localSheetId="9">#REF!</definedName>
    <definedName name="\b">#REF!</definedName>
    <definedName name="\c" localSheetId="2">#REF!</definedName>
    <definedName name="\c" localSheetId="0">#REF!</definedName>
    <definedName name="\c" localSheetId="10">#REF!</definedName>
    <definedName name="\c" localSheetId="5">#REF!</definedName>
    <definedName name="\c" localSheetId="6">#REF!</definedName>
    <definedName name="\c" localSheetId="7">#REF!</definedName>
    <definedName name="\c" localSheetId="8">#REF!</definedName>
    <definedName name="\c" localSheetId="9">#REF!</definedName>
    <definedName name="\c" localSheetId="11">#REF!</definedName>
    <definedName name="\c">#REF!</definedName>
    <definedName name="\e" localSheetId="5">#REF!</definedName>
    <definedName name="\e" localSheetId="6">#REF!</definedName>
    <definedName name="\e" localSheetId="7">#REF!</definedName>
    <definedName name="\e" localSheetId="8">#REF!</definedName>
    <definedName name="\e" localSheetId="9">#REF!</definedName>
    <definedName name="\e">#REF!</definedName>
    <definedName name="\i" localSheetId="4">[1]insumos!#REF!</definedName>
    <definedName name="\i" localSheetId="5">#REF!</definedName>
    <definedName name="\i" localSheetId="6">#REF!</definedName>
    <definedName name="\i" localSheetId="7">#REF!</definedName>
    <definedName name="\i" localSheetId="8">#REF!</definedName>
    <definedName name="\i" localSheetId="9">#REF!</definedName>
    <definedName name="\i">#REF!</definedName>
    <definedName name="\m" localSheetId="4">[1]insumos!#REF!</definedName>
    <definedName name="\m" localSheetId="5">#REF!</definedName>
    <definedName name="\m" localSheetId="6">#REF!</definedName>
    <definedName name="\m" localSheetId="7">#REF!</definedName>
    <definedName name="\m" localSheetId="8">#REF!</definedName>
    <definedName name="\m" localSheetId="9">#REF!</definedName>
    <definedName name="\m">#REF!</definedName>
    <definedName name="\r" localSheetId="4">[1]insumos!#REF!</definedName>
    <definedName name="\r" localSheetId="5">#REF!</definedName>
    <definedName name="\r" localSheetId="6">#REF!</definedName>
    <definedName name="\r" localSheetId="7">#REF!</definedName>
    <definedName name="\r" localSheetId="8">#REF!</definedName>
    <definedName name="\r" localSheetId="9">#REF!</definedName>
    <definedName name="\r">#REF!</definedName>
    <definedName name="\t" localSheetId="4">[1]insumos!#REF!</definedName>
    <definedName name="\t" localSheetId="5">#REF!</definedName>
    <definedName name="\t" localSheetId="6">#REF!</definedName>
    <definedName name="\t" localSheetId="7">#REF!</definedName>
    <definedName name="\t" localSheetId="8">#REF!</definedName>
    <definedName name="\t" localSheetId="9">#REF!</definedName>
    <definedName name="\t">#REF!</definedName>
    <definedName name="\v" localSheetId="6">#REF!</definedName>
    <definedName name="\v" localSheetId="7">#REF!</definedName>
    <definedName name="\v" localSheetId="8">#REF!</definedName>
    <definedName name="\v" localSheetId="9">#REF!</definedName>
    <definedName name="\v">#REF!</definedName>
    <definedName name="\x" localSheetId="4">[1]insumos!#REF!</definedName>
    <definedName name="\x" localSheetId="5">#REF!</definedName>
    <definedName name="\x" localSheetId="6">#REF!</definedName>
    <definedName name="\x" localSheetId="7">#REF!</definedName>
    <definedName name="\x" localSheetId="8">#REF!</definedName>
    <definedName name="\x" localSheetId="9">#REF!</definedName>
    <definedName name="\x">#REF!</definedName>
    <definedName name="\z" localSheetId="5">#REF!</definedName>
    <definedName name="\z" localSheetId="6">#REF!</definedName>
    <definedName name="\z" localSheetId="7">#REF!</definedName>
    <definedName name="\z" localSheetId="8">#REF!</definedName>
    <definedName name="\z" localSheetId="9">#REF!</definedName>
    <definedName name="\z">#REF!</definedName>
    <definedName name="_" localSheetId="8">#REF!</definedName>
    <definedName name="_" localSheetId="9">#REF!</definedName>
    <definedName name="_">#REF!</definedName>
    <definedName name="__CAP10" localSheetId="2">#REF!</definedName>
    <definedName name="__CAP10" localSheetId="6">#REF!</definedName>
    <definedName name="__CAP10" localSheetId="7">#REF!</definedName>
    <definedName name="__CAP10" localSheetId="8">#REF!</definedName>
    <definedName name="__CAP10" localSheetId="9">#REF!</definedName>
    <definedName name="__CAP10">#REF!</definedName>
    <definedName name="_000000" localSheetId="2">#REF!</definedName>
    <definedName name="_000000" localSheetId="10">#REF!</definedName>
    <definedName name="_000000" localSheetId="6">#REF!</definedName>
    <definedName name="_000000" localSheetId="7">#REF!</definedName>
    <definedName name="_000000" localSheetId="8">#REF!</definedName>
    <definedName name="_000000" localSheetId="9">#REF!</definedName>
    <definedName name="_000000">#REF!</definedName>
    <definedName name="_0000000000000000" localSheetId="2">#REF!</definedName>
    <definedName name="_0000000000000000" localSheetId="10">#REF!</definedName>
    <definedName name="_0000000000000000" localSheetId="6">#REF!</definedName>
    <definedName name="_0000000000000000" localSheetId="7">#REF!</definedName>
    <definedName name="_0000000000000000" localSheetId="8">#REF!</definedName>
    <definedName name="_0000000000000000" localSheetId="9">#REF!</definedName>
    <definedName name="_0000000000000000">#REF!</definedName>
    <definedName name="_000002" localSheetId="2">#REF!</definedName>
    <definedName name="_000002" localSheetId="10">#REF!</definedName>
    <definedName name="_000002" localSheetId="6">#REF!</definedName>
    <definedName name="_000002" localSheetId="7">#REF!</definedName>
    <definedName name="_000002" localSheetId="8">#REF!</definedName>
    <definedName name="_000002" localSheetId="9">#REF!</definedName>
    <definedName name="_000002">#REF!</definedName>
    <definedName name="_CAP1" localSheetId="2">#REF!</definedName>
    <definedName name="_CAP1" localSheetId="10">#REF!</definedName>
    <definedName name="_CAP1" localSheetId="6">#REF!</definedName>
    <definedName name="_CAP1" localSheetId="7">#REF!</definedName>
    <definedName name="_CAP1" localSheetId="8">#REF!</definedName>
    <definedName name="_CAP1" localSheetId="9">#REF!</definedName>
    <definedName name="_CAP1" localSheetId="11">#REF!</definedName>
    <definedName name="_CAP1">#REF!</definedName>
    <definedName name="_CAP10" localSheetId="2">#REF!</definedName>
    <definedName name="_CAP10" localSheetId="10">#REF!</definedName>
    <definedName name="_CAP10" localSheetId="6">#REF!</definedName>
    <definedName name="_CAP10" localSheetId="7">#REF!</definedName>
    <definedName name="_CAP10" localSheetId="8">#REF!</definedName>
    <definedName name="_CAP10" localSheetId="9">#REF!</definedName>
    <definedName name="_CAP10" localSheetId="11">#REF!</definedName>
    <definedName name="_CAP10">#REF!</definedName>
    <definedName name="_CAP11" localSheetId="2">#REF!</definedName>
    <definedName name="_CAP11" localSheetId="10">#REF!</definedName>
    <definedName name="_CAP11" localSheetId="6">#REF!</definedName>
    <definedName name="_CAP11" localSheetId="7">#REF!</definedName>
    <definedName name="_CAP11" localSheetId="8">#REF!</definedName>
    <definedName name="_CAP11" localSheetId="9">#REF!</definedName>
    <definedName name="_CAP11" localSheetId="11">#REF!</definedName>
    <definedName name="_CAP11">#REF!</definedName>
    <definedName name="_CAP12" localSheetId="2">#REF!</definedName>
    <definedName name="_CAP12" localSheetId="10">#REF!</definedName>
    <definedName name="_CAP12" localSheetId="6">#REF!</definedName>
    <definedName name="_CAP12" localSheetId="7">#REF!</definedName>
    <definedName name="_CAP12" localSheetId="8">#REF!</definedName>
    <definedName name="_CAP12" localSheetId="9">#REF!</definedName>
    <definedName name="_CAP12" localSheetId="11">#REF!</definedName>
    <definedName name="_CAP12">#REF!</definedName>
    <definedName name="_CAP13" localSheetId="2">#REF!</definedName>
    <definedName name="_CAP13" localSheetId="10">#REF!</definedName>
    <definedName name="_CAP13" localSheetId="6">#REF!</definedName>
    <definedName name="_CAP13" localSheetId="7">#REF!</definedName>
    <definedName name="_CAP13" localSheetId="8">#REF!</definedName>
    <definedName name="_CAP13" localSheetId="9">#REF!</definedName>
    <definedName name="_CAP13" localSheetId="11">#REF!</definedName>
    <definedName name="_CAP13">#REF!</definedName>
    <definedName name="_CAP2" localSheetId="2">#REF!</definedName>
    <definedName name="_CAP2" localSheetId="10">#REF!</definedName>
    <definedName name="_CAP2" localSheetId="6">#REF!</definedName>
    <definedName name="_CAP2" localSheetId="7">#REF!</definedName>
    <definedName name="_CAP2" localSheetId="8">#REF!</definedName>
    <definedName name="_CAP2" localSheetId="9">#REF!</definedName>
    <definedName name="_CAP2" localSheetId="11">#REF!</definedName>
    <definedName name="_CAP2">#REF!</definedName>
    <definedName name="_CAP3" localSheetId="2">#REF!</definedName>
    <definedName name="_CAP3" localSheetId="10">#REF!</definedName>
    <definedName name="_CAP3" localSheetId="6">#REF!</definedName>
    <definedName name="_CAP3" localSheetId="7">#REF!</definedName>
    <definedName name="_CAP3" localSheetId="8">#REF!</definedName>
    <definedName name="_CAP3" localSheetId="9">#REF!</definedName>
    <definedName name="_CAP3" localSheetId="11">#REF!</definedName>
    <definedName name="_CAP3">#REF!</definedName>
    <definedName name="_CAP30" localSheetId="2">#REF!</definedName>
    <definedName name="_CAP30" localSheetId="10">#REF!</definedName>
    <definedName name="_CAP30" localSheetId="6">#REF!</definedName>
    <definedName name="_CAP30" localSheetId="7">#REF!</definedName>
    <definedName name="_CAP30" localSheetId="8">#REF!</definedName>
    <definedName name="_CAP30" localSheetId="9">#REF!</definedName>
    <definedName name="_CAP30" localSheetId="11">#REF!</definedName>
    <definedName name="_CAP30">#REF!</definedName>
    <definedName name="_CAP4" localSheetId="2">#REF!</definedName>
    <definedName name="_CAP4" localSheetId="10">#REF!</definedName>
    <definedName name="_CAP4" localSheetId="6">#REF!</definedName>
    <definedName name="_CAP4" localSheetId="7">#REF!</definedName>
    <definedName name="_CAP4" localSheetId="8">#REF!</definedName>
    <definedName name="_CAP4" localSheetId="9">#REF!</definedName>
    <definedName name="_CAP4" localSheetId="11">#REF!</definedName>
    <definedName name="_CAP4">#REF!</definedName>
    <definedName name="_CAP5" localSheetId="2">#REF!</definedName>
    <definedName name="_CAP5" localSheetId="10">#REF!</definedName>
    <definedName name="_CAP5" localSheetId="6">#REF!</definedName>
    <definedName name="_CAP5" localSheetId="7">#REF!</definedName>
    <definedName name="_CAP5" localSheetId="8">#REF!</definedName>
    <definedName name="_CAP5" localSheetId="9">#REF!</definedName>
    <definedName name="_CAP5" localSheetId="11">#REF!</definedName>
    <definedName name="_CAP5">#REF!</definedName>
    <definedName name="_CAP6" localSheetId="2">#REF!</definedName>
    <definedName name="_CAP6" localSheetId="10">#REF!</definedName>
    <definedName name="_CAP6" localSheetId="6">#REF!</definedName>
    <definedName name="_CAP6" localSheetId="7">#REF!</definedName>
    <definedName name="_CAP6" localSheetId="8">#REF!</definedName>
    <definedName name="_CAP6" localSheetId="9">#REF!</definedName>
    <definedName name="_CAP6" localSheetId="11">#REF!</definedName>
    <definedName name="_CAP6">#REF!</definedName>
    <definedName name="_CAP7" localSheetId="2">#REF!</definedName>
    <definedName name="_CAP7" localSheetId="10">#REF!</definedName>
    <definedName name="_CAP7" localSheetId="6">#REF!</definedName>
    <definedName name="_CAP7" localSheetId="7">#REF!</definedName>
    <definedName name="_CAP7" localSheetId="8">#REF!</definedName>
    <definedName name="_CAP7" localSheetId="9">#REF!</definedName>
    <definedName name="_CAP7" localSheetId="11">#REF!</definedName>
    <definedName name="_CAP7">#REF!</definedName>
    <definedName name="_CAP8" localSheetId="2">#REF!</definedName>
    <definedName name="_CAP8" localSheetId="10">#REF!</definedName>
    <definedName name="_CAP8" localSheetId="6">#REF!</definedName>
    <definedName name="_CAP8" localSheetId="7">#REF!</definedName>
    <definedName name="_CAP8" localSheetId="8">#REF!</definedName>
    <definedName name="_CAP8" localSheetId="9">#REF!</definedName>
    <definedName name="_CAP8" localSheetId="11">#REF!</definedName>
    <definedName name="_CAP8">#REF!</definedName>
    <definedName name="_CAP9" localSheetId="2">#REF!</definedName>
    <definedName name="_CAP9" localSheetId="10">#REF!</definedName>
    <definedName name="_CAP9" localSheetId="6">#REF!</definedName>
    <definedName name="_CAP9" localSheetId="7">#REF!</definedName>
    <definedName name="_CAP9" localSheetId="8">#REF!</definedName>
    <definedName name="_CAP9" localSheetId="9">#REF!</definedName>
    <definedName name="_CAP9" localSheetId="11">#REF!</definedName>
    <definedName name="_CAP9">#REF!</definedName>
    <definedName name="_Key1" localSheetId="4">[1]insumos!#REF!</definedName>
    <definedName name="_Key1" localSheetId="5">[1]insumos!#REF!</definedName>
    <definedName name="_Key1" localSheetId="6">[1]insumos!#REF!</definedName>
    <definedName name="_Key1" localSheetId="7">[1]insumos!#REF!</definedName>
    <definedName name="_Key1" localSheetId="8">[1]insumos!#REF!</definedName>
    <definedName name="_Key1" localSheetId="9">[1]insumos!#REF!</definedName>
    <definedName name="_Key1">[1]insumos!#REF!</definedName>
    <definedName name="_MAYORESYMENORES" localSheetId="2">#REF!</definedName>
    <definedName name="_MAYORESYMENORES" localSheetId="6">#REF!</definedName>
    <definedName name="_MAYORESYMENORES" localSheetId="7">#REF!</definedName>
    <definedName name="_MAYORESYMENORES" localSheetId="8">#REF!</definedName>
    <definedName name="_MAYORESYMENORES" localSheetId="9">#REF!</definedName>
    <definedName name="_MAYORESYMENORES">#REF!</definedName>
    <definedName name="_Order1">255</definedName>
    <definedName name="_Sort" localSheetId="4">[1]insumos!#REF!</definedName>
    <definedName name="_Sort" localSheetId="5">[1]insumos!#REF!</definedName>
    <definedName name="_Sort" localSheetId="6">[1]insumos!#REF!</definedName>
    <definedName name="_Sort" localSheetId="7">[1]insumos!#REF!</definedName>
    <definedName name="_Sort" localSheetId="8">[1]insumos!#REF!</definedName>
    <definedName name="_Sort" localSheetId="9">[1]insumos!#REF!</definedName>
    <definedName name="_Sort">[1]insumos!#REF!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9">#REF!</definedName>
    <definedName name="a">#REF!</definedName>
    <definedName name="A_impresión_IM" localSheetId="2">#REF!</definedName>
    <definedName name="A_impresión_IM" localSheetId="10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1">#REF!</definedName>
    <definedName name="A_impresión_IM">#REF!</definedName>
    <definedName name="AAAAA" localSheetId="5">#REF!</definedName>
    <definedName name="AAAAA" localSheetId="6">#REF!</definedName>
    <definedName name="AAAAA" localSheetId="7">#REF!</definedName>
    <definedName name="AAAAA" localSheetId="8">#REF!</definedName>
    <definedName name="AAAAA" localSheetId="9">#REF!</definedName>
    <definedName name="AAAAA">#REF!</definedName>
    <definedName name="Aasda" localSheetId="5">#REF!</definedName>
    <definedName name="Aasda" localSheetId="6">#REF!</definedName>
    <definedName name="Aasda" localSheetId="7">#REF!</definedName>
    <definedName name="Aasda" localSheetId="8">#REF!</definedName>
    <definedName name="Aasda" localSheetId="9">#REF!</definedName>
    <definedName name="Aasda">#REF!</definedName>
    <definedName name="AccessDatabase">"A:\SAIN.mdb"</definedName>
    <definedName name="Acero" localSheetId="8">#REF!</definedName>
    <definedName name="Acero" localSheetId="9">#REF!</definedName>
    <definedName name="Acero">#REF!</definedName>
    <definedName name="adfsf" localSheetId="5">#REF!</definedName>
    <definedName name="adfsf" localSheetId="6">#REF!</definedName>
    <definedName name="adfsf" localSheetId="7">#REF!</definedName>
    <definedName name="adfsf" localSheetId="8">#REF!</definedName>
    <definedName name="adfsf" localSheetId="9">#REF!</definedName>
    <definedName name="adfsf">#REF!</definedName>
    <definedName name="aDSA" localSheetId="5">#REF!</definedName>
    <definedName name="aDSA" localSheetId="6">#REF!</definedName>
    <definedName name="aDSA" localSheetId="7">#REF!</definedName>
    <definedName name="aDSA" localSheetId="8">#REF!</definedName>
    <definedName name="aDSA" localSheetId="9">#REF!</definedName>
    <definedName name="aDSA">#REF!</definedName>
    <definedName name="aghdj" localSheetId="5">#REF!</definedName>
    <definedName name="aghdj" localSheetId="6">#REF!</definedName>
    <definedName name="aghdj" localSheetId="7">#REF!</definedName>
    <definedName name="aghdj" localSheetId="8">#REF!</definedName>
    <definedName name="aghdj" localSheetId="9">#REF!</definedName>
    <definedName name="aghdj">#REF!</definedName>
    <definedName name="Agregados" localSheetId="8">#REF!</definedName>
    <definedName name="Agregados" localSheetId="9">#REF!</definedName>
    <definedName name="Agregados">#REF!</definedName>
    <definedName name="ANALISIS" localSheetId="5">#REF!</definedName>
    <definedName name="ANALISIS" localSheetId="6">#REF!</definedName>
    <definedName name="ANALISIS" localSheetId="7">#REF!</definedName>
    <definedName name="ANALISIS" localSheetId="8">#REF!</definedName>
    <definedName name="ANALISIS" localSheetId="9">#REF!</definedName>
    <definedName name="ANALISIS">#REF!</definedName>
    <definedName name="Apar.Sanitarios" localSheetId="8">#REF!</definedName>
    <definedName name="Apar.Sanitarios" localSheetId="9">#REF!</definedName>
    <definedName name="Apar.Sanitarios">#REF!</definedName>
    <definedName name="AREA" localSheetId="2">#REF!</definedName>
    <definedName name="AREA" localSheetId="10">#REF!</definedName>
    <definedName name="AREA" localSheetId="6">#REF!</definedName>
    <definedName name="AREA" localSheetId="7">#REF!</definedName>
    <definedName name="AREA" localSheetId="8">#REF!</definedName>
    <definedName name="AREA" localSheetId="9">#REF!</definedName>
    <definedName name="AREA" localSheetId="11">#REF!</definedName>
    <definedName name="AREA">#REF!</definedName>
    <definedName name="_xlnm.Print_Area" localSheetId="2">'ANÁLISIS AIU '!$A$1:$I$55</definedName>
    <definedName name="_xlnm.Print_Area" localSheetId="3">APUS!$A$1:$G$307</definedName>
    <definedName name="_xlnm.Print_Area" localSheetId="4">'CADENA DE VALOR'!$C$2:$I$23</definedName>
    <definedName name="_xlnm.Print_Area" localSheetId="0">'CRONOG CON FLUJO'!$B$2:$P$35</definedName>
    <definedName name="_xlnm.Print_Area" localSheetId="5">'MEMORIA  1 - DESTRONQUE Y LIJAD'!$B$2:$L$29</definedName>
    <definedName name="_xlnm.Print_Area" localSheetId="6">'MEMORIA  2 - LAVADA Y DESCONTAM'!$B$2:$L$29</definedName>
    <definedName name="_xlnm.Print_Area" localSheetId="7">'MEMORIA  3 - RECUBRIMIENTO SINT'!$B$2:$L$24</definedName>
    <definedName name="_xlnm.Print_Area" localSheetId="8">'MEMORIA  4 - REDUCTORES DE VELO'!$B$2:$L$74</definedName>
    <definedName name="_xlnm.Print_Area" localSheetId="9">'MEMORIA  5 - BARANDA DE PROTECC'!$B$1:$L$25</definedName>
    <definedName name="_xlnm.Print_Area" localSheetId="18">'MEMORIA 6 - DESMONTE BARANDA EX'!$B$2:$L$50</definedName>
    <definedName name="_xlnm.Print_Area" localSheetId="19">'MEMORIA 7 - LAV Y DESCON CARCAM'!$B$1:$L$77</definedName>
    <definedName name="_xlnm.Print_Area" localSheetId="20">'MEMORIA 8 - HOMOLOGACION FEDEPA'!$B$2:$L$616</definedName>
    <definedName name="_xlnm.Print_Area" localSheetId="21">'MEMORIA 9 - VALLA INFORMATIVA'!$B$2:$L$616</definedName>
    <definedName name="_xlnm.Print_Area" localSheetId="1">'PPTO '!$B$2:$G$45</definedName>
    <definedName name="AREAPRIVADA" localSheetId="2">#REF!</definedName>
    <definedName name="AREAPRIVADA" localSheetId="10">#REF!</definedName>
    <definedName name="AREAPRIVADA" localSheetId="6">#REF!</definedName>
    <definedName name="AREAPRIVADA" localSheetId="7">#REF!</definedName>
    <definedName name="AREAPRIVADA" localSheetId="8">#REF!</definedName>
    <definedName name="AREAPRIVADA" localSheetId="9">#REF!</definedName>
    <definedName name="AREAPRIVADA" localSheetId="11">#REF!</definedName>
    <definedName name="AREAPRIVADA">#REF!</definedName>
    <definedName name="BALANCE" localSheetId="5">#REF!</definedName>
    <definedName name="BALANCE" localSheetId="6">#REF!</definedName>
    <definedName name="BALANCE" localSheetId="7">#REF!</definedName>
    <definedName name="BALANCE" localSheetId="8">#REF!</definedName>
    <definedName name="BALANCE" localSheetId="9">#REF!</definedName>
    <definedName name="BALANCE">#REF!</definedName>
    <definedName name="Base_datos_IM" localSheetId="5">#REF!</definedName>
    <definedName name="Base_datos_IM" localSheetId="6">#REF!</definedName>
    <definedName name="Base_datos_IM" localSheetId="7">#REF!</definedName>
    <definedName name="Base_datos_IM" localSheetId="8">#REF!</definedName>
    <definedName name="Base_datos_IM" localSheetId="9">#REF!</definedName>
    <definedName name="Base_datos_IM">#REF!</definedName>
    <definedName name="BASE_DE_DATOS" localSheetId="5">#REF!</definedName>
    <definedName name="BASE_DE_DATOS" localSheetId="6">#REF!</definedName>
    <definedName name="BASE_DE_DATOS" localSheetId="7">#REF!</definedName>
    <definedName name="BASE_DE_DATOS" localSheetId="8">#REF!</definedName>
    <definedName name="BASE_DE_DATOS" localSheetId="9">#REF!</definedName>
    <definedName name="BASE_DE_DATOS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>#REF!</definedName>
    <definedName name="BORDE1" localSheetId="4">#N/A</definedName>
    <definedName name="BORDE1" localSheetId="5">#REF!</definedName>
    <definedName name="BORDE1" localSheetId="6">#REF!</definedName>
    <definedName name="BORDE1" localSheetId="7">#REF!</definedName>
    <definedName name="BORDE1" localSheetId="8">#REF!</definedName>
    <definedName name="BORDE1" localSheetId="9">#REF!</definedName>
    <definedName name="BORDE1">#REF!</definedName>
    <definedName name="BORDE2" localSheetId="5">#REF!</definedName>
    <definedName name="BORDE2" localSheetId="6">#REF!</definedName>
    <definedName name="BORDE2" localSheetId="7">#REF!</definedName>
    <definedName name="BORDE2" localSheetId="8">#REF!</definedName>
    <definedName name="BORDE2" localSheetId="9">#REF!</definedName>
    <definedName name="BORDE2">#REF!</definedName>
    <definedName name="BORDE3" localSheetId="5">#REF!</definedName>
    <definedName name="BORDE3" localSheetId="6">#REF!</definedName>
    <definedName name="BORDE3" localSheetId="7">#REF!</definedName>
    <definedName name="BORDE3" localSheetId="8">#REF!</definedName>
    <definedName name="BORDE3" localSheetId="9">#REF!</definedName>
    <definedName name="BORDE3">#REF!</definedName>
    <definedName name="CAP" localSheetId="2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>#REF!</definedName>
    <definedName name="CapActividad" localSheetId="5">#REF!</definedName>
    <definedName name="CapActividad" localSheetId="6">#REF!</definedName>
    <definedName name="CapActividad" localSheetId="7">#REF!</definedName>
    <definedName name="CapActividad" localSheetId="8">#REF!</definedName>
    <definedName name="CapActividad" localSheetId="9">#REF!</definedName>
    <definedName name="CapActividad">#REF!</definedName>
    <definedName name="CapComponent" localSheetId="5">#REF!</definedName>
    <definedName name="CapComponent" localSheetId="6">#REF!</definedName>
    <definedName name="CapComponent" localSheetId="7">#REF!</definedName>
    <definedName name="CapComponent" localSheetId="8">#REF!</definedName>
    <definedName name="CapComponent" localSheetId="9">#REF!</definedName>
    <definedName name="CapComponent">#REF!</definedName>
    <definedName name="capd" localSheetId="5">#REF!</definedName>
    <definedName name="capd" localSheetId="6">#REF!</definedName>
    <definedName name="capd" localSheetId="7">#REF!</definedName>
    <definedName name="capd" localSheetId="8">#REF!</definedName>
    <definedName name="capd" localSheetId="9">#REF!</definedName>
    <definedName name="capd">#REF!</definedName>
    <definedName name="CapResumen" localSheetId="5">#REF!</definedName>
    <definedName name="CapResumen" localSheetId="6">#REF!</definedName>
    <definedName name="CapResumen" localSheetId="7">#REF!</definedName>
    <definedName name="CapResumen" localSheetId="8">#REF!</definedName>
    <definedName name="CapResumen" localSheetId="9">#REF!</definedName>
    <definedName name="CapResumen">#REF!</definedName>
    <definedName name="Carp.Aluminio" localSheetId="8">#REF!</definedName>
    <definedName name="Carp.Aluminio" localSheetId="9">#REF!</definedName>
    <definedName name="Carp.Aluminio">#REF!</definedName>
    <definedName name="Carp.Metalica" localSheetId="8">#REF!</definedName>
    <definedName name="Carp.Metalica" localSheetId="9">#REF!</definedName>
    <definedName name="Carp.Metalica">#REF!</definedName>
    <definedName name="CDIRECTO" localSheetId="2">#REF!</definedName>
    <definedName name="CDIRECTO" localSheetId="10">#REF!</definedName>
    <definedName name="CDIRECTO" localSheetId="6">#REF!</definedName>
    <definedName name="CDIRECTO" localSheetId="7">#REF!</definedName>
    <definedName name="CDIRECTO" localSheetId="8">#REF!</definedName>
    <definedName name="CDIRECTO" localSheetId="9">#REF!</definedName>
    <definedName name="CDIRECTO" localSheetId="11">#REF!</definedName>
    <definedName name="CDIRECTO">#REF!</definedName>
    <definedName name="CER" localSheetId="5">{#N/A,#N/A,FALSE,"PROPON.2001"}</definedName>
    <definedName name="CER" localSheetId="6">{#N/A,#N/A,FALSE,"PROPON.2001"}</definedName>
    <definedName name="CER" localSheetId="7">{#N/A,#N/A,FALSE,"PROPON.2001"}</definedName>
    <definedName name="CER" localSheetId="8">{#N/A,#N/A,FALSE,"PROPON.2001"}</definedName>
    <definedName name="CER" localSheetId="9">{#N/A,#N/A,FALSE,"PROPON.2001"}</definedName>
    <definedName name="CER">{#N/A,#N/A,FALSE,"PROPON.2001"}</definedName>
    <definedName name="Cerrajeria" localSheetId="8">#REF!</definedName>
    <definedName name="Cerrajeria" localSheetId="9">#REF!</definedName>
    <definedName name="Cerrajeria">#REF!</definedName>
    <definedName name="cfgh" localSheetId="5">#REF!</definedName>
    <definedName name="cfgh" localSheetId="6">#REF!</definedName>
    <definedName name="cfgh" localSheetId="7">#REF!</definedName>
    <definedName name="cfgh" localSheetId="8">#REF!</definedName>
    <definedName name="cfgh" localSheetId="9">#REF!</definedName>
    <definedName name="cfgh">#REF!</definedName>
    <definedName name="Ciudades" localSheetId="8">#REF!</definedName>
    <definedName name="Ciudades" localSheetId="9">#REF!</definedName>
    <definedName name="Ciudades">#REF!</definedName>
    <definedName name="Combustible" localSheetId="8">#REF!</definedName>
    <definedName name="Combustible" localSheetId="9">#REF!</definedName>
    <definedName name="Combustible">#REF!</definedName>
    <definedName name="CONCRETO" localSheetId="8">[1]insumos!#REF!</definedName>
    <definedName name="CONCRETO" localSheetId="9">[1]insumos!#REF!</definedName>
    <definedName name="CONCRETO">[1]insumos!#REF!</definedName>
    <definedName name="Concretos" localSheetId="8">#REF!</definedName>
    <definedName name="Concretos" localSheetId="9">#REF!</definedName>
    <definedName name="Concretos">#REF!</definedName>
    <definedName name="CORTE" localSheetId="2">#REF!</definedName>
    <definedName name="CORTE" localSheetId="6">#REF!</definedName>
    <definedName name="CORTE" localSheetId="7">#REF!</definedName>
    <definedName name="CORTE" localSheetId="8">#REF!</definedName>
    <definedName name="CORTE" localSheetId="9">#REF!</definedName>
    <definedName name="CORTE">#REF!</definedName>
    <definedName name="_xlnm.Criteria" localSheetId="8">[1]insumos!#REF!</definedName>
    <definedName name="_xlnm.Criteria" localSheetId="9">[1]insumos!#REF!</definedName>
    <definedName name="_xlnm.Criteria">[1]insumos!#REF!</definedName>
    <definedName name="Criterios_IM" localSheetId="4">[1]insumos!#REF!</definedName>
    <definedName name="Criterios_IM" localSheetId="5">#REF!</definedName>
    <definedName name="Criterios_IM" localSheetId="6">#REF!</definedName>
    <definedName name="Criterios_IM" localSheetId="7">#REF!</definedName>
    <definedName name="Criterios_IM" localSheetId="8">#REF!</definedName>
    <definedName name="Criterios_IM" localSheetId="9">#REF!</definedName>
    <definedName name="Criterios_IM">#REF!</definedName>
    <definedName name="Cuadrillas" localSheetId="8">#REF!</definedName>
    <definedName name="Cuadrillas" localSheetId="9">#REF!</definedName>
    <definedName name="Cuadrillas">#REF!</definedName>
    <definedName name="Cubierta" localSheetId="8">#REF!</definedName>
    <definedName name="Cubierta" localSheetId="9">#REF!</definedName>
    <definedName name="Cubierta">#REF!</definedName>
    <definedName name="dagrsg" localSheetId="5">#REF!</definedName>
    <definedName name="dagrsg" localSheetId="6">#REF!</definedName>
    <definedName name="dagrsg" localSheetId="7">#REF!</definedName>
    <definedName name="dagrsg" localSheetId="8">#REF!</definedName>
    <definedName name="dagrsg" localSheetId="9">#REF!</definedName>
    <definedName name="dagrsg">#REF!</definedName>
    <definedName name="DEMOLICIÓN" localSheetId="8">[1]insumos!#REF!</definedName>
    <definedName name="DEMOLICIÓN" localSheetId="9">[1]insumos!#REF!</definedName>
    <definedName name="DEMOLICIÓN">[1]insumos!#REF!</definedName>
    <definedName name="DEMOLICIONES" localSheetId="8">[1]insumos!#REF!</definedName>
    <definedName name="DEMOLICIONES" localSheetId="9">[1]insumos!#REF!</definedName>
    <definedName name="DEMOLICIONES">[1]insumos!#REF!</definedName>
    <definedName name="DESM" localSheetId="5">#REF!</definedName>
    <definedName name="DESM" localSheetId="6">#REF!</definedName>
    <definedName name="DESM" localSheetId="7">#REF!</definedName>
    <definedName name="DESM" localSheetId="8">#REF!</definedName>
    <definedName name="DESM" localSheetId="9">#REF!</definedName>
    <definedName name="DESM">#REF!</definedName>
    <definedName name="df" localSheetId="5">#REF!</definedName>
    <definedName name="df" localSheetId="6">#REF!</definedName>
    <definedName name="df" localSheetId="7">#REF!</definedName>
    <definedName name="df" localSheetId="8">#REF!</definedName>
    <definedName name="df" localSheetId="9">#REF!</definedName>
    <definedName name="df">#REF!</definedName>
    <definedName name="dfags" localSheetId="5">#REF!</definedName>
    <definedName name="dfags" localSheetId="6">#REF!</definedName>
    <definedName name="dfags" localSheetId="7">#REF!</definedName>
    <definedName name="dfags" localSheetId="8">#REF!</definedName>
    <definedName name="dfags" localSheetId="9">#REF!</definedName>
    <definedName name="dfags">#REF!</definedName>
    <definedName name="dfdf" localSheetId="5">#REF!</definedName>
    <definedName name="dfdf" localSheetId="6">#REF!</definedName>
    <definedName name="dfdf" localSheetId="7">#REF!</definedName>
    <definedName name="dfdf" localSheetId="8">#REF!</definedName>
    <definedName name="dfdf" localSheetId="9">#REF!</definedName>
    <definedName name="dfdf">#REF!</definedName>
    <definedName name="DFGD" localSheetId="4">[1]insumos!#REF!</definedName>
    <definedName name="dfsadf" localSheetId="5">#REF!</definedName>
    <definedName name="dfsadf" localSheetId="6">#REF!</definedName>
    <definedName name="dfsadf" localSheetId="7">#REF!</definedName>
    <definedName name="dfsadf" localSheetId="8">#REF!</definedName>
    <definedName name="dfsadf" localSheetId="9">#REF!</definedName>
    <definedName name="dfsadf">#REF!</definedName>
    <definedName name="dfsdf" localSheetId="5">#REF!</definedName>
    <definedName name="dfsdf" localSheetId="6">#REF!</definedName>
    <definedName name="dfsdf" localSheetId="7">#REF!</definedName>
    <definedName name="dfsdf" localSheetId="8">#REF!</definedName>
    <definedName name="dfsdf" localSheetId="9">#REF!</definedName>
    <definedName name="dfsdf">#REF!</definedName>
    <definedName name="dfsgf" localSheetId="5">#REF!</definedName>
    <definedName name="dfsgf" localSheetId="6">#REF!</definedName>
    <definedName name="dfsgf" localSheetId="7">#REF!</definedName>
    <definedName name="dfsgf" localSheetId="8">#REF!</definedName>
    <definedName name="dfsgf" localSheetId="9">#REF!</definedName>
    <definedName name="dfsgf">#REF!</definedName>
    <definedName name="Diametro" localSheetId="5">#REF!</definedName>
    <definedName name="Diametro" localSheetId="6">#REF!</definedName>
    <definedName name="Diametro" localSheetId="7">#REF!</definedName>
    <definedName name="Diametro" localSheetId="8">#REF!</definedName>
    <definedName name="Diametro" localSheetId="9">#REF!</definedName>
    <definedName name="Diametro">#REF!</definedName>
    <definedName name="drw" localSheetId="5">{#N/A,#N/A,FALSE,"PROPON.2001"}</definedName>
    <definedName name="drw" localSheetId="6">{#N/A,#N/A,FALSE,"PROPON.2001"}</definedName>
    <definedName name="drw" localSheetId="7">{#N/A,#N/A,FALSE,"PROPON.2001"}</definedName>
    <definedName name="drw" localSheetId="8">{#N/A,#N/A,FALSE,"PROPON.2001"}</definedName>
    <definedName name="drw" localSheetId="9">{#N/A,#N/A,FALSE,"PROPON.2001"}</definedName>
    <definedName name="drw">{#N/A,#N/A,FALSE,"PROPON.2001"}</definedName>
    <definedName name="Drywall" localSheetId="8">#REF!</definedName>
    <definedName name="Drywall" localSheetId="9">#REF!</definedName>
    <definedName name="Drywall">#REF!</definedName>
    <definedName name="dv" localSheetId="6">#REF!</definedName>
    <definedName name="dv" localSheetId="7">#REF!</definedName>
    <definedName name="dv" localSheetId="8">#REF!</definedName>
    <definedName name="dv" localSheetId="9">#REF!</definedName>
    <definedName name="dv">#REF!</definedName>
    <definedName name="dvlm" localSheetId="6">#REF!</definedName>
    <definedName name="dvlm" localSheetId="7">#REF!</definedName>
    <definedName name="dvlm" localSheetId="8">#REF!</definedName>
    <definedName name="dvlm" localSheetId="9">#REF!</definedName>
    <definedName name="dvlm">#REF!</definedName>
    <definedName name="dw" localSheetId="5">#REF!</definedName>
    <definedName name="dw" localSheetId="6">#REF!</definedName>
    <definedName name="dw" localSheetId="7">#REF!</definedName>
    <definedName name="dw" localSheetId="8">#REF!</definedName>
    <definedName name="dw" localSheetId="9">#REF!</definedName>
    <definedName name="dw">#REF!</definedName>
    <definedName name="dxAASA" localSheetId="5">#REF!</definedName>
    <definedName name="dxAASA" localSheetId="6">#REF!</definedName>
    <definedName name="dxAASA" localSheetId="7">#REF!</definedName>
    <definedName name="dxAASA" localSheetId="8">#REF!</definedName>
    <definedName name="dxAASA" localSheetId="9">#REF!</definedName>
    <definedName name="dxAASA">#REF!</definedName>
    <definedName name="e" localSheetId="5">#REF!</definedName>
    <definedName name="e" localSheetId="6">#REF!</definedName>
    <definedName name="e" localSheetId="7">#REF!</definedName>
    <definedName name="e" localSheetId="8">#REF!</definedName>
    <definedName name="e" localSheetId="9">#REF!</definedName>
    <definedName name="e">#REF!</definedName>
    <definedName name="EEE" localSheetId="8">#REF!</definedName>
    <definedName name="EEE" localSheetId="9">#REF!</definedName>
    <definedName name="EEE">#REF!</definedName>
    <definedName name="efew" localSheetId="5">#REF!</definedName>
    <definedName name="efew" localSheetId="6">#REF!</definedName>
    <definedName name="efew" localSheetId="7">#REF!</definedName>
    <definedName name="efew" localSheetId="8">#REF!</definedName>
    <definedName name="efew" localSheetId="9">#REF!</definedName>
    <definedName name="efew">#REF!</definedName>
    <definedName name="Equipos" localSheetId="8">#REF!</definedName>
    <definedName name="Equipos" localSheetId="9">#REF!</definedName>
    <definedName name="Equipos">#REF!</definedName>
    <definedName name="EquiposEspeciales" localSheetId="8">#REF!</definedName>
    <definedName name="EquiposEspeciales" localSheetId="9">#REF!</definedName>
    <definedName name="EquiposEspeciales">#REF!</definedName>
    <definedName name="Estaquillado" localSheetId="8">[1]insumos!#REF!</definedName>
    <definedName name="Estaquillado" localSheetId="9">[1]insumos!#REF!</definedName>
    <definedName name="Estaquillado">[1]insumos!#REF!</definedName>
    <definedName name="ESTUFAS" localSheetId="5">#REF!</definedName>
    <definedName name="ESTUFAS" localSheetId="6">#REF!</definedName>
    <definedName name="ESTUFAS" localSheetId="7">#REF!</definedName>
    <definedName name="ESTUFAS" localSheetId="8">#REF!</definedName>
    <definedName name="ESTUFAS" localSheetId="9">#REF!</definedName>
    <definedName name="ESTUFAS">#REF!</definedName>
    <definedName name="ewq" localSheetId="5">#REF!</definedName>
    <definedName name="ewq" localSheetId="6">#REF!</definedName>
    <definedName name="ewq" localSheetId="7">#REF!</definedName>
    <definedName name="ewq" localSheetId="8">#REF!</definedName>
    <definedName name="ewq" localSheetId="9">#REF!</definedName>
    <definedName name="ewq">#REF!</definedName>
    <definedName name="ewqf" localSheetId="5">#REF!</definedName>
    <definedName name="ewqf" localSheetId="6">#REF!</definedName>
    <definedName name="ewqf" localSheetId="7">#REF!</definedName>
    <definedName name="ewqf" localSheetId="8">#REF!</definedName>
    <definedName name="ewqf" localSheetId="9">#REF!</definedName>
    <definedName name="ewqf">#REF!</definedName>
    <definedName name="fad" localSheetId="5">#REF!</definedName>
    <definedName name="fad" localSheetId="6">#REF!</definedName>
    <definedName name="fad" localSheetId="7">#REF!</definedName>
    <definedName name="fad" localSheetId="8">#REF!</definedName>
    <definedName name="fad" localSheetId="9">#REF!</definedName>
    <definedName name="fad">#REF!</definedName>
    <definedName name="fasdfv" localSheetId="5">#REF!</definedName>
    <definedName name="fasdfv" localSheetId="6">#REF!</definedName>
    <definedName name="fasdfv" localSheetId="7">#REF!</definedName>
    <definedName name="fasdfv" localSheetId="8">#REF!</definedName>
    <definedName name="fasdfv" localSheetId="9">#REF!</definedName>
    <definedName name="fasdfv">#REF!</definedName>
    <definedName name="Ferreteria" localSheetId="8">#REF!</definedName>
    <definedName name="Ferreteria" localSheetId="9">#REF!</definedName>
    <definedName name="Ferreteria">#REF!</definedName>
    <definedName name="fgh" localSheetId="5">#REF!</definedName>
    <definedName name="fgh" localSheetId="6">#REF!</definedName>
    <definedName name="fgh" localSheetId="7">#REF!</definedName>
    <definedName name="fgh" localSheetId="8">#REF!</definedName>
    <definedName name="fgh" localSheetId="9">#REF!</definedName>
    <definedName name="fgh">#REF!</definedName>
    <definedName name="FGNDFGBDF" localSheetId="8">#REF!</definedName>
    <definedName name="FGNDFGBDF" localSheetId="9">#REF!</definedName>
    <definedName name="FGNDFGBDF">#REF!</definedName>
    <definedName name="fgshgdfs" localSheetId="5">#REF!</definedName>
    <definedName name="fgshgdfs" localSheetId="6">#REF!</definedName>
    <definedName name="fgshgdfs" localSheetId="7">#REF!</definedName>
    <definedName name="fgshgdfs" localSheetId="8">#REF!</definedName>
    <definedName name="fgshgdfs" localSheetId="9">#REF!</definedName>
    <definedName name="fgshgdfs">#REF!</definedName>
    <definedName name="Formaletas" localSheetId="8">#REF!</definedName>
    <definedName name="Formaletas" localSheetId="9">#REF!</definedName>
    <definedName name="Formaletas">#REF!</definedName>
    <definedName name="Formato" localSheetId="5">#REF!</definedName>
    <definedName name="Formato" localSheetId="6">#REF!</definedName>
    <definedName name="Formato" localSheetId="7">#REF!</definedName>
    <definedName name="Formato" localSheetId="8">#REF!</definedName>
    <definedName name="Formato" localSheetId="9">#REF!</definedName>
    <definedName name="Formato">#REF!</definedName>
    <definedName name="Formato1" localSheetId="5">#REF!</definedName>
    <definedName name="Formato1" localSheetId="6">#REF!</definedName>
    <definedName name="Formato1" localSheetId="7">#REF!</definedName>
    <definedName name="Formato1" localSheetId="8">#REF!</definedName>
    <definedName name="Formato1" localSheetId="9">#REF!</definedName>
    <definedName name="Formato1">#REF!</definedName>
    <definedName name="g" localSheetId="6">#REF!</definedName>
    <definedName name="g" localSheetId="7">#REF!</definedName>
    <definedName name="g" localSheetId="8">#REF!</definedName>
    <definedName name="g" localSheetId="9">#REF!</definedName>
    <definedName name="g">#REF!</definedName>
    <definedName name="Geosinteticos" localSheetId="8">#REF!</definedName>
    <definedName name="Geosinteticos" localSheetId="9">#REF!</definedName>
    <definedName name="Geosinteticos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>#REF!</definedName>
    <definedName name="i3yjrh" localSheetId="5">#REF!</definedName>
    <definedName name="i3yjrh" localSheetId="6">#REF!</definedName>
    <definedName name="i3yjrh" localSheetId="7">#REF!</definedName>
    <definedName name="i3yjrh" localSheetId="8">#REF!</definedName>
    <definedName name="i3yjrh" localSheetId="9">#REF!</definedName>
    <definedName name="i3yjrh">#REF!</definedName>
    <definedName name="ii" localSheetId="5">#REF!</definedName>
    <definedName name="ii" localSheetId="6">#REF!</definedName>
    <definedName name="ii" localSheetId="7">#REF!</definedName>
    <definedName name="ii" localSheetId="8">#REF!</definedName>
    <definedName name="ii" localSheetId="9">#REF!</definedName>
    <definedName name="ii">#REF!</definedName>
    <definedName name="iii" localSheetId="5">#REF!</definedName>
    <definedName name="iii" localSheetId="6">#REF!</definedName>
    <definedName name="iii" localSheetId="7">#REF!</definedName>
    <definedName name="iii" localSheetId="8">#REF!</definedName>
    <definedName name="iii" localSheetId="9">#REF!</definedName>
    <definedName name="iii">#REF!</definedName>
    <definedName name="Impermeabilizantes" localSheetId="8">#REF!</definedName>
    <definedName name="Impermeabilizantes" localSheetId="9">#REF!</definedName>
    <definedName name="Impermeabilizantes">#REF!</definedName>
    <definedName name="INDIVIDUALES" localSheetId="5">#REF!</definedName>
    <definedName name="INDIVIDUALES" localSheetId="6">#REF!</definedName>
    <definedName name="INDIVIDUALES" localSheetId="7">#REF!</definedName>
    <definedName name="INDIVIDUALES" localSheetId="8">#REF!</definedName>
    <definedName name="INDIVIDUALES" localSheetId="9">#REF!</definedName>
    <definedName name="INDIVIDUALES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>#REF!</definedName>
    <definedName name="Informe" localSheetId="5">{#N/A,#N/A,FALSE,"PROPON.2001"}</definedName>
    <definedName name="Informe" localSheetId="6">{#N/A,#N/A,FALSE,"PROPON.2001"}</definedName>
    <definedName name="Informe" localSheetId="7">{#N/A,#N/A,FALSE,"PROPON.2001"}</definedName>
    <definedName name="Informe" localSheetId="8">{#N/A,#N/A,FALSE,"PROPON.2001"}</definedName>
    <definedName name="Informe" localSheetId="9">{#N/A,#N/A,FALSE,"PROPON.2001"}</definedName>
    <definedName name="Informe">{#N/A,#N/A,FALSE,"PROPON.2001"}</definedName>
    <definedName name="Inst.Electricas" localSheetId="8">#REF!</definedName>
    <definedName name="Inst.Electricas" localSheetId="9">#REF!</definedName>
    <definedName name="Inst.Electricas">#REF!</definedName>
    <definedName name="Inst.Hidrosanitarias" localSheetId="8">#REF!</definedName>
    <definedName name="Inst.Hidrosanitarias" localSheetId="9">#REF!</definedName>
    <definedName name="Inst.Hidrosanitarias">#REF!</definedName>
    <definedName name="INSUMOS" localSheetId="4">#REF!</definedName>
    <definedName name="INSUMOS" localSheetId="5">#REF!</definedName>
    <definedName name="INSUMOS" localSheetId="6">#REF!</definedName>
    <definedName name="INSUMOS" localSheetId="7">#REF!</definedName>
    <definedName name="INSUMOS" localSheetId="8">#REF!</definedName>
    <definedName name="INSUMOS" localSheetId="9">#REF!</definedName>
    <definedName name="INSUMOS">#REF!</definedName>
    <definedName name="ITEMS" localSheetId="5">#REF!</definedName>
    <definedName name="ITEMS" localSheetId="6">#REF!</definedName>
    <definedName name="ITEMS" localSheetId="7">#REF!</definedName>
    <definedName name="ITEMS" localSheetId="8">#REF!</definedName>
    <definedName name="ITEMS" localSheetId="9">#REF!</definedName>
    <definedName name="ITEMS">#REF!</definedName>
    <definedName name="jcdbjdc" localSheetId="6">#REF!</definedName>
    <definedName name="jcdbjdc" localSheetId="7">#REF!</definedName>
    <definedName name="jcdbjdc" localSheetId="8">#REF!</definedName>
    <definedName name="jcdbjdc" localSheetId="9">#REF!</definedName>
    <definedName name="jcdbjdc">#REF!</definedName>
    <definedName name="K" localSheetId="8">[1]insumos!#REF!</definedName>
    <definedName name="K" localSheetId="9">[1]insumos!#REF!</definedName>
    <definedName name="K">[1]insumos!#REF!</definedName>
    <definedName name="Ladrillos" localSheetId="8">#REF!</definedName>
    <definedName name="Ladrillos" localSheetId="9">#REF!</definedName>
    <definedName name="Ladrillos">#REF!</definedName>
    <definedName name="listado1" localSheetId="5">{#N/A,#N/A,FALSE,"PROPON.2001"}</definedName>
    <definedName name="listado1" localSheetId="6">{#N/A,#N/A,FALSE,"PROPON.2001"}</definedName>
    <definedName name="listado1" localSheetId="7">{#N/A,#N/A,FALSE,"PROPON.2001"}</definedName>
    <definedName name="listado1" localSheetId="8">{#N/A,#N/A,FALSE,"PROPON.2001"}</definedName>
    <definedName name="listado1" localSheetId="9">{#N/A,#N/A,FALSE,"PROPON.2001"}</definedName>
    <definedName name="listado1">{#N/A,#N/A,FALSE,"PROPON.2001"}</definedName>
    <definedName name="ll" localSheetId="5">#REF!</definedName>
    <definedName name="ll" localSheetId="6">#REF!</definedName>
    <definedName name="ll" localSheetId="7">#REF!</definedName>
    <definedName name="ll" localSheetId="8">#REF!</definedName>
    <definedName name="ll" localSheetId="9">#REF!</definedName>
    <definedName name="ll">#REF!</definedName>
    <definedName name="LUZ" localSheetId="5">{#N/A,#N/A,FALSE,"PROPON.2001"}</definedName>
    <definedName name="LUZ" localSheetId="6">{#N/A,#N/A,FALSE,"PROPON.2001"}</definedName>
    <definedName name="LUZ" localSheetId="7">{#N/A,#N/A,FALSE,"PROPON.2001"}</definedName>
    <definedName name="LUZ" localSheetId="8">{#N/A,#N/A,FALSE,"PROPON.2001"}</definedName>
    <definedName name="LUZ" localSheetId="9">{#N/A,#N/A,FALSE,"PROPON.2001"}</definedName>
    <definedName name="LUZ">{#N/A,#N/A,FALSE,"PROPON.2001"}</definedName>
    <definedName name="M" localSheetId="5">{#N/A,#N/A,FALSE,"PROPON.2001"}</definedName>
    <definedName name="M" localSheetId="6">{#N/A,#N/A,FALSE,"PROPON.2001"}</definedName>
    <definedName name="M" localSheetId="7">{#N/A,#N/A,FALSE,"PROPON.2001"}</definedName>
    <definedName name="M" localSheetId="8">{#N/A,#N/A,FALSE,"PROPON.2001"}</definedName>
    <definedName name="M" localSheetId="9">{#N/A,#N/A,FALSE,"PROPON.2001"}</definedName>
    <definedName name="M">{#N/A,#N/A,FALSE,"PROPON.2001"}</definedName>
    <definedName name="Maderas" localSheetId="8">#REF!</definedName>
    <definedName name="Maderas" localSheetId="9">#REF!</definedName>
    <definedName name="Maderas">#REF!</definedName>
    <definedName name="Marca" localSheetId="5">#REF!</definedName>
    <definedName name="Marca" localSheetId="6">#REF!</definedName>
    <definedName name="Marca" localSheetId="7">#REF!</definedName>
    <definedName name="Marca" localSheetId="8">#REF!</definedName>
    <definedName name="Marca" localSheetId="9">#REF!</definedName>
    <definedName name="Marca">#REF!</definedName>
    <definedName name="MARIA" localSheetId="5">{#N/A,#N/A,FALSE,"PROPON.2001"}</definedName>
    <definedName name="MARIA" localSheetId="6">{#N/A,#N/A,FALSE,"PROPON.2001"}</definedName>
    <definedName name="MARIA" localSheetId="7">{#N/A,#N/A,FALSE,"PROPON.2001"}</definedName>
    <definedName name="MARIA" localSheetId="8">{#N/A,#N/A,FALSE,"PROPON.2001"}</definedName>
    <definedName name="MARIA" localSheetId="9">{#N/A,#N/A,FALSE,"PROPON.2001"}</definedName>
    <definedName name="MARIA">{#N/A,#N/A,FALSE,"PROPON.2001"}</definedName>
    <definedName name="MARTA" localSheetId="5">{#N/A,#N/A,FALSE,"PROPON.2001"}</definedName>
    <definedName name="MARTA" localSheetId="6">{#N/A,#N/A,FALSE,"PROPON.2001"}</definedName>
    <definedName name="MARTA" localSheetId="7">{#N/A,#N/A,FALSE,"PROPON.2001"}</definedName>
    <definedName name="MARTA" localSheetId="8">{#N/A,#N/A,FALSE,"PROPON.2001"}</definedName>
    <definedName name="MARTA" localSheetId="9">{#N/A,#N/A,FALSE,"PROPON.2001"}</definedName>
    <definedName name="MARTA">{#N/A,#N/A,FALSE,"PROPON.2001"}</definedName>
    <definedName name="MAYORESYMENORES" localSheetId="2">#REF!</definedName>
    <definedName name="MAYORESYMENORES" localSheetId="6">#REF!</definedName>
    <definedName name="MAYORESYMENORES" localSheetId="7">#REF!</definedName>
    <definedName name="MAYORESYMENORES" localSheetId="8">#REF!</definedName>
    <definedName name="MAYORESYMENORES" localSheetId="9">#REF!</definedName>
    <definedName name="MAYORESYMENORES">#REF!</definedName>
    <definedName name="Medidor" localSheetId="5">#REF!</definedName>
    <definedName name="Medidor" localSheetId="6">#REF!</definedName>
    <definedName name="Medidor" localSheetId="7">#REF!</definedName>
    <definedName name="Medidor" localSheetId="8">#REF!</definedName>
    <definedName name="Medidor" localSheetId="9">#REF!</definedName>
    <definedName name="Medidor">#REF!</definedName>
    <definedName name="mlm" localSheetId="5">{#N/A,#N/A,FALSE,"PROPON.2001"}</definedName>
    <definedName name="mlm" localSheetId="6">{#N/A,#N/A,FALSE,"PROPON.2001"}</definedName>
    <definedName name="mlm" localSheetId="7">{#N/A,#N/A,FALSE,"PROPON.2001"}</definedName>
    <definedName name="mlm" localSheetId="8">{#N/A,#N/A,FALSE,"PROPON.2001"}</definedName>
    <definedName name="mlm" localSheetId="9">{#N/A,#N/A,FALSE,"PROPON.2001"}</definedName>
    <definedName name="mlm">{#N/A,#N/A,FALSE,"PROPON.2001"}</definedName>
    <definedName name="mmh" localSheetId="6">#REF!</definedName>
    <definedName name="mmh" localSheetId="7">#REF!</definedName>
    <definedName name="mmh" localSheetId="8">#REF!</definedName>
    <definedName name="mmh" localSheetId="9">#REF!</definedName>
    <definedName name="mmh">#REF!</definedName>
    <definedName name="mmm" localSheetId="5">{#N/A,#N/A,FALSE,"PROPON.2001"}</definedName>
    <definedName name="mmm" localSheetId="6">{#N/A,#N/A,FALSE,"PROPON.2001"}</definedName>
    <definedName name="mmm" localSheetId="7">{#N/A,#N/A,FALSE,"PROPON.2001"}</definedName>
    <definedName name="mmm" localSheetId="8">{#N/A,#N/A,FALSE,"PROPON.2001"}</definedName>
    <definedName name="mmm" localSheetId="9">{#N/A,#N/A,FALSE,"PROPON.2001"}</definedName>
    <definedName name="mmm">{#N/A,#N/A,FALSE,"PROPON.2001"}</definedName>
    <definedName name="MT" localSheetId="8">#REF!</definedName>
    <definedName name="MT" localSheetId="9">#REF!</definedName>
    <definedName name="MT">#REF!</definedName>
    <definedName name="nhh" localSheetId="6">#REF!</definedName>
    <definedName name="nhh" localSheetId="7">#REF!</definedName>
    <definedName name="nhh" localSheetId="8">#REF!</definedName>
    <definedName name="nhh" localSheetId="9">#REF!</definedName>
    <definedName name="nhh">#REF!</definedName>
    <definedName name="NOVAF" localSheetId="5">#REF!</definedName>
    <definedName name="NOVAF" localSheetId="6">#REF!</definedName>
    <definedName name="NOVAF" localSheetId="7">#REF!</definedName>
    <definedName name="NOVAF" localSheetId="8">#REF!</definedName>
    <definedName name="NOVAF" localSheetId="9">#REF!</definedName>
    <definedName name="NOVAF">#REF!</definedName>
    <definedName name="OL" localSheetId="8">[1]insumos!#REF!</definedName>
    <definedName name="OL" localSheetId="9">[1]insumos!#REF!</definedName>
    <definedName name="OL">[1]insumos!#REF!</definedName>
    <definedName name="OTOTO" localSheetId="5">#REF!</definedName>
    <definedName name="OTOTO" localSheetId="6">#REF!</definedName>
    <definedName name="OTOTO" localSheetId="7">#REF!</definedName>
    <definedName name="OTOTO" localSheetId="8">#REF!</definedName>
    <definedName name="OTOTO" localSheetId="9">#REF!</definedName>
    <definedName name="OTOTO">#REF!</definedName>
    <definedName name="p" localSheetId="5">#REF!</definedName>
    <definedName name="p" localSheetId="6">#REF!</definedName>
    <definedName name="p" localSheetId="7">#REF!</definedName>
    <definedName name="p" localSheetId="8">#REF!</definedName>
    <definedName name="p" localSheetId="9">#REF!</definedName>
    <definedName name="p">#REF!</definedName>
    <definedName name="Pinturas" localSheetId="8">#REF!</definedName>
    <definedName name="Pinturas" localSheetId="9">#REF!</definedName>
    <definedName name="Pinturas">#REF!</definedName>
    <definedName name="PisosEnchapes" localSheetId="8">#REF!</definedName>
    <definedName name="PisosEnchapes" localSheetId="9">#REF!</definedName>
    <definedName name="PisosEnchapes">#REF!</definedName>
    <definedName name="Prefabricados" localSheetId="8">#REF!</definedName>
    <definedName name="Prefabricados" localSheetId="9">#REF!</definedName>
    <definedName name="Prefabricados">#REF!</definedName>
    <definedName name="Print_Area_0" localSheetId="2">'ANÁLISIS AIU '!$A$1:$G$55</definedName>
    <definedName name="programa" localSheetId="5">#REF!</definedName>
    <definedName name="programa" localSheetId="6">#REF!</definedName>
    <definedName name="programa" localSheetId="7">#REF!</definedName>
    <definedName name="programa" localSheetId="8">#REF!</definedName>
    <definedName name="programa" localSheetId="9">#REF!</definedName>
    <definedName name="programa">#REF!</definedName>
    <definedName name="PROGRAMADO" localSheetId="5">#REF!</definedName>
    <definedName name="PROGRAMADO" localSheetId="6">#REF!</definedName>
    <definedName name="PROGRAMADO" localSheetId="7">#REF!</definedName>
    <definedName name="PROGRAMADO" localSheetId="8">#REF!</definedName>
    <definedName name="PROGRAMADO" localSheetId="9">#REF!</definedName>
    <definedName name="PROGRAMADO">#REF!</definedName>
    <definedName name="q" localSheetId="4">[1]insumos!#REF!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>#REF!</definedName>
    <definedName name="qgsh" localSheetId="5">#REF!</definedName>
    <definedName name="qgsh" localSheetId="6">#REF!</definedName>
    <definedName name="qgsh" localSheetId="7">#REF!</definedName>
    <definedName name="qgsh" localSheetId="8">#REF!</definedName>
    <definedName name="qgsh" localSheetId="9">#REF!</definedName>
    <definedName name="qgsh">#REF!</definedName>
    <definedName name="regfdg" localSheetId="5">#REF!</definedName>
    <definedName name="regfdg" localSheetId="6">#REF!</definedName>
    <definedName name="regfdg" localSheetId="7">#REF!</definedName>
    <definedName name="regfdg" localSheetId="8">#REF!</definedName>
    <definedName name="regfdg" localSheetId="9">#REF!</definedName>
    <definedName name="regfdg">#REF!</definedName>
    <definedName name="RR" localSheetId="8">[1]insumos!#REF!</definedName>
    <definedName name="RR" localSheetId="9">[1]insumos!#REF!</definedName>
    <definedName name="RR">[1]insumos!#REF!</definedName>
    <definedName name="safs" localSheetId="5">#REF!</definedName>
    <definedName name="safs" localSheetId="6">#REF!</definedName>
    <definedName name="safs" localSheetId="7">#REF!</definedName>
    <definedName name="safs" localSheetId="8">#REF!</definedName>
    <definedName name="safs" localSheetId="9">#REF!</definedName>
    <definedName name="safs">#REF!</definedName>
    <definedName name="SDF" localSheetId="5">#REF!</definedName>
    <definedName name="SDF" localSheetId="6">#REF!</definedName>
    <definedName name="SDF" localSheetId="7">#REF!</definedName>
    <definedName name="SDF" localSheetId="8">#REF!</definedName>
    <definedName name="SDF" localSheetId="9">#REF!</definedName>
    <definedName name="SDF">#REF!</definedName>
    <definedName name="sdgfdsg" localSheetId="5">#REF!</definedName>
    <definedName name="sdgfdsg" localSheetId="6">#REF!</definedName>
    <definedName name="sdgfdsg" localSheetId="7">#REF!</definedName>
    <definedName name="sdgfdsg" localSheetId="8">#REF!</definedName>
    <definedName name="sdgfdsg" localSheetId="9">#REF!</definedName>
    <definedName name="sdgfdsg">#REF!</definedName>
    <definedName name="semana2" localSheetId="5">#REF!</definedName>
    <definedName name="semana2" localSheetId="6">#REF!</definedName>
    <definedName name="semana2" localSheetId="7">#REF!</definedName>
    <definedName name="semana2" localSheetId="8">#REF!</definedName>
    <definedName name="semana2" localSheetId="9">#REF!</definedName>
    <definedName name="semana2">#REF!</definedName>
    <definedName name="sfs" localSheetId="5">#REF!</definedName>
    <definedName name="sfs" localSheetId="6">#REF!</definedName>
    <definedName name="sfs" localSheetId="7">#REF!</definedName>
    <definedName name="sfs" localSheetId="8">#REF!</definedName>
    <definedName name="sfs" localSheetId="9">#REF!</definedName>
    <definedName name="sfs">#REF!</definedName>
    <definedName name="SSSSS" localSheetId="5">#REF!</definedName>
    <definedName name="SSSSS" localSheetId="6">#REF!</definedName>
    <definedName name="SSSSS" localSheetId="7">#REF!</definedName>
    <definedName name="SSSSS" localSheetId="8">#REF!</definedName>
    <definedName name="SSSSS" localSheetId="9">#REF!</definedName>
    <definedName name="SSSSS">#REF!</definedName>
    <definedName name="SUBTIPOACC" localSheetId="5">#REF!</definedName>
    <definedName name="SUBTIPOACC" localSheetId="6">#REF!</definedName>
    <definedName name="SUBTIPOACC" localSheetId="7">#REF!</definedName>
    <definedName name="SUBTIPOACC" localSheetId="8">#REF!</definedName>
    <definedName name="SUBTIPOACC" localSheetId="9">#REF!</definedName>
    <definedName name="SUBTIPOACC">#REF!</definedName>
    <definedName name="t" localSheetId="8">[1]insumos!#REF!</definedName>
    <definedName name="t" localSheetId="9">[1]insumos!#REF!</definedName>
    <definedName name="t">[1]insumos!#REF!</definedName>
    <definedName name="TODOANA" localSheetId="5">#REF!</definedName>
    <definedName name="TODOANA" localSheetId="6">#REF!</definedName>
    <definedName name="TODOANA" localSheetId="7">#REF!</definedName>
    <definedName name="TODOANA" localSheetId="8">#REF!</definedName>
    <definedName name="TODOANA" localSheetId="9">#REF!</definedName>
    <definedName name="TODOANA">#REF!</definedName>
    <definedName name="TODOINSU" localSheetId="5">#REF!</definedName>
    <definedName name="TODOINSU" localSheetId="6">#REF!</definedName>
    <definedName name="TODOINSU" localSheetId="7">#REF!</definedName>
    <definedName name="TODOINSU" localSheetId="8">#REF!</definedName>
    <definedName name="TODOINSU" localSheetId="9">#REF!</definedName>
    <definedName name="TODOINSU">#REF!</definedName>
    <definedName name="TODOITEM" localSheetId="5">#REF!</definedName>
    <definedName name="TODOITEM" localSheetId="6">#REF!</definedName>
    <definedName name="TODOITEM" localSheetId="7">#REF!</definedName>
    <definedName name="TODOITEM" localSheetId="8">#REF!</definedName>
    <definedName name="TODOITEM" localSheetId="9">#REF!</definedName>
    <definedName name="TODOITEM">#REF!</definedName>
    <definedName name="TUBERIA" localSheetId="8">[1]insumos!#REF!</definedName>
    <definedName name="TUBERIA" localSheetId="9">[1]insumos!#REF!</definedName>
    <definedName name="TUBERIA">[1]insumos!#REF!</definedName>
    <definedName name="VariosAnalisis" localSheetId="8">#REF!</definedName>
    <definedName name="VariosAnalisis" localSheetId="9">#REF!</definedName>
    <definedName name="VariosAnalisis">#REF!</definedName>
    <definedName name="wrn.listado." localSheetId="5">{#N/A,#N/A,FALSE,"PROPON.2001"}</definedName>
    <definedName name="wrn.listado." localSheetId="6">{#N/A,#N/A,FALSE,"PROPON.2001"}</definedName>
    <definedName name="wrn.listado." localSheetId="7">{#N/A,#N/A,FALSE,"PROPON.2001"}</definedName>
    <definedName name="wrn.listado." localSheetId="8">{#N/A,#N/A,FALSE,"PROPON.2001"}</definedName>
    <definedName name="wrn.listado." localSheetId="9">{#N/A,#N/A,FALSE,"PROPON.2001"}</definedName>
    <definedName name="wrn.listado.">{#N/A,#N/A,FALSE,"PROPON.2001"}</definedName>
    <definedName name="xxxxx" localSheetId="5">#REF!</definedName>
    <definedName name="xxxxx" localSheetId="6">#REF!</definedName>
    <definedName name="xxxxx" localSheetId="7">#REF!</definedName>
    <definedName name="xxxxx" localSheetId="8">#REF!</definedName>
    <definedName name="xxxxx" localSheetId="9">#REF!</definedName>
    <definedName name="xxxxx">#REF!</definedName>
    <definedName name="YOR" localSheetId="5">{#N/A,#N/A,FALSE,"PROPON.2001"}</definedName>
    <definedName name="YOR" localSheetId="6">{#N/A,#N/A,FALSE,"PROPON.2001"}</definedName>
    <definedName name="YOR" localSheetId="7">{#N/A,#N/A,FALSE,"PROPON.2001"}</definedName>
    <definedName name="YOR" localSheetId="8">{#N/A,#N/A,FALSE,"PROPON.2001"}</definedName>
    <definedName name="YOR" localSheetId="9">{#N/A,#N/A,FALSE,"PROPON.2001"}</definedName>
    <definedName name="YOR">{#N/A,#N/A,FALSE,"PROPON.2001"}</definedName>
    <definedName name="YORLY" localSheetId="5">{#N/A,#N/A,FALSE,"PROPON.2001"}</definedName>
    <definedName name="YORLY" localSheetId="6">{#N/A,#N/A,FALSE,"PROPON.2001"}</definedName>
    <definedName name="YORLY" localSheetId="7">{#N/A,#N/A,FALSE,"PROPON.2001"}</definedName>
    <definedName name="YORLY" localSheetId="8">{#N/A,#N/A,FALSE,"PROPON.2001"}</definedName>
    <definedName name="YORLY" localSheetId="9">{#N/A,#N/A,FALSE,"PROPON.2001"}</definedName>
    <definedName name="YORLY">{#N/A,#N/A,FALSE,"PROPON.2001"}</definedName>
    <definedName name="Z_37740202_80EB_4916_B922_B7E4F26DAB4F_.wvu.Cols" localSheetId="12">'TANK DREN'!$I:$J</definedName>
    <definedName name="Z_37740202_80EB_4916_B922_B7E4F26DAB4F_.wvu.PrintArea" localSheetId="2">'ANÁLISIS AIU '!$A$1:$G$55</definedName>
    <definedName name="Z_37740202_80EB_4916_B922_B7E4F26DAB4F_.wvu.PrintTitles" localSheetId="2">'ANÁLISIS AIU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" i="5" l="1"/>
  <c r="I51" i="25"/>
  <c r="I50" i="25"/>
  <c r="I48" i="25"/>
  <c r="I49" i="25"/>
  <c r="G29" i="23"/>
  <c r="F274" i="4"/>
  <c r="F305" i="4"/>
  <c r="F238" i="4"/>
  <c r="F206" i="4"/>
  <c r="F176" i="4"/>
  <c r="F131" i="4"/>
  <c r="F95" i="4"/>
  <c r="F63" i="4"/>
  <c r="F31" i="4"/>
  <c r="D105" i="4" l="1"/>
  <c r="F245" i="4"/>
  <c r="B245" i="4"/>
  <c r="F13" i="5" l="1"/>
  <c r="D13" i="5"/>
  <c r="K27" i="23"/>
  <c r="C13" i="5"/>
  <c r="C12" i="5"/>
  <c r="C11" i="5"/>
  <c r="C10" i="5"/>
  <c r="C9" i="5"/>
  <c r="C8" i="5"/>
  <c r="C7" i="5"/>
  <c r="C6" i="5"/>
  <c r="C5" i="5"/>
  <c r="I41" i="25" l="1"/>
  <c r="K18" i="9"/>
  <c r="F117" i="4"/>
  <c r="F116" i="4"/>
  <c r="G116" i="4" s="1"/>
  <c r="E122" i="4"/>
  <c r="H38" i="25" l="1"/>
  <c r="I38" i="25" s="1"/>
  <c r="I39" i="25" s="1"/>
  <c r="H36" i="25"/>
  <c r="I36" i="25" s="1"/>
  <c r="H35" i="25"/>
  <c r="I35" i="25" s="1"/>
  <c r="I42" i="25"/>
  <c r="I43" i="25"/>
  <c r="I44" i="25"/>
  <c r="F36" i="25"/>
  <c r="I45" i="25" l="1"/>
  <c r="I37" i="25"/>
  <c r="I17" i="25" l="1"/>
  <c r="I16" i="25"/>
  <c r="I15" i="25"/>
  <c r="H12" i="25"/>
  <c r="I12" i="25" s="1"/>
  <c r="H11" i="25"/>
  <c r="I11" i="25" s="1"/>
  <c r="H10" i="25"/>
  <c r="I10" i="25" s="1"/>
  <c r="H9" i="25"/>
  <c r="I9" i="25" s="1"/>
  <c r="C3" i="25"/>
  <c r="G297" i="4"/>
  <c r="G286" i="4"/>
  <c r="G287" i="4"/>
  <c r="G285" i="4"/>
  <c r="G292" i="4"/>
  <c r="G301" i="4"/>
  <c r="G303" i="4" s="1"/>
  <c r="E128" i="4"/>
  <c r="F108" i="4"/>
  <c r="F107" i="4"/>
  <c r="F106" i="4"/>
  <c r="F105" i="4"/>
  <c r="L11" i="24"/>
  <c r="K15" i="24"/>
  <c r="J15" i="24"/>
  <c r="I15" i="24"/>
  <c r="D26" i="23"/>
  <c r="K17" i="24"/>
  <c r="K16" i="24"/>
  <c r="K18" i="24"/>
  <c r="Q24" i="23"/>
  <c r="R24" i="23" s="1"/>
  <c r="E24" i="23"/>
  <c r="C24" i="23"/>
  <c r="E22" i="23"/>
  <c r="D22" i="23"/>
  <c r="C22" i="23"/>
  <c r="B22" i="23"/>
  <c r="E20" i="23"/>
  <c r="D20" i="23"/>
  <c r="C20" i="23"/>
  <c r="B20" i="23"/>
  <c r="E18" i="23"/>
  <c r="D18" i="23"/>
  <c r="C18" i="23"/>
  <c r="B18" i="23"/>
  <c r="E16" i="23"/>
  <c r="D16" i="23"/>
  <c r="C16" i="23"/>
  <c r="B16" i="23"/>
  <c r="E14" i="23"/>
  <c r="D14" i="23"/>
  <c r="C14" i="23"/>
  <c r="B14" i="23"/>
  <c r="E12" i="23"/>
  <c r="D12" i="23"/>
  <c r="C12" i="23"/>
  <c r="B12" i="23"/>
  <c r="D10" i="23"/>
  <c r="C10" i="23"/>
  <c r="B10" i="23"/>
  <c r="I18" i="25" l="1"/>
  <c r="I13" i="25"/>
  <c r="R23" i="23"/>
  <c r="G12" i="5" s="1"/>
  <c r="G299" i="4" l="1"/>
  <c r="G294" i="4"/>
  <c r="G13" i="5" s="1"/>
  <c r="G288" i="4"/>
  <c r="G289" i="4" s="1"/>
  <c r="E13" i="5" l="1"/>
  <c r="H13" i="5" s="1"/>
  <c r="G305" i="4"/>
  <c r="G281" i="4" s="1"/>
  <c r="F26" i="23" l="1"/>
  <c r="M26" i="23"/>
  <c r="N26" i="23" s="1"/>
  <c r="N25" i="23" s="1"/>
  <c r="G26" i="23" l="1"/>
  <c r="G25" i="23" s="1"/>
  <c r="C24" i="2" s="1"/>
  <c r="K17" i="21"/>
  <c r="K16" i="21"/>
  <c r="K15" i="21"/>
  <c r="K18" i="21" s="1"/>
  <c r="G234" i="4"/>
  <c r="G230" i="4"/>
  <c r="G199" i="4"/>
  <c r="G198" i="4"/>
  <c r="G23" i="4"/>
  <c r="G22" i="4"/>
  <c r="G224" i="4"/>
  <c r="G223" i="4"/>
  <c r="G216" i="4"/>
  <c r="F212" i="4"/>
  <c r="B212" i="4"/>
  <c r="B182" i="4"/>
  <c r="F182" i="4"/>
  <c r="K18" i="19"/>
  <c r="K17" i="20"/>
  <c r="K16" i="20"/>
  <c r="K15" i="20"/>
  <c r="K18" i="20" s="1"/>
  <c r="A182" i="4"/>
  <c r="G192" i="4"/>
  <c r="K17" i="19"/>
  <c r="K16" i="19"/>
  <c r="K15" i="19"/>
  <c r="G173" i="4"/>
  <c r="G166" i="4"/>
  <c r="G160" i="4"/>
  <c r="G143" i="4"/>
  <c r="G144" i="4"/>
  <c r="G142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F137" i="4"/>
  <c r="B137" i="4"/>
  <c r="A137" i="4"/>
  <c r="K15" i="10"/>
  <c r="K18" i="10" s="1"/>
  <c r="K17" i="10"/>
  <c r="K16" i="10"/>
  <c r="G108" i="4"/>
  <c r="G122" i="4"/>
  <c r="G128" i="4"/>
  <c r="G123" i="4"/>
  <c r="G117" i="4"/>
  <c r="G106" i="4"/>
  <c r="G107" i="4"/>
  <c r="G105" i="4"/>
  <c r="K17" i="9"/>
  <c r="K16" i="9"/>
  <c r="K15" i="9"/>
  <c r="G88" i="4"/>
  <c r="G87" i="4"/>
  <c r="G92" i="4"/>
  <c r="G82" i="4"/>
  <c r="G81" i="4"/>
  <c r="G75" i="4"/>
  <c r="G60" i="4"/>
  <c r="G28" i="4"/>
  <c r="G55" i="4"/>
  <c r="G49" i="4"/>
  <c r="G48" i="4"/>
  <c r="G44" i="4"/>
  <c r="G41" i="4"/>
  <c r="K17" i="8"/>
  <c r="K16" i="8"/>
  <c r="K15" i="8"/>
  <c r="J15" i="8"/>
  <c r="K17" i="7"/>
  <c r="K16" i="7"/>
  <c r="J15" i="7"/>
  <c r="K15" i="7" s="1"/>
  <c r="J15" i="6"/>
  <c r="K15" i="6" s="1"/>
  <c r="G17" i="4"/>
  <c r="E25" i="2" l="1"/>
  <c r="O25" i="2"/>
  <c r="M25" i="2"/>
  <c r="K25" i="2"/>
  <c r="I25" i="2"/>
  <c r="J25" i="2"/>
  <c r="G25" i="2"/>
  <c r="D25" i="2"/>
  <c r="L25" i="2"/>
  <c r="N25" i="2"/>
  <c r="H25" i="2"/>
  <c r="F25" i="2"/>
  <c r="K18" i="8"/>
  <c r="K18" i="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E16" i="16"/>
  <c r="F16" i="16" s="1"/>
  <c r="E15" i="16"/>
  <c r="F15" i="16" s="1"/>
  <c r="E14" i="16"/>
  <c r="F14" i="16" s="1"/>
  <c r="C14" i="16"/>
  <c r="E13" i="16"/>
  <c r="F13" i="16" s="1"/>
  <c r="C13" i="16"/>
  <c r="E12" i="16"/>
  <c r="F12" i="16" s="1"/>
  <c r="C12" i="16"/>
  <c r="E11" i="16"/>
  <c r="F11" i="16" s="1"/>
  <c r="C11" i="16"/>
  <c r="E10" i="16"/>
  <c r="F10" i="16" s="1"/>
  <c r="C10" i="16"/>
  <c r="E9" i="16"/>
  <c r="F9" i="16" s="1"/>
  <c r="C9" i="16"/>
  <c r="E8" i="16"/>
  <c r="F8" i="16" s="1"/>
  <c r="C8" i="16"/>
  <c r="E7" i="16"/>
  <c r="F7" i="16" s="1"/>
  <c r="C7" i="16"/>
  <c r="E6" i="16"/>
  <c r="F6" i="16" s="1"/>
  <c r="C6" i="16"/>
  <c r="E5" i="16"/>
  <c r="F5" i="16" s="1"/>
  <c r="C5" i="16"/>
  <c r="E4" i="16"/>
  <c r="F4" i="16" s="1"/>
  <c r="F19" i="16" s="1"/>
  <c r="C4" i="16"/>
  <c r="E16" i="15"/>
  <c r="F16" i="15" s="1"/>
  <c r="E15" i="15"/>
  <c r="F15" i="15" s="1"/>
  <c r="E14" i="15"/>
  <c r="F14" i="15" s="1"/>
  <c r="E13" i="15"/>
  <c r="F13" i="15" s="1"/>
  <c r="E12" i="15"/>
  <c r="F12" i="15" s="1"/>
  <c r="E11" i="15"/>
  <c r="F11" i="15" s="1"/>
  <c r="E10" i="15"/>
  <c r="F10" i="15" s="1"/>
  <c r="E9" i="15"/>
  <c r="F9" i="15" s="1"/>
  <c r="E8" i="15"/>
  <c r="F8" i="15" s="1"/>
  <c r="E7" i="15"/>
  <c r="F7" i="15" s="1"/>
  <c r="E6" i="15"/>
  <c r="F6" i="15" s="1"/>
  <c r="E5" i="15"/>
  <c r="F5" i="15" s="1"/>
  <c r="F19" i="15" s="1"/>
  <c r="F21" i="15" s="1"/>
  <c r="D98" i="14"/>
  <c r="E85" i="14"/>
  <c r="F85" i="14" s="1"/>
  <c r="E84" i="14"/>
  <c r="F84" i="14" s="1"/>
  <c r="E83" i="14"/>
  <c r="F83" i="14" s="1"/>
  <c r="E82" i="14"/>
  <c r="F82" i="14" s="1"/>
  <c r="E81" i="14"/>
  <c r="F81" i="14" s="1"/>
  <c r="E80" i="14"/>
  <c r="F80" i="14" s="1"/>
  <c r="E79" i="14"/>
  <c r="F79" i="14" s="1"/>
  <c r="E77" i="14"/>
  <c r="F77" i="14" s="1"/>
  <c r="E76" i="14"/>
  <c r="F76" i="14" s="1"/>
  <c r="E75" i="14"/>
  <c r="F75" i="14" s="1"/>
  <c r="E74" i="14"/>
  <c r="F74" i="14" s="1"/>
  <c r="E73" i="14"/>
  <c r="F73" i="14" s="1"/>
  <c r="E71" i="14"/>
  <c r="F71" i="14" s="1"/>
  <c r="E70" i="14"/>
  <c r="F70" i="14" s="1"/>
  <c r="E69" i="14"/>
  <c r="F69" i="14" s="1"/>
  <c r="E68" i="14"/>
  <c r="F68" i="14" s="1"/>
  <c r="E67" i="14"/>
  <c r="F67" i="14" s="1"/>
  <c r="E66" i="14"/>
  <c r="F66" i="14" s="1"/>
  <c r="E65" i="14"/>
  <c r="F65" i="14" s="1"/>
  <c r="E63" i="14"/>
  <c r="F63" i="14" s="1"/>
  <c r="E62" i="14"/>
  <c r="F62" i="14" s="1"/>
  <c r="E61" i="14"/>
  <c r="F61" i="14" s="1"/>
  <c r="E60" i="14"/>
  <c r="F60" i="14" s="1"/>
  <c r="E59" i="14"/>
  <c r="F59" i="14" s="1"/>
  <c r="E58" i="14"/>
  <c r="F58" i="14" s="1"/>
  <c r="E57" i="14"/>
  <c r="F57" i="14" s="1"/>
  <c r="E56" i="14"/>
  <c r="F56" i="14" s="1"/>
  <c r="E55" i="14"/>
  <c r="F55" i="14" s="1"/>
  <c r="E54" i="14"/>
  <c r="F54" i="14" s="1"/>
  <c r="E53" i="14"/>
  <c r="F53" i="14" s="1"/>
  <c r="E52" i="14"/>
  <c r="F52" i="14" s="1"/>
  <c r="E51" i="14"/>
  <c r="F51" i="14" s="1"/>
  <c r="E50" i="14"/>
  <c r="F50" i="14" s="1"/>
  <c r="E49" i="14"/>
  <c r="F49" i="14" s="1"/>
  <c r="E48" i="14"/>
  <c r="F48" i="14" s="1"/>
  <c r="E47" i="14"/>
  <c r="F47" i="14" s="1"/>
  <c r="E46" i="14"/>
  <c r="F46" i="14" s="1"/>
  <c r="E45" i="14"/>
  <c r="F45" i="14" s="1"/>
  <c r="E44" i="14"/>
  <c r="F44" i="14" s="1"/>
  <c r="E43" i="14"/>
  <c r="F43" i="14" s="1"/>
  <c r="E42" i="14"/>
  <c r="F42" i="14" s="1"/>
  <c r="E41" i="14"/>
  <c r="F41" i="14" s="1"/>
  <c r="E40" i="14"/>
  <c r="F40" i="14" s="1"/>
  <c r="E39" i="14"/>
  <c r="F39" i="14" s="1"/>
  <c r="E37" i="14"/>
  <c r="F37" i="14" s="1"/>
  <c r="E36" i="14"/>
  <c r="F36" i="14" s="1"/>
  <c r="E35" i="14"/>
  <c r="F35" i="14" s="1"/>
  <c r="E34" i="14"/>
  <c r="F34" i="14" s="1"/>
  <c r="E33" i="14"/>
  <c r="F33" i="14" s="1"/>
  <c r="E32" i="14"/>
  <c r="F32" i="14" s="1"/>
  <c r="E31" i="14"/>
  <c r="F31" i="14" s="1"/>
  <c r="E30" i="14"/>
  <c r="F30" i="14" s="1"/>
  <c r="E28" i="14"/>
  <c r="F28" i="14" s="1"/>
  <c r="E27" i="14"/>
  <c r="F27" i="14" s="1"/>
  <c r="E26" i="14"/>
  <c r="F26" i="14" s="1"/>
  <c r="E25" i="14"/>
  <c r="F25" i="14" s="1"/>
  <c r="E24" i="14"/>
  <c r="F24" i="14" s="1"/>
  <c r="E23" i="14"/>
  <c r="F23" i="14" s="1"/>
  <c r="E22" i="14"/>
  <c r="F22" i="14" s="1"/>
  <c r="E21" i="14"/>
  <c r="F21" i="14" s="1"/>
  <c r="E20" i="14"/>
  <c r="F20" i="14" s="1"/>
  <c r="E19" i="14"/>
  <c r="F19" i="14" s="1"/>
  <c r="E18" i="14"/>
  <c r="F18" i="14" s="1"/>
  <c r="E16" i="14"/>
  <c r="F16" i="14" s="1"/>
  <c r="E15" i="14"/>
  <c r="F15" i="14" s="1"/>
  <c r="E14" i="14"/>
  <c r="F14" i="14" s="1"/>
  <c r="E13" i="14"/>
  <c r="F13" i="14" s="1"/>
  <c r="E12" i="14"/>
  <c r="F12" i="14" s="1"/>
  <c r="E11" i="14"/>
  <c r="F11" i="14" s="1"/>
  <c r="E10" i="14"/>
  <c r="F10" i="14" s="1"/>
  <c r="E9" i="14"/>
  <c r="F9" i="14" s="1"/>
  <c r="E8" i="14"/>
  <c r="F8" i="14" s="1"/>
  <c r="E7" i="14"/>
  <c r="F7" i="14" s="1"/>
  <c r="E6" i="14"/>
  <c r="F6" i="14" s="1"/>
  <c r="E5" i="14"/>
  <c r="F5" i="14" s="1"/>
  <c r="F88" i="14" s="1"/>
  <c r="F93" i="14" s="1"/>
  <c r="J24" i="13"/>
  <c r="E24" i="13"/>
  <c r="F24" i="13" s="1"/>
  <c r="J23" i="13"/>
  <c r="J22" i="13"/>
  <c r="E22" i="13"/>
  <c r="F22" i="13" s="1"/>
  <c r="J21" i="13"/>
  <c r="E21" i="13"/>
  <c r="F21" i="13" s="1"/>
  <c r="J20" i="13"/>
  <c r="E20" i="13"/>
  <c r="F20" i="13" s="1"/>
  <c r="J19" i="13"/>
  <c r="E19" i="13"/>
  <c r="F19" i="13" s="1"/>
  <c r="J18" i="13"/>
  <c r="E18" i="13"/>
  <c r="F18" i="13" s="1"/>
  <c r="J17" i="13"/>
  <c r="E17" i="13"/>
  <c r="F17" i="13" s="1"/>
  <c r="J16" i="13"/>
  <c r="E16" i="13"/>
  <c r="F16" i="13" s="1"/>
  <c r="J15" i="13"/>
  <c r="E15" i="13"/>
  <c r="F15" i="13" s="1"/>
  <c r="J13" i="13"/>
  <c r="E13" i="13"/>
  <c r="F13" i="13" s="1"/>
  <c r="J12" i="13"/>
  <c r="E12" i="13"/>
  <c r="F12" i="13" s="1"/>
  <c r="J11" i="13"/>
  <c r="E11" i="13"/>
  <c r="F11" i="13" s="1"/>
  <c r="J10" i="13"/>
  <c r="E10" i="13"/>
  <c r="F10" i="13" s="1"/>
  <c r="J9" i="13"/>
  <c r="E9" i="13"/>
  <c r="F9" i="13" s="1"/>
  <c r="J8" i="13"/>
  <c r="E8" i="13"/>
  <c r="F8" i="13" s="1"/>
  <c r="J7" i="13"/>
  <c r="E7" i="13"/>
  <c r="F7" i="13" s="1"/>
  <c r="J6" i="13"/>
  <c r="E6" i="13"/>
  <c r="F6" i="13" s="1"/>
  <c r="J5" i="13"/>
  <c r="E5" i="13"/>
  <c r="F5" i="13" s="1"/>
  <c r="F27" i="13" s="1"/>
  <c r="B45" i="12"/>
  <c r="J34" i="12"/>
  <c r="E34" i="12"/>
  <c r="F34" i="12" s="1"/>
  <c r="J33" i="12"/>
  <c r="E33" i="12"/>
  <c r="F33" i="12" s="1"/>
  <c r="J32" i="12"/>
  <c r="E32" i="12"/>
  <c r="F32" i="12" s="1"/>
  <c r="J31" i="12"/>
  <c r="E31" i="12"/>
  <c r="F31" i="12" s="1"/>
  <c r="J30" i="12"/>
  <c r="E30" i="12"/>
  <c r="F30" i="12" s="1"/>
  <c r="J29" i="12"/>
  <c r="E29" i="12"/>
  <c r="F29" i="12" s="1"/>
  <c r="J28" i="12"/>
  <c r="E28" i="12"/>
  <c r="F28" i="12" s="1"/>
  <c r="J27" i="12"/>
  <c r="J26" i="12"/>
  <c r="E26" i="12"/>
  <c r="F26" i="12" s="1"/>
  <c r="J25" i="12"/>
  <c r="E25" i="12"/>
  <c r="F25" i="12" s="1"/>
  <c r="J24" i="12"/>
  <c r="E24" i="12"/>
  <c r="F24" i="12" s="1"/>
  <c r="J23" i="12"/>
  <c r="E23" i="12"/>
  <c r="F23" i="12" s="1"/>
  <c r="J22" i="12"/>
  <c r="J21" i="12"/>
  <c r="E21" i="12"/>
  <c r="F21" i="12" s="1"/>
  <c r="J20" i="12"/>
  <c r="E20" i="12"/>
  <c r="F20" i="12" s="1"/>
  <c r="J19" i="12"/>
  <c r="E19" i="12"/>
  <c r="F19" i="12" s="1"/>
  <c r="J18" i="12"/>
  <c r="E18" i="12"/>
  <c r="F18" i="12" s="1"/>
  <c r="J17" i="12"/>
  <c r="E17" i="12"/>
  <c r="F17" i="12" s="1"/>
  <c r="J16" i="12"/>
  <c r="E16" i="12"/>
  <c r="F16" i="12" s="1"/>
  <c r="J15" i="12"/>
  <c r="E15" i="12"/>
  <c r="F15" i="12" s="1"/>
  <c r="J14" i="12"/>
  <c r="E14" i="12"/>
  <c r="F14" i="12" s="1"/>
  <c r="J13" i="12"/>
  <c r="E13" i="12"/>
  <c r="F13" i="12" s="1"/>
  <c r="J12" i="12"/>
  <c r="E12" i="12"/>
  <c r="F12" i="12" s="1"/>
  <c r="J11" i="12"/>
  <c r="E11" i="12"/>
  <c r="F11" i="12" s="1"/>
  <c r="J10" i="12"/>
  <c r="E10" i="12"/>
  <c r="F10" i="12" s="1"/>
  <c r="J9" i="12"/>
  <c r="E9" i="12"/>
  <c r="F9" i="12" s="1"/>
  <c r="J8" i="12"/>
  <c r="E8" i="12"/>
  <c r="F8" i="12" s="1"/>
  <c r="J7" i="12"/>
  <c r="E7" i="12"/>
  <c r="F7" i="12" s="1"/>
  <c r="J6" i="12"/>
  <c r="E6" i="12"/>
  <c r="F6" i="12" s="1"/>
  <c r="J5" i="12"/>
  <c r="E5" i="12"/>
  <c r="F5" i="12" s="1"/>
  <c r="F37" i="12" s="1"/>
  <c r="J4" i="12"/>
  <c r="N17" i="11"/>
  <c r="N20" i="11" s="1"/>
  <c r="N21" i="11" s="1"/>
  <c r="L17" i="11"/>
  <c r="L18" i="11" s="1"/>
  <c r="J17" i="11"/>
  <c r="H17" i="11"/>
  <c r="F17" i="11"/>
  <c r="J5" i="11"/>
  <c r="M1" i="11"/>
  <c r="K16" i="6"/>
  <c r="G271" i="4"/>
  <c r="G270" i="4"/>
  <c r="G266" i="4"/>
  <c r="G265" i="4"/>
  <c r="G258" i="4"/>
  <c r="G254" i="4"/>
  <c r="G253" i="4"/>
  <c r="G252" i="4"/>
  <c r="G251" i="4"/>
  <c r="G250" i="4"/>
  <c r="G249" i="4"/>
  <c r="G235" i="4"/>
  <c r="G219" i="4"/>
  <c r="G218" i="4"/>
  <c r="G217" i="4"/>
  <c r="G203" i="4"/>
  <c r="G204" i="4" s="1"/>
  <c r="G195" i="4"/>
  <c r="G187" i="4"/>
  <c r="G186" i="4"/>
  <c r="G174" i="4"/>
  <c r="O18" i="23" s="1"/>
  <c r="P18" i="23" s="1"/>
  <c r="P17" i="23" s="1"/>
  <c r="F9" i="5" s="1"/>
  <c r="G169" i="4"/>
  <c r="G168" i="4"/>
  <c r="G167" i="4"/>
  <c r="G163" i="4"/>
  <c r="G141" i="4"/>
  <c r="G129" i="4"/>
  <c r="G124" i="4"/>
  <c r="G112" i="4"/>
  <c r="G111" i="4"/>
  <c r="G110" i="4"/>
  <c r="G109" i="4"/>
  <c r="F101" i="4"/>
  <c r="B101" i="4"/>
  <c r="A101" i="4"/>
  <c r="G93" i="4"/>
  <c r="G90" i="4"/>
  <c r="G84" i="4"/>
  <c r="G74" i="4"/>
  <c r="G73" i="4"/>
  <c r="F69" i="4"/>
  <c r="B69" i="4"/>
  <c r="A69" i="4"/>
  <c r="G61" i="4"/>
  <c r="G51" i="4"/>
  <c r="G43" i="4"/>
  <c r="G42" i="4"/>
  <c r="F37" i="4"/>
  <c r="B37" i="4"/>
  <c r="A37" i="4"/>
  <c r="G29" i="4"/>
  <c r="G26" i="4"/>
  <c r="G16" i="4"/>
  <c r="G19" i="4" s="1"/>
  <c r="G9" i="4"/>
  <c r="G8" i="4"/>
  <c r="F4" i="4"/>
  <c r="B4" i="4"/>
  <c r="A4" i="4"/>
  <c r="G78" i="4" l="1"/>
  <c r="K24" i="23"/>
  <c r="L24" i="23" s="1"/>
  <c r="L23" i="23" s="1"/>
  <c r="D12" i="5" s="1"/>
  <c r="K10" i="23"/>
  <c r="L10" i="23" s="1"/>
  <c r="L9" i="23" s="1"/>
  <c r="D5" i="5" s="1"/>
  <c r="O12" i="23"/>
  <c r="P12" i="23" s="1"/>
  <c r="P11" i="23" s="1"/>
  <c r="F6" i="5" s="1"/>
  <c r="Q14" i="23"/>
  <c r="R14" i="23" s="1"/>
  <c r="O24" i="23"/>
  <c r="P24" i="23" s="1"/>
  <c r="K14" i="23"/>
  <c r="L14" i="23" s="1"/>
  <c r="L13" i="23" s="1"/>
  <c r="D7" i="5" s="1"/>
  <c r="Q18" i="23"/>
  <c r="R18" i="23" s="1"/>
  <c r="O10" i="23"/>
  <c r="P10" i="23" s="1"/>
  <c r="P9" i="23" s="1"/>
  <c r="F5" i="5" s="1"/>
  <c r="G54" i="4"/>
  <c r="G58" i="4" s="1"/>
  <c r="K12" i="23" s="1"/>
  <c r="L12" i="23" s="1"/>
  <c r="L11" i="23" s="1"/>
  <c r="D6" i="5" s="1"/>
  <c r="Q12" i="23"/>
  <c r="R12" i="23" s="1"/>
  <c r="O14" i="23"/>
  <c r="P14" i="23" s="1"/>
  <c r="P13" i="23" s="1"/>
  <c r="F7" i="5" s="1"/>
  <c r="Q20" i="23"/>
  <c r="R20" i="23" s="1"/>
  <c r="M3" i="4"/>
  <c r="Q10" i="23"/>
  <c r="R10" i="23" s="1"/>
  <c r="O20" i="23"/>
  <c r="P20" i="23" s="1"/>
  <c r="P19" i="23" s="1"/>
  <c r="F10" i="5" s="1"/>
  <c r="O16" i="23"/>
  <c r="P16" i="23" s="1"/>
  <c r="P15" i="23" s="1"/>
  <c r="F8" i="5" s="1"/>
  <c r="D27" i="17"/>
  <c r="G201" i="4"/>
  <c r="G206" i="4" s="1"/>
  <c r="G220" i="4"/>
  <c r="G255" i="4"/>
  <c r="G113" i="4"/>
  <c r="G131" i="4" s="1"/>
  <c r="G119" i="4"/>
  <c r="G126" i="4"/>
  <c r="K16" i="23" s="1"/>
  <c r="L16" i="23" s="1"/>
  <c r="L15" i="23" s="1"/>
  <c r="D8" i="5" s="1"/>
  <c r="G236" i="4"/>
  <c r="G45" i="4"/>
  <c r="G157" i="4"/>
  <c r="G189" i="4"/>
  <c r="G229" i="4"/>
  <c r="G232" i="4" s="1"/>
  <c r="G226" i="4"/>
  <c r="G261" i="4"/>
  <c r="G264" i="4"/>
  <c r="G268" i="4" s="1"/>
  <c r="G272" i="4"/>
  <c r="K17" i="6"/>
  <c r="K18" i="6" s="1"/>
  <c r="H20" i="11"/>
  <c r="H21" i="11" s="1"/>
  <c r="H19" i="11"/>
  <c r="J20" i="11"/>
  <c r="J21" i="11" s="1"/>
  <c r="J19" i="11"/>
  <c r="J18" i="11"/>
  <c r="J22" i="11" s="1"/>
  <c r="G13" i="4"/>
  <c r="J3" i="4"/>
  <c r="G171" i="4"/>
  <c r="J37" i="12"/>
  <c r="F40" i="12"/>
  <c r="F41" i="12" s="1"/>
  <c r="F42" i="12"/>
  <c r="F39" i="12"/>
  <c r="F38" i="12"/>
  <c r="L20" i="11"/>
  <c r="L21" i="11" s="1"/>
  <c r="L19" i="11"/>
  <c r="L22" i="11" s="1"/>
  <c r="F30" i="13"/>
  <c r="F31" i="13" s="1"/>
  <c r="F28" i="13"/>
  <c r="F32" i="13"/>
  <c r="F19" i="11"/>
  <c r="F18" i="11"/>
  <c r="N19" i="11"/>
  <c r="N18" i="11"/>
  <c r="D28" i="17"/>
  <c r="D32" i="17" s="1"/>
  <c r="D30" i="17"/>
  <c r="D31" i="17" s="1"/>
  <c r="D29" i="17"/>
  <c r="F20" i="11"/>
  <c r="F21" i="11" s="1"/>
  <c r="F29" i="13"/>
  <c r="F21" i="16"/>
  <c r="F24" i="16"/>
  <c r="F20" i="16"/>
  <c r="H18" i="11"/>
  <c r="H22" i="11" s="1"/>
  <c r="F91" i="14"/>
  <c r="F92" i="14" s="1"/>
  <c r="F90" i="14"/>
  <c r="F89" i="14"/>
  <c r="F24" i="15"/>
  <c r="F20" i="15"/>
  <c r="F22" i="15"/>
  <c r="F23" i="15" s="1"/>
  <c r="F22" i="16"/>
  <c r="F23" i="16" s="1"/>
  <c r="G176" i="4" l="1"/>
  <c r="G137" i="4" s="1"/>
  <c r="G63" i="4"/>
  <c r="G37" i="4" s="1"/>
  <c r="G31" i="4"/>
  <c r="M10" i="23"/>
  <c r="N10" i="23" s="1"/>
  <c r="N9" i="23" s="1"/>
  <c r="E5" i="5" s="1"/>
  <c r="Q22" i="23"/>
  <c r="R22" i="23" s="1"/>
  <c r="M22" i="23"/>
  <c r="N22" i="23" s="1"/>
  <c r="N21" i="23" s="1"/>
  <c r="E11" i="5" s="1"/>
  <c r="P23" i="23"/>
  <c r="F12" i="5" s="1"/>
  <c r="K22" i="23"/>
  <c r="L22" i="23" s="1"/>
  <c r="L21" i="23" s="1"/>
  <c r="D11" i="5" s="1"/>
  <c r="K20" i="23"/>
  <c r="L20" i="23" s="1"/>
  <c r="L19" i="23" s="1"/>
  <c r="D10" i="5" s="1"/>
  <c r="R19" i="23"/>
  <c r="G10" i="5" s="1"/>
  <c r="O22" i="23"/>
  <c r="P22" i="23" s="1"/>
  <c r="P21" i="23" s="1"/>
  <c r="F11" i="5" s="1"/>
  <c r="O26" i="23"/>
  <c r="P26" i="23" s="1"/>
  <c r="P25" i="23" s="1"/>
  <c r="K26" i="23"/>
  <c r="L26" i="23" s="1"/>
  <c r="L25" i="23" s="1"/>
  <c r="M12" i="23"/>
  <c r="N12" i="23" s="1"/>
  <c r="N11" i="23" s="1"/>
  <c r="E6" i="5" s="1"/>
  <c r="M14" i="23"/>
  <c r="N14" i="23" s="1"/>
  <c r="N13" i="23" s="1"/>
  <c r="E7" i="5" s="1"/>
  <c r="R17" i="23"/>
  <c r="G9" i="5" s="1"/>
  <c r="R13" i="23"/>
  <c r="G7" i="5" s="1"/>
  <c r="K18" i="23"/>
  <c r="L18" i="23" s="1"/>
  <c r="L17" i="23" s="1"/>
  <c r="D9" i="5" s="1"/>
  <c r="M20" i="23"/>
  <c r="N20" i="23" s="1"/>
  <c r="N19" i="23" s="1"/>
  <c r="E10" i="5" s="1"/>
  <c r="M18" i="23"/>
  <c r="N18" i="23" s="1"/>
  <c r="N17" i="23" s="1"/>
  <c r="E9" i="5" s="1"/>
  <c r="Q26" i="23"/>
  <c r="R26" i="23" s="1"/>
  <c r="M24" i="23"/>
  <c r="N24" i="23" s="1"/>
  <c r="S24" i="23" s="1"/>
  <c r="S23" i="23" s="1"/>
  <c r="H12" i="5" s="1"/>
  <c r="R9" i="23"/>
  <c r="R11" i="23"/>
  <c r="Q16" i="23"/>
  <c r="R16" i="23" s="1"/>
  <c r="R15" i="23" s="1"/>
  <c r="G8" i="5" s="1"/>
  <c r="M16" i="23"/>
  <c r="N16" i="23" s="1"/>
  <c r="N22" i="11"/>
  <c r="G238" i="4"/>
  <c r="G212" i="4" s="1"/>
  <c r="G101" i="4"/>
  <c r="G182" i="4"/>
  <c r="F22" i="11"/>
  <c r="G274" i="4"/>
  <c r="G245" i="4" s="1"/>
  <c r="K3" i="4"/>
  <c r="N3" i="4" s="1"/>
  <c r="F24" i="23" l="1"/>
  <c r="G24" i="23" s="1"/>
  <c r="F22" i="23"/>
  <c r="G22" i="23" s="1"/>
  <c r="L10" i="7"/>
  <c r="L11" i="7" s="1"/>
  <c r="G21" i="23"/>
  <c r="L10" i="20"/>
  <c r="L11" i="20" s="1"/>
  <c r="L10" i="19"/>
  <c r="L11" i="19" s="1"/>
  <c r="L10" i="10"/>
  <c r="L11" i="10" s="1"/>
  <c r="G95" i="4"/>
  <c r="U12" i="23"/>
  <c r="U11" i="23"/>
  <c r="G6" i="5"/>
  <c r="S10" i="23"/>
  <c r="S9" i="23" s="1"/>
  <c r="U10" i="23"/>
  <c r="G4" i="4"/>
  <c r="U9" i="23"/>
  <c r="G5" i="5"/>
  <c r="U20" i="23"/>
  <c r="U13" i="23"/>
  <c r="L10" i="9"/>
  <c r="S12" i="23"/>
  <c r="S11" i="23" s="1"/>
  <c r="H6" i="5" s="1"/>
  <c r="U17" i="23"/>
  <c r="F12" i="23"/>
  <c r="G12" i="23" s="1"/>
  <c r="S14" i="23"/>
  <c r="S13" i="23" s="1"/>
  <c r="H7" i="5" s="1"/>
  <c r="R25" i="23"/>
  <c r="U25" i="23" s="1"/>
  <c r="W25" i="23" s="1"/>
  <c r="U26" i="23"/>
  <c r="W26" i="23" s="1"/>
  <c r="S26" i="23"/>
  <c r="S25" i="23" s="1"/>
  <c r="S18" i="23"/>
  <c r="S17" i="23" s="1"/>
  <c r="H9" i="5" s="1"/>
  <c r="U19" i="23"/>
  <c r="R21" i="23"/>
  <c r="S22" i="23"/>
  <c r="S21" i="23" s="1"/>
  <c r="H11" i="5" s="1"/>
  <c r="U22" i="23"/>
  <c r="U14" i="23"/>
  <c r="F18" i="23"/>
  <c r="G18" i="23" s="1"/>
  <c r="N23" i="23"/>
  <c r="U24" i="23"/>
  <c r="F20" i="23"/>
  <c r="G20" i="23" s="1"/>
  <c r="U18" i="23"/>
  <c r="S20" i="23"/>
  <c r="S19" i="23" s="1"/>
  <c r="H10" i="5" s="1"/>
  <c r="N15" i="23"/>
  <c r="S16" i="23"/>
  <c r="S15" i="23" s="1"/>
  <c r="H8" i="5" s="1"/>
  <c r="U16" i="23"/>
  <c r="U21" i="23" l="1"/>
  <c r="W21" i="23" s="1"/>
  <c r="G11" i="5"/>
  <c r="G69" i="4"/>
  <c r="G23" i="23"/>
  <c r="C22" i="2" s="1"/>
  <c r="L10" i="21"/>
  <c r="L11" i="21" s="1"/>
  <c r="U23" i="23"/>
  <c r="E12" i="5"/>
  <c r="W22" i="23"/>
  <c r="U15" i="23"/>
  <c r="E8" i="5"/>
  <c r="F14" i="23"/>
  <c r="L10" i="6"/>
  <c r="L11" i="6" s="1"/>
  <c r="F10" i="23"/>
  <c r="C20" i="2"/>
  <c r="L11" i="9"/>
  <c r="F16" i="23"/>
  <c r="W20" i="23"/>
  <c r="G19" i="23"/>
  <c r="C18" i="2" s="1"/>
  <c r="W18" i="23"/>
  <c r="G17" i="23"/>
  <c r="C16" i="2" s="1"/>
  <c r="I21" i="23"/>
  <c r="G11" i="23"/>
  <c r="C10" i="2" s="1"/>
  <c r="W12" i="23"/>
  <c r="G14" i="23" l="1"/>
  <c r="G13" i="23" s="1"/>
  <c r="G10" i="23"/>
  <c r="G9" i="23" s="1"/>
  <c r="G16" i="23"/>
  <c r="G15" i="23" s="1"/>
  <c r="L10" i="8"/>
  <c r="L11" i="8" s="1"/>
  <c r="W23" i="23"/>
  <c r="W24" i="23"/>
  <c r="O17" i="2"/>
  <c r="K17" i="2"/>
  <c r="N17" i="2"/>
  <c r="M17" i="2"/>
  <c r="W10" i="23"/>
  <c r="I11" i="23"/>
  <c r="W11" i="23"/>
  <c r="W19" i="23"/>
  <c r="I19" i="23"/>
  <c r="W17" i="23"/>
  <c r="I17" i="23"/>
  <c r="E15" i="5"/>
  <c r="C12" i="2" l="1"/>
  <c r="I13" i="23"/>
  <c r="W13" i="23"/>
  <c r="W14" i="23"/>
  <c r="G31" i="23"/>
  <c r="C8" i="2"/>
  <c r="W9" i="23"/>
  <c r="I9" i="23"/>
  <c r="W16" i="23"/>
  <c r="W15" i="23"/>
  <c r="I15" i="23"/>
  <c r="C14" i="2"/>
  <c r="K15" i="2" s="1"/>
  <c r="F21" i="2"/>
  <c r="J17" i="2"/>
  <c r="I17" i="2"/>
  <c r="H17" i="2"/>
  <c r="N26" i="2"/>
  <c r="M26" i="2"/>
  <c r="L17" i="2"/>
  <c r="L26" i="2" s="1"/>
  <c r="G19" i="2"/>
  <c r="F19" i="2"/>
  <c r="G33" i="23" l="1"/>
  <c r="G34" i="23" s="1"/>
  <c r="J15" i="2"/>
  <c r="J26" i="2" s="1"/>
  <c r="G32" i="23"/>
  <c r="G24" i="25"/>
  <c r="H24" i="25" s="1"/>
  <c r="I24" i="25" s="1"/>
  <c r="G21" i="25"/>
  <c r="H21" i="25" s="1"/>
  <c r="I21" i="25" s="1"/>
  <c r="G22" i="25"/>
  <c r="H22" i="25" s="1"/>
  <c r="I22" i="25" s="1"/>
  <c r="G25" i="25"/>
  <c r="H25" i="25" s="1"/>
  <c r="I25" i="25" s="1"/>
  <c r="G23" i="25"/>
  <c r="H23" i="25" s="1"/>
  <c r="I23" i="25" s="1"/>
  <c r="G26" i="25"/>
  <c r="H26" i="25" s="1"/>
  <c r="I26" i="25" s="1"/>
  <c r="G20" i="25"/>
  <c r="H20" i="25" s="1"/>
  <c r="I20" i="25" s="1"/>
  <c r="I47" i="25"/>
  <c r="K26" i="2"/>
  <c r="E11" i="2"/>
  <c r="F11" i="2"/>
  <c r="F26" i="2" s="1"/>
  <c r="C26" i="2"/>
  <c r="O23" i="2"/>
  <c r="O26" i="2" s="1"/>
  <c r="F15" i="5"/>
  <c r="H13" i="2"/>
  <c r="H26" i="2" s="1"/>
  <c r="I13" i="2"/>
  <c r="I26" i="2" s="1"/>
  <c r="G13" i="2"/>
  <c r="G26" i="2" s="1"/>
  <c r="D9" i="2"/>
  <c r="D26" i="2" s="1"/>
  <c r="E9" i="2"/>
  <c r="G15" i="5"/>
  <c r="G37" i="23" l="1"/>
  <c r="I27" i="25"/>
  <c r="I28" i="25" s="1"/>
  <c r="I30" i="25" s="1"/>
  <c r="E26" i="2"/>
  <c r="D15" i="5"/>
  <c r="I52" i="25" l="1"/>
  <c r="I23" i="23"/>
  <c r="I25" i="23"/>
  <c r="D43" i="23" l="1"/>
  <c r="I9" i="5" l="1"/>
  <c r="I6" i="5"/>
  <c r="I11" i="5"/>
  <c r="I10" i="5"/>
  <c r="I7" i="5"/>
  <c r="I8" i="5"/>
  <c r="I12" i="5" l="1"/>
  <c r="I13" i="5"/>
  <c r="I5" i="5"/>
  <c r="D27" i="2"/>
  <c r="H15" i="5" l="1"/>
  <c r="I15" i="5" s="1"/>
  <c r="I17" i="5" s="1"/>
  <c r="E27" i="2"/>
  <c r="F27" i="2" s="1"/>
  <c r="G27" i="2" s="1"/>
  <c r="H27" i="2" s="1"/>
  <c r="I27" i="2" s="1"/>
  <c r="J27" i="2" s="1"/>
  <c r="K27" i="2" s="1"/>
  <c r="L27" i="2" s="1"/>
  <c r="M27" i="2" s="1"/>
  <c r="N27" i="2" s="1"/>
  <c r="O27" i="2" l="1"/>
  <c r="P27" i="2" s="1"/>
</calcChain>
</file>

<file path=xl/sharedStrings.xml><?xml version="1.0" encoding="utf-8"?>
<sst xmlns="http://schemas.openxmlformats.org/spreadsheetml/2006/main" count="1316" uniqueCount="373">
  <si>
    <t>LOCALIZACIÓN</t>
  </si>
  <si>
    <t>PRESUPUESTO DE OBRA PÚBLICA</t>
  </si>
  <si>
    <t>ÍTEM</t>
  </si>
  <si>
    <t xml:space="preserve">DESCRIPCIÓN </t>
  </si>
  <si>
    <t>UNIDAD</t>
  </si>
  <si>
    <t>CANTIDAD</t>
  </si>
  <si>
    <t>V/UNITARIO</t>
  </si>
  <si>
    <t>V/TOTAL</t>
  </si>
  <si>
    <t xml:space="preserve">EQUIPOS </t>
  </si>
  <si>
    <t>MATERIALES</t>
  </si>
  <si>
    <t>TRANSPORTE /OTROS</t>
  </si>
  <si>
    <t>M.O.N.C</t>
  </si>
  <si>
    <t>AIU</t>
  </si>
  <si>
    <t xml:space="preserve">TOTAL ITEMS </t>
  </si>
  <si>
    <t xml:space="preserve"> </t>
  </si>
  <si>
    <t>M2</t>
  </si>
  <si>
    <t>ML</t>
  </si>
  <si>
    <t>TOTAL COSTO DIRECTO</t>
  </si>
  <si>
    <t>ADMINISTRACION:</t>
  </si>
  <si>
    <t>UTILIDAD:</t>
  </si>
  <si>
    <t>COSTO TOTAL</t>
  </si>
  <si>
    <t>GOBERNACIÓN DE CALDAS</t>
  </si>
  <si>
    <t>DESCRIPCIÓN GENERAL</t>
  </si>
  <si>
    <t>TIEMPO EN SEMANAS</t>
  </si>
  <si>
    <t>CRONOGRAMA DE OBRA CON FLUJO DE INVERSIÓN</t>
  </si>
  <si>
    <t>VALOR CAPITULO - INC AIU</t>
  </si>
  <si>
    <t>LIQUIDACIÓN DEL CONTRATO</t>
  </si>
  <si>
    <t>CAPITULO 8 – BAÑOS Y CAMERINO</t>
  </si>
  <si>
    <t>Presentado a. Secretaria de Deporte, Gobernación de Caldas.</t>
  </si>
  <si>
    <t>CALCULO DEL AIU</t>
  </si>
  <si>
    <t>Personal Administrativo</t>
  </si>
  <si>
    <t>DESCRIPCIÓN</t>
  </si>
  <si>
    <t>Salario y/u honorario</t>
  </si>
  <si>
    <t>Factor prestacional</t>
  </si>
  <si>
    <t>Aux viviend</t>
  </si>
  <si>
    <t>Aux de movilidad</t>
  </si>
  <si>
    <t>SUB TOTAL</t>
  </si>
  <si>
    <t>% dedicación</t>
  </si>
  <si>
    <t>TOTAL</t>
  </si>
  <si>
    <t>Ingeniero residente de obra</t>
  </si>
  <si>
    <t>Técnico SST</t>
  </si>
  <si>
    <t>Maestro de obra</t>
  </si>
  <si>
    <t xml:space="preserve">Elementos operativos </t>
  </si>
  <si>
    <t>Cant</t>
  </si>
  <si>
    <t>Unidad</t>
  </si>
  <si>
    <t>Valor unitario</t>
  </si>
  <si>
    <t>Vr total</t>
  </si>
  <si>
    <t>Elementos para trabajo en alturas</t>
  </si>
  <si>
    <t>mes</t>
  </si>
  <si>
    <t>Servicios públicos de obra</t>
  </si>
  <si>
    <t>Servicio de mensajeria</t>
  </si>
  <si>
    <t>IMPUESTOS Y VALORES AGREGADOS</t>
  </si>
  <si>
    <t>Cant (%)</t>
  </si>
  <si>
    <t xml:space="preserve">Vr. Unitario </t>
  </si>
  <si>
    <t>Valor total</t>
  </si>
  <si>
    <t>Gastos bancarios 4 x 1000</t>
  </si>
  <si>
    <t xml:space="preserve">Industria y Comercio </t>
  </si>
  <si>
    <t>Adulto Mayor</t>
  </si>
  <si>
    <t xml:space="preserve">Pro cultura </t>
  </si>
  <si>
    <t>Universidad</t>
  </si>
  <si>
    <t>Seguridad ciudadana</t>
  </si>
  <si>
    <t>Valor mensual de la administración</t>
  </si>
  <si>
    <t>Periodo de ejecución</t>
  </si>
  <si>
    <t>Valor total de la administración</t>
  </si>
  <si>
    <t>% de administración</t>
  </si>
  <si>
    <t>ADMINISTRACIÓN</t>
  </si>
  <si>
    <t>UTILIDAD</t>
  </si>
  <si>
    <t xml:space="preserve">EQUIPOS Y HERRAMIENTAS </t>
  </si>
  <si>
    <t xml:space="preserve">MATERIALES (INSUMOS) </t>
  </si>
  <si>
    <t xml:space="preserve">TRANSPORTE </t>
  </si>
  <si>
    <t xml:space="preserve">MANO DE OBRA NO CALIFICADA </t>
  </si>
  <si>
    <t>VALOR UNIT</t>
  </si>
  <si>
    <t>1.1</t>
  </si>
  <si>
    <t>DESPERDICIO</t>
  </si>
  <si>
    <t>VALOR UNIT.</t>
  </si>
  <si>
    <t>VALOR PARCIAL</t>
  </si>
  <si>
    <t>ml</t>
  </si>
  <si>
    <t>SUBTOTAL MATERIALES</t>
  </si>
  <si>
    <t>MANO DE OBRA</t>
  </si>
  <si>
    <t>TRABAJADOR</t>
  </si>
  <si>
    <t>m2</t>
  </si>
  <si>
    <t>N/A</t>
  </si>
  <si>
    <t>SUBTOTAL MANO DE OBRA</t>
  </si>
  <si>
    <t>EQUIPO</t>
  </si>
  <si>
    <t>USO</t>
  </si>
  <si>
    <t>TARIFA HORA</t>
  </si>
  <si>
    <t>RENDIMIENTO</t>
  </si>
  <si>
    <t>MANUAL</t>
  </si>
  <si>
    <t>SUBTOTAL EQUIPO</t>
  </si>
  <si>
    <t>OTROS</t>
  </si>
  <si>
    <t>SUBTOTAL OTROS</t>
  </si>
  <si>
    <t>COSTO DIRECTO</t>
  </si>
  <si>
    <t>JORNAL</t>
  </si>
  <si>
    <t>PRESTACIONAL</t>
  </si>
  <si>
    <t>JORNAL TOTAL</t>
  </si>
  <si>
    <t>un</t>
  </si>
  <si>
    <t>kg</t>
  </si>
  <si>
    <t>TRANSPORTES</t>
  </si>
  <si>
    <t>SUBTOTAL TRANSPORTES</t>
  </si>
  <si>
    <t>gl</t>
  </si>
  <si>
    <t xml:space="preserve">CADENA DE VALOR </t>
  </si>
  <si>
    <t xml:space="preserve">CAPITULO </t>
  </si>
  <si>
    <t xml:space="preserve">MATERIALES </t>
  </si>
  <si>
    <t>OTROS/TRANSPORTE</t>
  </si>
  <si>
    <t xml:space="preserve">OTROS GASTOS (AIU) </t>
  </si>
  <si>
    <t>TOTALES</t>
  </si>
  <si>
    <t xml:space="preserve">COSTO TOTAL </t>
  </si>
  <si>
    <t xml:space="preserve">Valor total </t>
  </si>
  <si>
    <t>MEMORIAS  -  CANTIDADES DE OBRA</t>
  </si>
  <si>
    <t>ÍTEM:</t>
  </si>
  <si>
    <t>UNIDAD:</t>
  </si>
  <si>
    <t>No.</t>
  </si>
  <si>
    <t>COSTO ÍTEM:</t>
  </si>
  <si>
    <t>VALOR TOTAL ÍTEM:</t>
  </si>
  <si>
    <t>FECHA</t>
  </si>
  <si>
    <t>ABSCISA</t>
  </si>
  <si>
    <t>DIMENSIONES</t>
  </si>
  <si>
    <t>AREA</t>
  </si>
  <si>
    <t>OBSERVACIONES</t>
  </si>
  <si>
    <t>Día</t>
  </si>
  <si>
    <t>Mes</t>
  </si>
  <si>
    <t>Inicial</t>
  </si>
  <si>
    <t>Final</t>
  </si>
  <si>
    <t>Largo</t>
  </si>
  <si>
    <t>Ancho</t>
  </si>
  <si>
    <t>Alto</t>
  </si>
  <si>
    <t>ACUMULADO</t>
  </si>
  <si>
    <t>(ACTIVIDAD A LA QUE CORRESPONDA)</t>
  </si>
  <si>
    <t xml:space="preserve">UN </t>
  </si>
  <si>
    <t>m3</t>
  </si>
  <si>
    <r>
      <rPr>
        <b/>
        <sz val="11"/>
        <color rgb="FF000000"/>
        <rFont val="Calibri"/>
        <family val="2"/>
        <charset val="1"/>
      </rPr>
      <t>Localizacion</t>
    </r>
    <r>
      <rPr>
        <sz val="11"/>
        <color rgb="FF000000"/>
        <rFont val="Calibri"/>
        <family val="2"/>
        <charset val="1"/>
      </rPr>
      <t>: Campo Rubiales (Meta)</t>
    </r>
  </si>
  <si>
    <t xml:space="preserve">CONTRATO No.: </t>
  </si>
  <si>
    <t>ACTA DE OBRA No.</t>
  </si>
  <si>
    <t xml:space="preserve">Contratista: </t>
  </si>
  <si>
    <t>PLAZO TOTAL:</t>
  </si>
  <si>
    <t xml:space="preserve">Objeto: </t>
  </si>
  <si>
    <t>FECHA DE INICIO:</t>
  </si>
  <si>
    <t>PERIODO FACTURADO</t>
  </si>
  <si>
    <t xml:space="preserve">Obra: </t>
  </si>
  <si>
    <t>FECHA DE VENCIMIENTO:</t>
  </si>
  <si>
    <t>DESDE</t>
  </si>
  <si>
    <t>SAP</t>
  </si>
  <si>
    <t>HASTA</t>
  </si>
  <si>
    <t>ITEM</t>
  </si>
  <si>
    <t>DESCRIPCION</t>
  </si>
  <si>
    <t>CONDICIONES INICIALES</t>
  </si>
  <si>
    <t>ACTA Nº 1</t>
  </si>
  <si>
    <t>PRE</t>
  </si>
  <si>
    <t>VALOR UNITARIO</t>
  </si>
  <si>
    <t>VALOR TOTAL</t>
  </si>
  <si>
    <t>ACUMULADO RECIBIDO</t>
  </si>
  <si>
    <t>SALDO POR EJECUTAR</t>
  </si>
  <si>
    <t>MAYOR CANTIDAD EJECUTADA</t>
  </si>
  <si>
    <t>Unitario 1</t>
  </si>
  <si>
    <t>Unitario 2</t>
  </si>
  <si>
    <t>Unitario 3</t>
  </si>
  <si>
    <t>SUBTOTAL</t>
  </si>
  <si>
    <t>ADMINISTRACION</t>
  </si>
  <si>
    <t xml:space="preserve">IMPREVISTOS </t>
  </si>
  <si>
    <t>IVA S/UTILIDAD</t>
  </si>
  <si>
    <t>Firma:</t>
  </si>
  <si>
    <t>Firma</t>
  </si>
  <si>
    <t>Nombre Administrador de Contrato</t>
  </si>
  <si>
    <t>Nombre Coordinador en campo</t>
  </si>
  <si>
    <t>Nombre Director de Obra Contratista</t>
  </si>
  <si>
    <r>
      <rPr>
        <b/>
        <sz val="12"/>
        <color rgb="FF000000"/>
        <rFont val="Calibri"/>
        <family val="2"/>
        <charset val="1"/>
      </rPr>
      <t xml:space="preserve">PACIFIC RUBIALES ENERGY
</t>
    </r>
    <r>
      <rPr>
        <sz val="12"/>
        <color rgb="FF000000"/>
        <rFont val="Calibri"/>
        <family val="2"/>
        <charset val="1"/>
      </rPr>
      <t xml:space="preserve">META PETROLEUM CORP.
</t>
    </r>
    <r>
      <rPr>
        <sz val="11"/>
        <color rgb="FF000000"/>
        <rFont val="Calibri"/>
        <family val="2"/>
        <charset val="1"/>
      </rPr>
      <t>Campo Rubiales
Proyecto Cimentación Infraestructura 2008-2010</t>
    </r>
  </si>
  <si>
    <t>TANK 100k (Cimentación anillo Tk 100k)</t>
  </si>
  <si>
    <t>CANTIDADES</t>
  </si>
  <si>
    <t>UND.</t>
  </si>
  <si>
    <t xml:space="preserve">CANT. </t>
  </si>
  <si>
    <t>V. UNIT.</t>
  </si>
  <si>
    <t>V. TOTAL</t>
  </si>
  <si>
    <t>REAL</t>
  </si>
  <si>
    <t>REAL (+10%)</t>
  </si>
  <si>
    <t>CIMENTACION ANILLO</t>
  </si>
  <si>
    <t>Localizacion y replanteo</t>
  </si>
  <si>
    <t>Excavacion Manual</t>
  </si>
  <si>
    <t>Excavacion Mecanica</t>
  </si>
  <si>
    <t>Relleno material de excavacion</t>
  </si>
  <si>
    <t>Concreto 1500psi</t>
  </si>
  <si>
    <t>Anillo 4000psi</t>
  </si>
  <si>
    <t>Acero de refuerzo</t>
  </si>
  <si>
    <t>Relleno Estructural 6A</t>
  </si>
  <si>
    <t>Relleno Estructural 6B</t>
  </si>
  <si>
    <t>Relleno Estructural 6C</t>
  </si>
  <si>
    <t>Bentonita</t>
  </si>
  <si>
    <t>Geotextil NT1600</t>
  </si>
  <si>
    <t>Geomembrana HDPE 40mils</t>
  </si>
  <si>
    <t>Anclaje Geomembrana</t>
  </si>
  <si>
    <t>Puntos detectores de fugas</t>
  </si>
  <si>
    <t>Tapas en lamina alfajor para carcamo</t>
  </si>
  <si>
    <t>Demolición concreto</t>
  </si>
  <si>
    <t>ENDURECIMIENTO AREA TANQUE</t>
  </si>
  <si>
    <t>Adecuacion areas a mano</t>
  </si>
  <si>
    <t>Placa contrapiso 2500psi</t>
  </si>
  <si>
    <t>Junta de dilatacion</t>
  </si>
  <si>
    <t>Malla electrosoldada</t>
  </si>
  <si>
    <t>DIQUES</t>
  </si>
  <si>
    <t>Perfilada manual dique</t>
  </si>
  <si>
    <t>Caja concreto 0,8 2500psi</t>
  </si>
  <si>
    <t>Mortero en cemento 1:4</t>
  </si>
  <si>
    <t>Cimentacion 3000psi</t>
  </si>
  <si>
    <t>TANQUE DRENAJE DE PTA</t>
  </si>
  <si>
    <t>PISCINA</t>
  </si>
  <si>
    <t>Concreto muro 3000psi</t>
  </si>
  <si>
    <t>Cinta PVC</t>
  </si>
  <si>
    <t>BOMBAS</t>
  </si>
  <si>
    <t xml:space="preserve">Perno anclaje 3/4 pulg </t>
  </si>
  <si>
    <t>Base 3000psi</t>
  </si>
  <si>
    <t>Estructura Metalica</t>
  </si>
  <si>
    <t>CAJAS CONCRETO</t>
  </si>
  <si>
    <t>Trampa grasas 1,2x1,2</t>
  </si>
  <si>
    <r>
      <rPr>
        <b/>
        <sz val="12"/>
        <color rgb="FF000000"/>
        <rFont val="Calibri"/>
        <family val="2"/>
        <charset val="1"/>
      </rPr>
      <t xml:space="preserve">PACIFIC RUBIALES ENERGY
</t>
    </r>
    <r>
      <rPr>
        <sz val="12"/>
        <color rgb="FF000000"/>
        <rFont val="Calibri"/>
        <family val="2"/>
        <charset val="1"/>
      </rPr>
      <t xml:space="preserve">META PETROLEUM ltd
</t>
    </r>
    <r>
      <rPr>
        <sz val="11"/>
        <color rgb="FF000000"/>
        <rFont val="Calibri"/>
        <family val="2"/>
        <charset val="1"/>
      </rPr>
      <t>Campo Rubiales
Proyecto Cimentacion Infraestructura 2008-2010</t>
    </r>
  </si>
  <si>
    <t>Pad Inyeccion</t>
  </si>
  <si>
    <t xml:space="preserve">DESCRIPCION </t>
  </si>
  <si>
    <t>UND</t>
  </si>
  <si>
    <t>V. UNIT</t>
  </si>
  <si>
    <t>TANQUE ACPM</t>
  </si>
  <si>
    <t>Carcamo 3000psi</t>
  </si>
  <si>
    <t>Valvula Bola 2 pulg</t>
  </si>
  <si>
    <t>GENERADORES</t>
  </si>
  <si>
    <t>Bordillo 2500psi</t>
  </si>
  <si>
    <t>MURO CORTAFUEGO</t>
  </si>
  <si>
    <t>CCM</t>
  </si>
  <si>
    <t>Cielo raso en fibrocemento</t>
  </si>
  <si>
    <t>Cubierta en lamina termoacustica</t>
  </si>
  <si>
    <t>Cerramiento en lamina tipo monowall</t>
  </si>
  <si>
    <t>Acometida electrica interna</t>
  </si>
  <si>
    <t>Tablero eléctrico, 12 circuitos</t>
  </si>
  <si>
    <t>Puntos Eléctricos monofásicos para tomas</t>
  </si>
  <si>
    <t>Puntos Eléctricos monofásicos para iluminación</t>
  </si>
  <si>
    <t xml:space="preserve">Puntos eléctricos trifásicos </t>
  </si>
  <si>
    <t>Lámparas fluorecentes de 0,6x0,6</t>
  </si>
  <si>
    <t>Aplique exterior tipo tortuga</t>
  </si>
  <si>
    <t>Sum &amp; Inst. A.A. tipo mini split 36000BTU</t>
  </si>
  <si>
    <t>Angulo 2x3/16</t>
  </si>
  <si>
    <t>Puerta metálica plisada</t>
  </si>
  <si>
    <t>Tuberia PVCS 4 pulg</t>
  </si>
  <si>
    <t>BOMBAS PRINCIPALES</t>
  </si>
  <si>
    <t>BOMBAS BOOSTER</t>
  </si>
  <si>
    <t>TANQUES 1000</t>
  </si>
  <si>
    <t>FOSO DE BOMBAS</t>
  </si>
  <si>
    <t>FOSO BOMBAS</t>
  </si>
  <si>
    <t>Bombas y Equipos Varios</t>
  </si>
  <si>
    <t>Teja tipo arquitectonica #6</t>
  </si>
  <si>
    <t>DESTRONQUE Y LIJADA</t>
  </si>
  <si>
    <t>Destronque y lijada de pista de velocidad para generar perfil de anclaje.</t>
  </si>
  <si>
    <t>MUNICIPIO DE VILLAMARIA DEPARTAMENTO DE CALDAS</t>
  </si>
  <si>
    <t>Cuadrilla 1 (Oficial + Ayudante)</t>
  </si>
  <si>
    <t>Viaticos</t>
  </si>
  <si>
    <t>Herramienta Menor 5%MO</t>
  </si>
  <si>
    <t>Transporte</t>
  </si>
  <si>
    <t>km</t>
  </si>
  <si>
    <t>Brilladora destroncadora</t>
  </si>
  <si>
    <t>Disco destronque</t>
  </si>
  <si>
    <t>Disco lija concreto</t>
  </si>
  <si>
    <t>LAVADA Y DESCONTAMINADA</t>
  </si>
  <si>
    <t>"MEJORAMIENTO Y ADECUACION DE LA PISTA DE PATINAJE DEL PARQUE VILLA DIANA, MUNICIPIO DE VILLAMARIA - CALDAS"</t>
  </si>
  <si>
    <t>Area pista de patinaje</t>
  </si>
  <si>
    <t>Suministro, transporte y aplicación de recubrimiento sintético en cinco (5) capas para pista de velocidad: incluye una capa de autonivelante, una capa PACK LEVEL, tres capas de recubrimiento sintético LATEX AR, color azul. Demarcación de linea interna, meta y contra meta en color blanco. (Producto Avalado por FEDEPATIN COLOMBIA).</t>
  </si>
  <si>
    <t>CAPITULO 1 - DESTRONQUE Y LIJADA</t>
  </si>
  <si>
    <t>CAPITULO 2 - LAVADA Y DESCONTAMINADA</t>
  </si>
  <si>
    <t>Yumbolon juntas 1/4"</t>
  </si>
  <si>
    <t>rollo</t>
  </si>
  <si>
    <t>Cinta malla</t>
  </si>
  <si>
    <t>Mortero acrílico</t>
  </si>
  <si>
    <t>kl</t>
  </si>
  <si>
    <t>Resina acrílica</t>
  </si>
  <si>
    <t>Cuadrilla 2 (Oficial + 2 Ayudantes)</t>
  </si>
  <si>
    <t>Hidro lavadora 4000 psi</t>
  </si>
  <si>
    <t>CAPITULO 3 -RECUBRIMIENTO SINTETICO</t>
  </si>
  <si>
    <t>Resina acrílica LATEX - AR</t>
  </si>
  <si>
    <t>KL</t>
  </si>
  <si>
    <t>Arena de sílice</t>
  </si>
  <si>
    <t>Cuadrilla 3 (Oficial + 3 Ayudantes)</t>
  </si>
  <si>
    <t>Mezclador de dos aspas</t>
  </si>
  <si>
    <t>CAPITULO 4 - REDUCTORES DE VELOCIDAD</t>
  </si>
  <si>
    <t>REDUCTORES DE VELOCIDAD</t>
  </si>
  <si>
    <t>Suministro, transporte e instalación de reductores de velocidad. Garantia por instalación 6 meses. (Producto Avalado por FEDEPATIN COLOMBIA).</t>
  </si>
  <si>
    <t>Reductores</t>
  </si>
  <si>
    <t>RECUBRIMIENTO SINTETICO</t>
  </si>
  <si>
    <t>Cinta plástica</t>
  </si>
  <si>
    <t>Cinta adherente</t>
  </si>
  <si>
    <t>Bisel</t>
  </si>
  <si>
    <t>Pegante</t>
  </si>
  <si>
    <t>CAPITULO 5 - BARANDA DE PROTECCION</t>
  </si>
  <si>
    <t>BARANDA DE PROTECCION</t>
  </si>
  <si>
    <t>Suministro, transporte y colocación de pasamanos metálico de protección para pista de patinaje de VELOCIDAD, con policarbonato de 6 mm, fijado a estructura por medio de remaches POP  de 5/32 x 5/8" 5-8. Bolillo interior en tubería negra pesada de 2" x 1.5 mm. Con parales principales verticales en tuberia negra redonda de 2", de altura 1.20 metros separados cada 2.90 a 3,00 mt anclados a piso con platina en acero tipo ASTM A36 de 10 x 15 cm de 1/8" y cuatro chazos concreto expansivo de 3/8" x 1-7/8". Parales intermedios rectangulares de 2" x 1" calibre 20,  de altura 1.20 metros, anclados a piso con varilla de hierro de 3/8", separados cada 2.90 a 3,00 metros. Angulo de 1" x 1/8" para soporte de policarbonato. Bandeja inferior en lámina galvanizada de 22,5 cm calibre 22, con banda de protección en neopreno de 20 cm de alto y 6 mm de espesor, adherido a la lámina por medio de pegante sintético. Incluye: soldadura de acabado, pulida y masillada, una mano de anticorrosivo tipo 1 y dos manos de pintura esmalte tipo pintulux 3 en 1 y todo lo necesario para su correcta instalación y funcionamiento. (Producto Avalado por FEDEPATIN). Incluye aprovechamiento de bolillo superior e intermedio de la baranda actual.</t>
  </si>
  <si>
    <t>Baranda de protección</t>
  </si>
  <si>
    <t>Tub. Cuadr. Negra pesada 2-1/2"</t>
  </si>
  <si>
    <t>Soldadura</t>
  </si>
  <si>
    <t>Anticorrosivo epoxipoliam</t>
  </si>
  <si>
    <t>Pintura epóxica en poliretano 3 en 1</t>
  </si>
  <si>
    <t>Platina defijación 1/8"</t>
  </si>
  <si>
    <t>Pernos de fijación 1/4"</t>
  </si>
  <si>
    <t>Policarbonato 6 mm</t>
  </si>
  <si>
    <t>Neopreno faja de 20 cm - 6 mm</t>
  </si>
  <si>
    <t>Lija de agua</t>
  </si>
  <si>
    <t>Thiner</t>
  </si>
  <si>
    <t>Tubería A.N. 1-1/2" Pesada</t>
  </si>
  <si>
    <t>Masilla gris</t>
  </si>
  <si>
    <t>Platina 2" x 1/8"</t>
  </si>
  <si>
    <t>Tornillería</t>
  </si>
  <si>
    <t>Lámina para neopreno</t>
  </si>
  <si>
    <t>Tornillería 3/8"</t>
  </si>
  <si>
    <t>gln</t>
  </si>
  <si>
    <t>und</t>
  </si>
  <si>
    <t>Cuadrilla Soldador + 2 Ayudantes</t>
  </si>
  <si>
    <t>Soldador eléctrico</t>
  </si>
  <si>
    <t>CAPITULO 6 – DESMONTE BARANDA EXISTENTE</t>
  </si>
  <si>
    <t>DESMONTE BARANDA EXISTENTE</t>
  </si>
  <si>
    <t>CAPITULO 7 – LAVADA Y DESCONTAMINACION DE CARCAMO</t>
  </si>
  <si>
    <t>Cárcamo</t>
  </si>
  <si>
    <t>LAVADA Y DESCONTAMINACION CARCAMO</t>
  </si>
  <si>
    <t>Pintura acrílica base agua para exterior</t>
  </si>
  <si>
    <t>Transporte IN SITU</t>
  </si>
  <si>
    <t>Homologación pista FEDEPATIN</t>
  </si>
  <si>
    <t>Gl</t>
  </si>
  <si>
    <t>HOMOLOGACION PISTA PATINAJE FEDEPATIN COLOMBIA</t>
  </si>
  <si>
    <t>MUNICIPIO DE VILLAMARIA CALDAS</t>
  </si>
  <si>
    <t>VILLAMARIA</t>
  </si>
  <si>
    <t>IVA 19% SOBRE UTILIDAD</t>
  </si>
  <si>
    <t>3 meses</t>
  </si>
  <si>
    <t>Ingeniero director de obra</t>
  </si>
  <si>
    <t>IVA SOBRE U:</t>
  </si>
  <si>
    <t>PARQUE VILLA DIANA, ZONA URBANA, VILLAMARIA CALDAS.</t>
  </si>
  <si>
    <t>CAPITULO 3 - RECUBRIMIENTO SINTETICO</t>
  </si>
  <si>
    <t>CAPITULO 7 – LAVADA Y DESCONTAMINACIONCARCAMO</t>
  </si>
  <si>
    <t>HOMOLOGACION FEDEPATIN</t>
  </si>
  <si>
    <t>CAPITULO 8 – HOMOLOGACION FEDEPATIN</t>
  </si>
  <si>
    <t>Proyectó: CRISTIAN ALBERTO ORTEGON VEGA</t>
  </si>
  <si>
    <t>ARQUITECTO CONTRATISTA</t>
  </si>
  <si>
    <t>TP: A253012011-16074410</t>
  </si>
  <si>
    <t>CRISTIAN ALBERTO ORTEGON VEGA                                                                                                                                                                                                                                                                                                                                                                                                                                                                           TP: A253012011-16074410</t>
  </si>
  <si>
    <t>TP:A253012011-16074410</t>
  </si>
  <si>
    <t>EL VALOR TOTAL SERÁ COFINANCIADO ENTRE LA GOBERNACIÓN DE CALDAS Y EL MUNICIPIO DE VILLAMARIA ASÍ:</t>
  </si>
  <si>
    <t>MUNICIPIO DE VILLAMARIA</t>
  </si>
  <si>
    <t>Lavada y descontaminada de pista. Incluye tratamiento de 825 ml de juntas de dilatación entre losas de concreto por medio de sello flexible, malla de refuerzo y polímero  y empozamientos menores a 3 mm.</t>
  </si>
  <si>
    <t>Desmonte de baranda de protección existente con personal calificado para recuperación de la misma y su futura utilización por parte de la Administración en otros escenarios y acopio en situ del material resultante. No incluye botada ni transporte.</t>
  </si>
  <si>
    <t>Lavada y descontaminación de cárcamo. Incluye lavado apresión con hidrolavadarora de 4000 psi de paredes internas y tapas externas. Recuperación de tapas por medio de aplicación de pintura acrílica base agua para exteriores de alta resistencia</t>
  </si>
  <si>
    <t>Polizas de seriedad y cumplimiento</t>
  </si>
  <si>
    <t>Aval de la pista de velocidad, tramitado y otorgado bajo responsabilidad del contratista, por la FEDEPATIN Colombia según normativa - Escenarios de patinaje - 2024 "Normativa oficial para el diseño de escenarios de patinaje - vigencia 2024". Incluye hasta tres desplazamientos del personal técnico de FEDEPATIN.</t>
  </si>
  <si>
    <t>En el territorio los espacios públicos para las prácticas deportivas actualmente requieren de intervención, para garantizar la calidad en la prestación de servicios a la comunidad, y en especial para la practica del deporte de manera segura, garantizando espacios de ocio y recreación a los Villamarianos.</t>
  </si>
  <si>
    <t>HR</t>
  </si>
  <si>
    <t>DIA</t>
  </si>
  <si>
    <t>ACARREO INTERNO</t>
  </si>
  <si>
    <t>PERFIL METALICO CAL 12 - 2,5MM. - 2,44M.</t>
  </si>
  <si>
    <t>Suministro, transporte e instalación valla informativa general del proyecto.</t>
  </si>
  <si>
    <t>CAPITULO 9 – SUMINISTRO, TRANSPORTE E INSTALACION VALLA INFORMATIVA GENERAL DEL PROYECTO</t>
  </si>
  <si>
    <t xml:space="preserve"> VALLA EN LONA-PERFIL METALICO CAL 12 - 2,5MM. - 2,44M.</t>
  </si>
  <si>
    <t>Valla en lona</t>
  </si>
  <si>
    <t>Acarreo interno</t>
  </si>
  <si>
    <t>Perfil metálico CAL 12 - 2,5MM. - 2,44M.</t>
  </si>
  <si>
    <t>Cuadrilla AA Tipo 2 (1 Oficial + 2 Ayudante) (Albañileria)</t>
  </si>
  <si>
    <t>Equipo de transporte</t>
  </si>
  <si>
    <t>Herramienta menor</t>
  </si>
  <si>
    <t>Aval FEDEPATIN</t>
  </si>
  <si>
    <t>INTERVENTORÍA</t>
  </si>
  <si>
    <t xml:space="preserve"> COSTO TOTAL</t>
  </si>
  <si>
    <t>Ingeniero residente</t>
  </si>
  <si>
    <t>Profesional SST</t>
  </si>
  <si>
    <t>-</t>
  </si>
  <si>
    <t>Secretaria</t>
  </si>
  <si>
    <t xml:space="preserve">Oficina/Campamento en la zona del proyecto (Incluye dotación de oficina y servicios públicos) </t>
  </si>
  <si>
    <t>Ensayos de laboratorio</t>
  </si>
  <si>
    <t>Edición de Informes, papeleria, reproducción de documentos, planos, fotografias, videos, archivos magneticos, etc</t>
  </si>
  <si>
    <t xml:space="preserve">Comunicaciones (telefonia fija y/o celular, fax, correspondencia, internet, etc). </t>
  </si>
  <si>
    <t>NÚMERO DE MESES</t>
  </si>
  <si>
    <t>APLICACIÓN DE RECUBRIMIENTO SINTETICO</t>
  </si>
  <si>
    <t>VALLA INFORMATIVA GENERAL DEL PROYECTO</t>
  </si>
  <si>
    <t>CAPITULO 9 – VALLA INFORMATIVA GENERAL DEL PROYECTO</t>
  </si>
  <si>
    <t>IMPREVISTOS:</t>
  </si>
  <si>
    <t>IMPREVISTOS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</si>
</sst>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  <numFmt numFmtId="164" formatCode="* #,##0.00&quot; € &quot;;\-* #,##0.00&quot; € &quot;;* \-#&quot; € &quot;;@\ "/>
    <numFmt numFmtId="165" formatCode="* #,##0.00\ ;* \(#,##0.00\);* \-#\ ;@\ "/>
    <numFmt numFmtId="166" formatCode="_(* #,##0.00_);_(* \(#,##0.00\);_(* \-??_);_(@_)"/>
    <numFmt numFmtId="167" formatCode="&quot; $&quot;* #,##0.00\ ;&quot; $&quot;* \(#,##0.00\);&quot; $&quot;* \-#\ ;@\ "/>
    <numFmt numFmtId="168" formatCode="&quot;$ &quot;#,##0"/>
    <numFmt numFmtId="169" formatCode="* #,##0\ ;\-* #,##0\ ;* &quot;- &quot;;@\ "/>
    <numFmt numFmtId="170" formatCode="_-* #,##0_-;\-* #,##0_-;_-* \-_-;_-@_-"/>
    <numFmt numFmtId="171" formatCode="0.000"/>
    <numFmt numFmtId="172" formatCode="#,##0.00000"/>
    <numFmt numFmtId="173" formatCode="&quot;$ &quot;#,##0;[Red]&quot;$ &quot;#,##0"/>
    <numFmt numFmtId="174" formatCode="&quot; C$&quot;* #,##0.00\ ;&quot; C$&quot;* \(#,##0.00\);&quot; C$&quot;* \-#\ ;@\ "/>
    <numFmt numFmtId="175" formatCode="&quot; $&quot;* #,##0.00\ ;&quot;-$&quot;* #,##0.00\ ;&quot; $&quot;* \-#\ ;@\ "/>
    <numFmt numFmtId="176" formatCode="&quot; $ &quot;* #,##0.00\ ;&quot; $ &quot;* \(#,##0.00\);&quot; $ &quot;* \-#\ ;@\ "/>
    <numFmt numFmtId="177" formatCode="&quot; $&quot;* #,##0\ ;&quot;-$&quot;* #,##0\ ;&quot; $&quot;* &quot;- &quot;;@\ "/>
    <numFmt numFmtId="178" formatCode="_-\$* #,##0_-;&quot;-$&quot;* #,##0_-;_-\$* \-_-;_-@_-"/>
    <numFmt numFmtId="179" formatCode="#,##0.00_);\(#,##0.00\)"/>
    <numFmt numFmtId="180" formatCode="_-* #,##0.0_-;\-* #,##0.0_-;_-* \-_-;_-@_-"/>
    <numFmt numFmtId="181" formatCode="_-&quot;$ &quot;* #,##0_-;&quot;-$ &quot;* #,##0_-;_-&quot;$ &quot;* \-_-;_-@_-"/>
    <numFmt numFmtId="182" formatCode="_-\$* #,##0.00_-;&quot;-$&quot;* #,##0.00_-;_-\$* \-_-;_-@_-"/>
    <numFmt numFmtId="183" formatCode="_-[$$-240A]\ * #,##0.00_-;\-[$$-240A]\ * #,##0.00_-;_-[$$-240A]\ * \-??_-;_-@_-"/>
    <numFmt numFmtId="184" formatCode="_-&quot;$ &quot;* #,##0.00_-;&quot;-$ &quot;* #,##0.00_-;_-&quot;$ &quot;* \-??_-;_-@_-"/>
    <numFmt numFmtId="185" formatCode="_-* #,##0.00_-;\-* #,##0.00_-;_-* \-_-;_-@_-"/>
    <numFmt numFmtId="186" formatCode="[$$-240A]#,##0.00;[Red]\([$$-240A]#,##0.00\)"/>
    <numFmt numFmtId="187" formatCode="_-&quot;$ &quot;* #,##0.00_-;&quot;-$ &quot;* #,##0.00_-;_-&quot;$ &quot;* \-_-;_-@_-"/>
    <numFmt numFmtId="188" formatCode="_-\$* #,##0.00_-;&quot;-$&quot;* #,##0.00_-;_-\$* \-??_-;_-@_-"/>
    <numFmt numFmtId="189" formatCode="* #,##0&quot; € &quot;;\-* #,##0&quot; € &quot;;* &quot;- € &quot;;@\ "/>
    <numFmt numFmtId="190" formatCode="[$$-240A]\ * #,##0.00\ ;\-[$$-240A]\ * #,##0.00\ ;[$$-240A]\ * \-#\ ;@\ "/>
    <numFmt numFmtId="191" formatCode="* #,##0&quot;    &quot;;\-* #,##0&quot;    &quot;;* &quot;-    &quot;;@\ "/>
    <numFmt numFmtId="192" formatCode="* #,##0.00\ ;\-* #,##0.00\ ;* &quot;- &quot;;@\ "/>
    <numFmt numFmtId="193" formatCode="* #,##0.00\ ;* \(#,##0.00\);* \-#.00\ ;@\ "/>
    <numFmt numFmtId="194" formatCode="&quot; $ &quot;* #,##0.0\ ;&quot; $ &quot;* \(#,##0.0\);&quot; $ &quot;* \-#\ ;@\ "/>
    <numFmt numFmtId="195" formatCode="&quot; $ &quot;* #,##0\ ;&quot; $ &quot;* \(#,##0\);&quot; $ &quot;* \-#\ ;@\ "/>
    <numFmt numFmtId="196" formatCode="0.0"/>
    <numFmt numFmtId="197" formatCode="[$$-240A]\ * #,##0.00\ ;\-[$$-240A]\ * #,##0.00\ ;[$$-240A]\ * \-#.00\ ;@\ "/>
    <numFmt numFmtId="198" formatCode="_(* #,##0_);_(* \(#,##0\);_(* \-??_);_(@_)"/>
    <numFmt numFmtId="199" formatCode="_(* #,##0.000_);_(* \(#,##0.000\);_(* \-??_);_(@_)"/>
    <numFmt numFmtId="200" formatCode="_-* #,##0_-;\-* #,##0_-;_-* \-??_-;_-@_-"/>
    <numFmt numFmtId="201" formatCode="_-* #,##0.00_-;\-* #,##0.00_-;_-* \-??_-;_-@_-"/>
    <numFmt numFmtId="202" formatCode="0.0000"/>
    <numFmt numFmtId="203" formatCode="[$$-240A]\ #,##0.00"/>
    <numFmt numFmtId="204" formatCode="#,##0.0000"/>
    <numFmt numFmtId="205" formatCode="[$$-240A]\ #,##0"/>
    <numFmt numFmtId="206" formatCode="[$$-240A]\ #,##0.000"/>
    <numFmt numFmtId="207" formatCode="[$$-240A]\ #,##0.0"/>
    <numFmt numFmtId="208" formatCode="0.000000000"/>
    <numFmt numFmtId="209" formatCode="_-\$* #,##0.00000000_-;&quot;-$&quot;* #,##0.00000000_-;_-\$* \-_-;_-@_-"/>
    <numFmt numFmtId="210" formatCode="_-[$$-240A]\ * #,##0.00_-;\-[$$-240A]\ * #,##0.00_-;_-[$$-240A]\ * &quot;-&quot;??_-;_-@_-"/>
    <numFmt numFmtId="211" formatCode="* #,##0\ ;* \(#,##0\);* \-#\ ;@\ "/>
    <numFmt numFmtId="212" formatCode="_-[$$-240A]\ * #,##0_-;\-[$$-240A]\ * #,##0_-;_-[$$-240A]\ * &quot;-&quot;??_-;_-@_-"/>
    <numFmt numFmtId="213" formatCode="_-* #,##0\ _$_-;\-* #,##0\ _$_-;_-* &quot;-&quot;??\ _$_-;_-@_-"/>
    <numFmt numFmtId="214" formatCode="_-* #,##0.00\ _$_-;\-* #,##0.00\ _$_-;_-* &quot;-&quot;??\ _$_-;_-@_-"/>
    <numFmt numFmtId="215" formatCode="_-[$$-240A]\ * #,##0.0000_-;\-[$$-240A]\ * #,##0.0000_-;_-[$$-240A]\ * &quot;-&quot;??_-;_-@_-"/>
    <numFmt numFmtId="216" formatCode="_-* #,##0.000_-;\-* #,##0.000_-;_-* \-??_-;_-@_-"/>
    <numFmt numFmtId="217" formatCode="0.00000000%"/>
    <numFmt numFmtId="218" formatCode="0.00000000000%"/>
    <numFmt numFmtId="220" formatCode="&quot; $ &quot;* #,##0.00\ ;&quot; $ &quot;* \(#,##0.00\);&quot; $ &quot;* \-#.0\ ;@\ "/>
  </numFmts>
  <fonts count="64" x14ac:knownFonts="1">
    <font>
      <sz val="11"/>
      <color rgb="FF000000"/>
      <name val="Calibri"/>
      <family val="2"/>
      <charset val="1"/>
    </font>
    <font>
      <sz val="12"/>
      <name val="Arial"/>
      <family val="2"/>
      <charset val="1"/>
    </font>
    <font>
      <sz val="10"/>
      <name val="Arial"/>
      <family val="2"/>
      <charset val="1"/>
    </font>
    <font>
      <sz val="10"/>
      <name val="Courier New"/>
      <family val="3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u/>
      <sz val="11"/>
      <color rgb="FF0563C1"/>
      <name val="Calibri"/>
      <family val="2"/>
      <charset val="1"/>
    </font>
    <font>
      <b/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10"/>
      <color rgb="FF0000FF"/>
      <name val="Arial"/>
      <family val="2"/>
      <charset val="1"/>
    </font>
    <font>
      <sz val="8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b/>
      <sz val="14"/>
      <name val="Calibri"/>
      <family val="2"/>
      <charset val="1"/>
    </font>
    <font>
      <b/>
      <sz val="20"/>
      <name val="Calibri"/>
      <family val="2"/>
      <charset val="1"/>
    </font>
    <font>
      <sz val="14"/>
      <name val="Calibri"/>
      <family val="2"/>
      <charset val="1"/>
    </font>
    <font>
      <b/>
      <sz val="12"/>
      <color rgb="FFD9D9D9"/>
      <name val="Arial Narrow"/>
      <family val="2"/>
      <charset val="1"/>
    </font>
    <font>
      <b/>
      <sz val="16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Arial Narrow"/>
      <family val="2"/>
      <charset val="1"/>
    </font>
    <font>
      <b/>
      <sz val="18"/>
      <color rgb="FF000000"/>
      <name val="Arial Narrow"/>
      <family val="2"/>
      <charset val="1"/>
    </font>
    <font>
      <b/>
      <sz val="9"/>
      <name val="Arial Narrow"/>
      <family val="2"/>
      <charset val="1"/>
    </font>
    <font>
      <sz val="9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sz val="8"/>
      <name val="Arial Narrow"/>
      <family val="2"/>
      <charset val="1"/>
    </font>
    <font>
      <b/>
      <sz val="12"/>
      <name val="Arial"/>
      <family val="2"/>
      <charset val="1"/>
    </font>
    <font>
      <b/>
      <sz val="10"/>
      <color rgb="FF000000"/>
      <name val="Arial Narrow"/>
      <family val="2"/>
      <charset val="1"/>
    </font>
    <font>
      <b/>
      <sz val="8"/>
      <color rgb="FF000000"/>
      <name val="Arial Narrow"/>
      <family val="2"/>
      <charset val="1"/>
    </font>
    <font>
      <b/>
      <sz val="14"/>
      <name val="Arial Narrow"/>
      <family val="2"/>
      <charset val="1"/>
    </font>
    <font>
      <b/>
      <sz val="10"/>
      <name val="Arial Narrow"/>
      <family val="2"/>
      <charset val="1"/>
    </font>
    <font>
      <b/>
      <i/>
      <sz val="16"/>
      <name val="Arial Narrow"/>
      <family val="2"/>
      <charset val="1"/>
    </font>
    <font>
      <b/>
      <sz val="18"/>
      <name val="Arial Narrow"/>
      <family val="2"/>
      <charset val="1"/>
    </font>
    <font>
      <b/>
      <sz val="11"/>
      <name val="Arial Narrow"/>
      <family val="2"/>
      <charset val="1"/>
    </font>
    <font>
      <sz val="8"/>
      <color rgb="FF000000"/>
      <name val="Arial Narrow"/>
      <family val="2"/>
      <charset val="1"/>
    </font>
    <font>
      <sz val="8"/>
      <name val="Arial Narrow"/>
      <family val="2"/>
      <charset val="1"/>
    </font>
    <font>
      <sz val="10"/>
      <name val="Calibri"/>
      <family val="2"/>
      <charset val="1"/>
    </font>
    <font>
      <b/>
      <sz val="15"/>
      <color rgb="FF000000"/>
      <name val="Calibri"/>
      <family val="2"/>
      <charset val="1"/>
    </font>
    <font>
      <b/>
      <sz val="22"/>
      <name val="Calibri"/>
      <family val="2"/>
      <charset val="1"/>
    </font>
    <font>
      <b/>
      <sz val="10"/>
      <name val="Calibri"/>
      <family val="2"/>
      <charset val="1"/>
    </font>
    <font>
      <sz val="9"/>
      <name val="Calibri"/>
      <family val="2"/>
      <charset val="1"/>
    </font>
    <font>
      <b/>
      <sz val="12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0"/>
      <name val="Verdana"/>
      <family val="2"/>
      <charset val="1"/>
    </font>
    <font>
      <b/>
      <sz val="10"/>
      <name val="Verdana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Calibri"/>
      <family val="2"/>
      <charset val="1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D9D9D9"/>
        <bgColor rgb="FFDAE3F3"/>
      </patternFill>
    </fill>
    <fill>
      <patternFill patternType="solid">
        <fgColor rgb="FFBFBFBF"/>
        <bgColor rgb="FFA6A6A6"/>
      </patternFill>
    </fill>
    <fill>
      <patternFill patternType="solid">
        <fgColor rgb="FFFBE5D6"/>
        <bgColor rgb="FFE7E6E6"/>
      </patternFill>
    </fill>
    <fill>
      <patternFill patternType="solid">
        <fgColor rgb="FFEDEDED"/>
        <bgColor rgb="FFF2F2F2"/>
      </patternFill>
    </fill>
    <fill>
      <patternFill patternType="solid">
        <fgColor rgb="FFE2F0D9"/>
        <bgColor rgb="FFE7E6E6"/>
      </patternFill>
    </fill>
    <fill>
      <patternFill patternType="solid">
        <fgColor rgb="FF3333FF"/>
        <bgColor rgb="FF3366FF"/>
      </patternFill>
    </fill>
    <fill>
      <patternFill patternType="solid">
        <fgColor rgb="FFE7E6E6"/>
        <bgColor rgb="FFEDEDED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F2F2F2"/>
      </patternFill>
    </fill>
    <fill>
      <patternFill patternType="solid">
        <fgColor rgb="FFC5E0B4"/>
        <bgColor rgb="FFD9D9D9"/>
      </patternFill>
    </fill>
    <fill>
      <patternFill patternType="solid">
        <fgColor rgb="FFDAE3F3"/>
        <bgColor rgb="FFE7E6E6"/>
      </patternFill>
    </fill>
    <fill>
      <patternFill patternType="solid">
        <fgColor rgb="FFF2F2F2"/>
        <bgColor rgb="FFEDEDED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CD5B5"/>
        <bgColor rgb="FFFBE5D6"/>
      </patternFill>
    </fill>
    <fill>
      <patternFill patternType="solid">
        <fgColor rgb="FF3333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rgb="FFE7E6E6"/>
      </patternFill>
    </fill>
    <fill>
      <patternFill patternType="solid">
        <fgColor theme="0" tint="-0.14999847407452621"/>
        <bgColor rgb="FFDAE3F3"/>
      </patternFill>
    </fill>
  </fills>
  <borders count="10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65">
    <xf numFmtId="0" fontId="0" fillId="0" borderId="0"/>
    <xf numFmtId="165" fontId="58" fillId="0" borderId="0" applyBorder="0" applyProtection="0"/>
    <xf numFmtId="164" fontId="58" fillId="0" borderId="0" applyBorder="0" applyProtection="0"/>
    <xf numFmtId="9" fontId="58" fillId="0" borderId="0" applyBorder="0" applyProtection="0"/>
    <xf numFmtId="0" fontId="10" fillId="0" borderId="0" applyBorder="0" applyProtection="0"/>
    <xf numFmtId="164" fontId="58" fillId="0" borderId="0" applyBorder="0" applyProtection="0"/>
    <xf numFmtId="165" fontId="58" fillId="0" borderId="0" applyBorder="0" applyProtection="0"/>
    <xf numFmtId="0" fontId="58" fillId="0" borderId="0" applyBorder="0" applyProtection="0"/>
    <xf numFmtId="166" fontId="58" fillId="0" borderId="0" applyBorder="0" applyProtection="0"/>
    <xf numFmtId="165" fontId="58" fillId="0" borderId="0" applyBorder="0" applyProtection="0"/>
    <xf numFmtId="167" fontId="58" fillId="0" borderId="0" applyBorder="0" applyProtection="0"/>
    <xf numFmtId="168" fontId="58" fillId="0" borderId="0" applyBorder="0" applyProtection="0"/>
    <xf numFmtId="165" fontId="58" fillId="0" borderId="0" applyBorder="0" applyProtection="0"/>
    <xf numFmtId="166" fontId="58" fillId="0" borderId="0" applyBorder="0" applyProtection="0"/>
    <xf numFmtId="166" fontId="58" fillId="0" borderId="0" applyBorder="0" applyProtection="0"/>
    <xf numFmtId="169" fontId="58" fillId="0" borderId="0" applyBorder="0" applyProtection="0"/>
    <xf numFmtId="169" fontId="58" fillId="0" borderId="0" applyBorder="0" applyProtection="0"/>
    <xf numFmtId="170" fontId="58" fillId="0" borderId="0" applyBorder="0" applyProtection="0"/>
    <xf numFmtId="171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2" fontId="58" fillId="0" borderId="0" applyBorder="0" applyProtection="0"/>
    <xf numFmtId="173" fontId="58" fillId="0" borderId="0" applyBorder="0" applyProtection="0"/>
    <xf numFmtId="174" fontId="58" fillId="0" borderId="0" applyBorder="0" applyProtection="0"/>
    <xf numFmtId="175" fontId="58" fillId="0" borderId="0" applyBorder="0" applyProtection="0"/>
    <xf numFmtId="0" fontId="58" fillId="0" borderId="0" applyBorder="0" applyProtection="0"/>
    <xf numFmtId="176" fontId="58" fillId="0" borderId="0" applyBorder="0" applyProtection="0"/>
    <xf numFmtId="176" fontId="58" fillId="0" borderId="0" applyBorder="0" applyProtection="0"/>
    <xf numFmtId="177" fontId="58" fillId="0" borderId="0" applyBorder="0" applyProtection="0"/>
    <xf numFmtId="178" fontId="58" fillId="0" borderId="0" applyBorder="0" applyProtection="0"/>
    <xf numFmtId="178" fontId="58" fillId="0" borderId="0" applyBorder="0" applyProtection="0"/>
    <xf numFmtId="0" fontId="58" fillId="0" borderId="0"/>
    <xf numFmtId="0" fontId="58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8" fillId="0" borderId="0"/>
    <xf numFmtId="179" fontId="3" fillId="0" borderId="0"/>
    <xf numFmtId="0" fontId="58" fillId="0" borderId="0"/>
    <xf numFmtId="0" fontId="4" fillId="0" borderId="0"/>
    <xf numFmtId="0" fontId="5" fillId="0" borderId="0"/>
    <xf numFmtId="0" fontId="58" fillId="0" borderId="0"/>
    <xf numFmtId="0" fontId="58" fillId="0" borderId="0"/>
    <xf numFmtId="0" fontId="2" fillId="0" borderId="0"/>
    <xf numFmtId="9" fontId="58" fillId="0" borderId="0" applyBorder="0" applyProtection="0"/>
    <xf numFmtId="9" fontId="58" fillId="0" borderId="0" applyBorder="0" applyProtection="0"/>
    <xf numFmtId="170" fontId="58" fillId="0" borderId="0" applyBorder="0" applyProtection="0"/>
    <xf numFmtId="181" fontId="58" fillId="0" borderId="0" applyBorder="0" applyProtection="0"/>
    <xf numFmtId="189" fontId="58" fillId="0" borderId="0" applyBorder="0" applyProtection="0"/>
    <xf numFmtId="191" fontId="58" fillId="0" borderId="0" applyBorder="0" applyProtection="0"/>
  </cellStyleXfs>
  <cellXfs count="685">
    <xf numFmtId="0" fontId="0" fillId="0" borderId="0" xfId="0"/>
    <xf numFmtId="0" fontId="5" fillId="0" borderId="0" xfId="0" applyFont="1"/>
    <xf numFmtId="185" fontId="2" fillId="0" borderId="0" xfId="61" applyNumberFormat="1" applyFont="1" applyBorder="1" applyAlignment="1" applyProtection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7" fillId="2" borderId="1" xfId="1" applyFont="1" applyFill="1" applyBorder="1" applyAlignment="1" applyProtection="1">
      <alignment vertical="center"/>
    </xf>
    <xf numFmtId="181" fontId="6" fillId="2" borderId="1" xfId="62" applyFont="1" applyFill="1" applyBorder="1" applyAlignment="1" applyProtection="1">
      <alignment horizontal="center" vertical="center"/>
    </xf>
    <xf numFmtId="182" fontId="6" fillId="2" borderId="1" xfId="62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5" fontId="7" fillId="0" borderId="1" xfId="1" applyFont="1" applyBorder="1" applyAlignment="1" applyProtection="1">
      <alignment vertical="center"/>
    </xf>
    <xf numFmtId="183" fontId="7" fillId="0" borderId="1" xfId="2" applyNumberFormat="1" applyFont="1" applyBorder="1" applyAlignment="1" applyProtection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2" borderId="0" xfId="4" applyFill="1" applyBorder="1" applyProtection="1"/>
    <xf numFmtId="182" fontId="6" fillId="2" borderId="1" xfId="0" applyNumberFormat="1" applyFont="1" applyFill="1" applyBorder="1" applyAlignment="1">
      <alignment vertical="center" wrapText="1"/>
    </xf>
    <xf numFmtId="183" fontId="7" fillId="2" borderId="1" xfId="2" applyNumberFormat="1" applyFont="1" applyFill="1" applyBorder="1" applyAlignment="1" applyProtection="1">
      <alignment vertical="center"/>
    </xf>
    <xf numFmtId="183" fontId="11" fillId="2" borderId="1" xfId="2" applyNumberFormat="1" applyFont="1" applyFill="1" applyBorder="1" applyAlignment="1" applyProtection="1">
      <alignment vertical="center"/>
    </xf>
    <xf numFmtId="183" fontId="0" fillId="0" borderId="0" xfId="0" applyNumberFormat="1"/>
    <xf numFmtId="0" fontId="8" fillId="2" borderId="0" xfId="0" applyFont="1" applyFill="1" applyAlignment="1">
      <alignment horizontal="center" vertical="center"/>
    </xf>
    <xf numFmtId="184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84" fontId="8" fillId="0" borderId="0" xfId="0" applyNumberFormat="1" applyFont="1" applyAlignment="1">
      <alignment horizontal="center" vertical="center"/>
    </xf>
    <xf numFmtId="0" fontId="2" fillId="0" borderId="1" xfId="49" applyBorder="1" applyAlignment="1">
      <alignment horizontal="center"/>
    </xf>
    <xf numFmtId="0" fontId="2" fillId="0" borderId="1" xfId="49" applyBorder="1" applyAlignment="1">
      <alignment horizontal="justify" vertical="center"/>
    </xf>
    <xf numFmtId="181" fontId="12" fillId="3" borderId="0" xfId="0" applyNumberFormat="1" applyFont="1" applyFill="1" applyAlignment="1">
      <alignment vertical="center"/>
    </xf>
    <xf numFmtId="183" fontId="7" fillId="0" borderId="0" xfId="2" applyNumberFormat="1" applyFont="1" applyBorder="1" applyAlignment="1" applyProtection="1">
      <alignment vertical="center"/>
    </xf>
    <xf numFmtId="179" fontId="2" fillId="0" borderId="1" xfId="49" applyNumberFormat="1" applyBorder="1" applyAlignment="1">
      <alignment horizontal="justify" vertical="center"/>
    </xf>
    <xf numFmtId="179" fontId="2" fillId="0" borderId="1" xfId="0" applyNumberFormat="1" applyFont="1" applyBorder="1" applyAlignment="1">
      <alignment vertical="center" wrapText="1"/>
    </xf>
    <xf numFmtId="179" fontId="2" fillId="0" borderId="1" xfId="0" applyNumberFormat="1" applyFont="1" applyBorder="1" applyAlignment="1">
      <alignment horizontal="left" vertical="center" wrapText="1"/>
    </xf>
    <xf numFmtId="0" fontId="10" fillId="2" borderId="1" xfId="4" applyFill="1" applyBorder="1" applyProtection="1"/>
    <xf numFmtId="182" fontId="0" fillId="0" borderId="0" xfId="0" applyNumberFormat="1"/>
    <xf numFmtId="9" fontId="0" fillId="0" borderId="0" xfId="3" applyFont="1" applyBorder="1" applyProtection="1"/>
    <xf numFmtId="10" fontId="0" fillId="0" borderId="0" xfId="3" applyNumberFormat="1" applyFont="1" applyBorder="1" applyProtection="1"/>
    <xf numFmtId="183" fontId="9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184" fontId="0" fillId="0" borderId="0" xfId="0" applyNumberFormat="1"/>
    <xf numFmtId="186" fontId="0" fillId="0" borderId="0" xfId="0" applyNumberFormat="1"/>
    <xf numFmtId="185" fontId="6" fillId="0" borderId="0" xfId="61" applyNumberFormat="1" applyFont="1" applyBorder="1" applyAlignment="1" applyProtection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/>
    <xf numFmtId="0" fontId="13" fillId="0" borderId="4" xfId="0" applyFont="1" applyBorder="1"/>
    <xf numFmtId="10" fontId="2" fillId="0" borderId="1" xfId="0" applyNumberFormat="1" applyFont="1" applyBorder="1" applyAlignment="1">
      <alignment vertical="center"/>
    </xf>
    <xf numFmtId="10" fontId="2" fillId="0" borderId="0" xfId="0" applyNumberFormat="1" applyFont="1" applyAlignment="1">
      <alignment vertical="center"/>
    </xf>
    <xf numFmtId="187" fontId="0" fillId="0" borderId="0" xfId="62" applyNumberFormat="1" applyFont="1" applyBorder="1" applyProtection="1"/>
    <xf numFmtId="164" fontId="0" fillId="0" borderId="0" xfId="2" applyFont="1" applyBorder="1" applyProtection="1"/>
    <xf numFmtId="188" fontId="0" fillId="0" borderId="0" xfId="0" applyNumberFormat="1" applyAlignment="1">
      <alignment vertical="center"/>
    </xf>
    <xf numFmtId="0" fontId="14" fillId="0" borderId="0" xfId="55" applyFont="1"/>
    <xf numFmtId="0" fontId="15" fillId="4" borderId="6" xfId="55" applyFont="1" applyFill="1" applyBorder="1" applyAlignment="1">
      <alignment vertical="center" wrapText="1"/>
    </xf>
    <xf numFmtId="0" fontId="15" fillId="4" borderId="5" xfId="55" applyFont="1" applyFill="1" applyBorder="1" applyAlignment="1">
      <alignment vertical="center" wrapText="1"/>
    </xf>
    <xf numFmtId="0" fontId="17" fillId="5" borderId="8" xfId="55" applyFont="1" applyFill="1" applyBorder="1" applyAlignment="1">
      <alignment horizontal="center" vertical="center" wrapText="1"/>
    </xf>
    <xf numFmtId="0" fontId="14" fillId="0" borderId="0" xfId="55" applyFont="1" applyAlignment="1">
      <alignment horizontal="center"/>
    </xf>
    <xf numFmtId="0" fontId="14" fillId="7" borderId="10" xfId="55" applyFont="1" applyFill="1" applyBorder="1"/>
    <xf numFmtId="178" fontId="14" fillId="8" borderId="11" xfId="42" applyFont="1" applyFill="1" applyBorder="1" applyProtection="1"/>
    <xf numFmtId="0" fontId="14" fillId="0" borderId="12" xfId="55" applyFont="1" applyBorder="1"/>
    <xf numFmtId="178" fontId="14" fillId="0" borderId="0" xfId="55" applyNumberFormat="1" applyFont="1"/>
    <xf numFmtId="0" fontId="14" fillId="0" borderId="14" xfId="55" applyFont="1" applyBorder="1"/>
    <xf numFmtId="178" fontId="14" fillId="0" borderId="12" xfId="42" applyFont="1" applyBorder="1" applyProtection="1"/>
    <xf numFmtId="178" fontId="14" fillId="0" borderId="12" xfId="55" applyNumberFormat="1" applyFont="1" applyBorder="1"/>
    <xf numFmtId="0" fontId="14" fillId="0" borderId="5" xfId="55" applyFont="1" applyBorder="1"/>
    <xf numFmtId="178" fontId="14" fillId="0" borderId="15" xfId="42" applyFont="1" applyBorder="1" applyProtection="1"/>
    <xf numFmtId="178" fontId="14" fillId="0" borderId="5" xfId="42" applyFont="1" applyBorder="1" applyProtection="1"/>
    <xf numFmtId="0" fontId="17" fillId="0" borderId="7" xfId="55" applyFont="1" applyBorder="1" applyAlignment="1">
      <alignment horizontal="right"/>
    </xf>
    <xf numFmtId="178" fontId="5" fillId="0" borderId="16" xfId="55" applyNumberFormat="1" applyBorder="1" applyAlignment="1">
      <alignment horizontal="center"/>
    </xf>
    <xf numFmtId="178" fontId="13" fillId="8" borderId="6" xfId="55" applyNumberFormat="1" applyFont="1" applyFill="1" applyBorder="1" applyAlignment="1">
      <alignment horizontal="center"/>
    </xf>
    <xf numFmtId="182" fontId="13" fillId="8" borderId="6" xfId="55" applyNumberFormat="1" applyFont="1" applyFill="1" applyBorder="1" applyAlignment="1">
      <alignment horizontal="center"/>
    </xf>
    <xf numFmtId="0" fontId="14" fillId="0" borderId="17" xfId="55" applyFont="1" applyBorder="1"/>
    <xf numFmtId="0" fontId="14" fillId="0" borderId="0" xfId="55" applyFont="1" applyAlignment="1">
      <alignment vertical="center"/>
    </xf>
    <xf numFmtId="0" fontId="14" fillId="0" borderId="18" xfId="55" applyFont="1" applyBorder="1" applyAlignment="1">
      <alignment vertical="center" wrapText="1"/>
    </xf>
    <xf numFmtId="0" fontId="19" fillId="0" borderId="18" xfId="55" applyFont="1" applyBorder="1" applyAlignment="1">
      <alignment vertical="center" wrapText="1"/>
    </xf>
    <xf numFmtId="0" fontId="5" fillId="0" borderId="0" xfId="55"/>
    <xf numFmtId="165" fontId="20" fillId="0" borderId="0" xfId="1" applyFont="1" applyBorder="1" applyAlignment="1" applyProtection="1">
      <alignment vertical="center"/>
    </xf>
    <xf numFmtId="0" fontId="20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190" fontId="20" fillId="0" borderId="0" xfId="63" applyNumberFormat="1" applyFont="1" applyBorder="1" applyAlignment="1" applyProtection="1">
      <alignment vertical="center"/>
    </xf>
    <xf numFmtId="0" fontId="20" fillId="0" borderId="0" xfId="0" applyFont="1"/>
    <xf numFmtId="165" fontId="24" fillId="0" borderId="5" xfId="1" applyFont="1" applyBorder="1" applyAlignment="1" applyProtection="1">
      <alignment horizontal="center" vertical="center" wrapText="1"/>
    </xf>
    <xf numFmtId="165" fontId="15" fillId="9" borderId="20" xfId="1" applyFont="1" applyFill="1" applyBorder="1" applyAlignment="1" applyProtection="1">
      <alignment horizontal="center" vertical="center"/>
    </xf>
    <xf numFmtId="193" fontId="20" fillId="0" borderId="20" xfId="1" applyNumberFormat="1" applyFont="1" applyBorder="1" applyAlignment="1" applyProtection="1">
      <alignment horizontal="center" vertical="center" wrapText="1"/>
    </xf>
    <xf numFmtId="194" fontId="20" fillId="0" borderId="1" xfId="39" applyNumberFormat="1" applyFont="1" applyBorder="1" applyAlignment="1" applyProtection="1">
      <alignment horizontal="center" vertical="center"/>
    </xf>
    <xf numFmtId="10" fontId="20" fillId="0" borderId="1" xfId="0" applyNumberFormat="1" applyFont="1" applyBorder="1" applyAlignment="1">
      <alignment horizontal="center" vertical="center"/>
    </xf>
    <xf numFmtId="195" fontId="20" fillId="0" borderId="21" xfId="0" applyNumberFormat="1" applyFont="1" applyBorder="1" applyAlignment="1">
      <alignment horizontal="center" vertical="center"/>
    </xf>
    <xf numFmtId="10" fontId="20" fillId="0" borderId="21" xfId="0" applyNumberFormat="1" applyFont="1" applyBorder="1" applyAlignment="1">
      <alignment horizontal="center" vertical="center"/>
    </xf>
    <xf numFmtId="196" fontId="20" fillId="0" borderId="1" xfId="0" applyNumberFormat="1" applyFont="1" applyBorder="1" applyAlignment="1">
      <alignment horizontal="center" vertical="center" wrapText="1"/>
    </xf>
    <xf numFmtId="165" fontId="20" fillId="0" borderId="20" xfId="1" applyFont="1" applyBorder="1" applyAlignment="1" applyProtection="1">
      <alignment horizontal="center" vertical="center"/>
    </xf>
    <xf numFmtId="194" fontId="20" fillId="0" borderId="1" xfId="39" applyNumberFormat="1" applyFont="1" applyBorder="1" applyAlignment="1" applyProtection="1">
      <alignment vertical="center"/>
    </xf>
    <xf numFmtId="165" fontId="20" fillId="0" borderId="20" xfId="1" applyFont="1" applyBorder="1" applyAlignment="1" applyProtection="1">
      <alignment horizontal="center" vertical="center" wrapText="1"/>
    </xf>
    <xf numFmtId="165" fontId="15" fillId="0" borderId="20" xfId="1" applyFont="1" applyBorder="1" applyAlignment="1" applyProtection="1">
      <alignment horizontal="center" vertical="center"/>
    </xf>
    <xf numFmtId="192" fontId="15" fillId="9" borderId="21" xfId="64" applyNumberFormat="1" applyFont="1" applyFill="1" applyBorder="1" applyAlignment="1" applyProtection="1">
      <alignment horizontal="left" vertical="center"/>
    </xf>
    <xf numFmtId="190" fontId="15" fillId="9" borderId="1" xfId="63" applyNumberFormat="1" applyFont="1" applyFill="1" applyBorder="1" applyAlignment="1" applyProtection="1">
      <alignment horizontal="left" vertical="center"/>
    </xf>
    <xf numFmtId="165" fontId="20" fillId="10" borderId="20" xfId="1" applyFont="1" applyFill="1" applyBorder="1" applyAlignment="1" applyProtection="1">
      <alignment horizontal="center" vertical="center"/>
    </xf>
    <xf numFmtId="190" fontId="20" fillId="10" borderId="1" xfId="63" applyNumberFormat="1" applyFont="1" applyFill="1" applyBorder="1" applyAlignment="1" applyProtection="1">
      <alignment horizontal="center" vertical="center"/>
    </xf>
    <xf numFmtId="0" fontId="26" fillId="0" borderId="22" xfId="54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10" fontId="20" fillId="0" borderId="1" xfId="3" applyNumberFormat="1" applyFont="1" applyBorder="1" applyProtection="1"/>
    <xf numFmtId="183" fontId="20" fillId="0" borderId="23" xfId="2" applyNumberFormat="1" applyFont="1" applyBorder="1" applyProtection="1"/>
    <xf numFmtId="192" fontId="20" fillId="0" borderId="23" xfId="64" applyNumberFormat="1" applyFont="1" applyBorder="1" applyAlignment="1" applyProtection="1">
      <alignment horizontal="left" vertical="center"/>
    </xf>
    <xf numFmtId="0" fontId="26" fillId="0" borderId="20" xfId="54" applyFont="1" applyBorder="1" applyAlignment="1">
      <alignment horizontal="left" vertical="center"/>
    </xf>
    <xf numFmtId="0" fontId="26" fillId="0" borderId="24" xfId="54" applyFont="1" applyBorder="1" applyAlignment="1">
      <alignment horizontal="left" vertical="center"/>
    </xf>
    <xf numFmtId="0" fontId="20" fillId="0" borderId="1" xfId="0" applyFont="1" applyBorder="1" applyAlignment="1">
      <alignment vertical="center" wrapText="1"/>
    </xf>
    <xf numFmtId="165" fontId="20" fillId="0" borderId="17" xfId="1" applyFont="1" applyBorder="1" applyAlignment="1" applyProtection="1">
      <alignment vertical="center"/>
    </xf>
    <xf numFmtId="9" fontId="15" fillId="0" borderId="23" xfId="3" applyFont="1" applyBorder="1" applyAlignment="1" applyProtection="1">
      <alignment horizontal="center" vertical="center"/>
    </xf>
    <xf numFmtId="0" fontId="8" fillId="0" borderId="0" xfId="0" applyFont="1" applyAlignment="1">
      <alignment vertical="center"/>
    </xf>
    <xf numFmtId="0" fontId="31" fillId="0" borderId="0" xfId="57" applyFont="1" applyAlignment="1">
      <alignment horizontal="center" vertical="center"/>
    </xf>
    <xf numFmtId="0" fontId="32" fillId="0" borderId="29" xfId="57" applyFont="1" applyBorder="1" applyAlignment="1">
      <alignment horizontal="center" vertical="center"/>
    </xf>
    <xf numFmtId="178" fontId="32" fillId="0" borderId="30" xfId="8" applyNumberFormat="1" applyFont="1" applyBorder="1" applyAlignment="1" applyProtection="1">
      <alignment horizontal="center" vertical="center"/>
      <protection hidden="1"/>
    </xf>
    <xf numFmtId="178" fontId="32" fillId="0" borderId="31" xfId="8" applyNumberFormat="1" applyFont="1" applyBorder="1" applyAlignment="1" applyProtection="1">
      <alignment horizontal="center" vertical="center"/>
      <protection hidden="1"/>
    </xf>
    <xf numFmtId="0" fontId="12" fillId="0" borderId="0" xfId="0" applyFont="1" applyAlignment="1">
      <alignment vertical="center"/>
    </xf>
    <xf numFmtId="181" fontId="12" fillId="0" borderId="0" xfId="0" applyNumberFormat="1" applyFont="1" applyAlignment="1">
      <alignment vertical="center"/>
    </xf>
    <xf numFmtId="0" fontId="32" fillId="12" borderId="32" xfId="57" applyFont="1" applyFill="1" applyBorder="1" applyAlignment="1">
      <alignment horizontal="center" vertical="center"/>
    </xf>
    <xf numFmtId="178" fontId="32" fillId="12" borderId="33" xfId="8" applyNumberFormat="1" applyFont="1" applyFill="1" applyBorder="1" applyAlignment="1" applyProtection="1">
      <alignment horizontal="center" vertical="center"/>
      <protection hidden="1"/>
    </xf>
    <xf numFmtId="0" fontId="33" fillId="0" borderId="35" xfId="57" applyFont="1" applyBorder="1" applyAlignment="1">
      <alignment horizontal="left" vertical="center"/>
    </xf>
    <xf numFmtId="0" fontId="33" fillId="0" borderId="0" xfId="57" applyFont="1" applyAlignment="1">
      <alignment horizontal="left" vertical="center"/>
    </xf>
    <xf numFmtId="0" fontId="33" fillId="0" borderId="0" xfId="57" applyFont="1" applyAlignment="1">
      <alignment horizontal="center" vertical="center"/>
    </xf>
    <xf numFmtId="0" fontId="33" fillId="0" borderId="0" xfId="57" applyFont="1" applyAlignment="1">
      <alignment vertical="center"/>
    </xf>
    <xf numFmtId="166" fontId="33" fillId="0" borderId="0" xfId="8" applyFont="1" applyBorder="1" applyAlignment="1" applyProtection="1">
      <alignment horizontal="right" vertical="center"/>
      <protection hidden="1"/>
    </xf>
    <xf numFmtId="178" fontId="33" fillId="0" borderId="36" xfId="8" applyNumberFormat="1" applyFont="1" applyBorder="1" applyAlignment="1" applyProtection="1">
      <alignment horizontal="right" vertical="center"/>
      <protection hidden="1"/>
    </xf>
    <xf numFmtId="0" fontId="32" fillId="0" borderId="35" xfId="57" applyFont="1" applyBorder="1" applyAlignment="1">
      <alignment horizontal="left" vertical="center"/>
    </xf>
    <xf numFmtId="0" fontId="32" fillId="0" borderId="0" xfId="57" applyFont="1" applyAlignment="1">
      <alignment horizontal="left" vertical="center"/>
    </xf>
    <xf numFmtId="0" fontId="32" fillId="0" borderId="37" xfId="57" applyFont="1" applyBorder="1" applyAlignment="1">
      <alignment horizontal="center" vertical="center"/>
    </xf>
    <xf numFmtId="0" fontId="32" fillId="0" borderId="24" xfId="57" applyFont="1" applyBorder="1" applyAlignment="1">
      <alignment horizontal="center" vertical="center"/>
    </xf>
    <xf numFmtId="0" fontId="32" fillId="0" borderId="1" xfId="57" applyFont="1" applyBorder="1" applyAlignment="1">
      <alignment horizontal="center" vertical="center"/>
    </xf>
    <xf numFmtId="166" fontId="32" fillId="0" borderId="1" xfId="8" applyFont="1" applyBorder="1" applyAlignment="1" applyProtection="1">
      <alignment horizontal="center" vertical="center"/>
      <protection hidden="1"/>
    </xf>
    <xf numFmtId="178" fontId="32" fillId="0" borderId="38" xfId="8" applyNumberFormat="1" applyFont="1" applyBorder="1" applyAlignment="1" applyProtection="1">
      <alignment horizontal="center" vertical="center"/>
      <protection hidden="1"/>
    </xf>
    <xf numFmtId="0" fontId="33" fillId="0" borderId="1" xfId="57" applyFont="1" applyBorder="1" applyAlignment="1">
      <alignment horizontal="center" vertical="center"/>
    </xf>
    <xf numFmtId="171" fontId="33" fillId="0" borderId="1" xfId="57" applyNumberFormat="1" applyFont="1" applyBorder="1" applyAlignment="1">
      <alignment vertical="center"/>
    </xf>
    <xf numFmtId="166" fontId="33" fillId="0" borderId="1" xfId="8" applyFont="1" applyBorder="1" applyAlignment="1" applyProtection="1">
      <alignment vertical="center"/>
    </xf>
    <xf numFmtId="178" fontId="33" fillId="0" borderId="1" xfId="8" applyNumberFormat="1" applyFont="1" applyBorder="1" applyAlignment="1" applyProtection="1">
      <alignment horizontal="right" vertical="center"/>
      <protection hidden="1"/>
    </xf>
    <xf numFmtId="178" fontId="33" fillId="0" borderId="38" xfId="8" applyNumberFormat="1" applyFont="1" applyBorder="1" applyAlignment="1" applyProtection="1">
      <alignment horizontal="right" vertical="center"/>
      <protection hidden="1"/>
    </xf>
    <xf numFmtId="198" fontId="33" fillId="0" borderId="1" xfId="8" applyNumberFormat="1" applyFont="1" applyBorder="1" applyAlignment="1" applyProtection="1">
      <alignment horizontal="right" vertical="center"/>
      <protection hidden="1"/>
    </xf>
    <xf numFmtId="171" fontId="33" fillId="0" borderId="0" xfId="57" applyNumberFormat="1" applyFont="1" applyAlignment="1">
      <alignment vertical="center"/>
    </xf>
    <xf numFmtId="166" fontId="33" fillId="0" borderId="0" xfId="8" applyFont="1" applyBorder="1" applyAlignment="1" applyProtection="1">
      <alignment vertical="center"/>
    </xf>
    <xf numFmtId="198" fontId="32" fillId="0" borderId="0" xfId="8" applyNumberFormat="1" applyFont="1" applyBorder="1" applyAlignment="1" applyProtection="1">
      <alignment horizontal="right" vertical="center"/>
      <protection hidden="1"/>
    </xf>
    <xf numFmtId="178" fontId="32" fillId="0" borderId="38" xfId="8" applyNumberFormat="1" applyFont="1" applyBorder="1" applyAlignment="1" applyProtection="1">
      <alignment horizontal="right" vertical="center"/>
      <protection hidden="1"/>
    </xf>
    <xf numFmtId="198" fontId="33" fillId="0" borderId="0" xfId="8" applyNumberFormat="1" applyFont="1" applyBorder="1" applyAlignment="1" applyProtection="1">
      <alignment horizontal="right" vertical="center"/>
      <protection hidden="1"/>
    </xf>
    <xf numFmtId="0" fontId="32" fillId="0" borderId="39" xfId="57" applyFont="1" applyBorder="1" applyAlignment="1">
      <alignment horizontal="left" vertical="center"/>
    </xf>
    <xf numFmtId="0" fontId="32" fillId="0" borderId="1" xfId="57" applyFont="1" applyBorder="1" applyAlignment="1">
      <alignment vertical="center"/>
    </xf>
    <xf numFmtId="0" fontId="33" fillId="0" borderId="37" xfId="57" applyFont="1" applyBorder="1" applyAlignment="1">
      <alignment vertical="center" wrapText="1"/>
    </xf>
    <xf numFmtId="198" fontId="33" fillId="0" borderId="1" xfId="8" applyNumberFormat="1" applyFont="1" applyBorder="1" applyAlignment="1" applyProtection="1">
      <alignment vertical="center"/>
    </xf>
    <xf numFmtId="178" fontId="33" fillId="10" borderId="1" xfId="13" applyNumberFormat="1" applyFont="1" applyFill="1" applyBorder="1" applyAlignment="1" applyProtection="1">
      <alignment horizontal="center" vertical="center"/>
    </xf>
    <xf numFmtId="2" fontId="33" fillId="10" borderId="1" xfId="43" applyNumberFormat="1" applyFont="1" applyFill="1" applyBorder="1" applyAlignment="1">
      <alignment vertical="center"/>
    </xf>
    <xf numFmtId="178" fontId="33" fillId="0" borderId="1" xfId="8" applyNumberFormat="1" applyFont="1" applyBorder="1" applyAlignment="1" applyProtection="1">
      <alignment vertical="center"/>
    </xf>
    <xf numFmtId="0" fontId="33" fillId="0" borderId="1" xfId="8" applyNumberFormat="1" applyFont="1" applyBorder="1" applyAlignment="1" applyProtection="1">
      <alignment horizontal="right" vertical="center"/>
      <protection hidden="1"/>
    </xf>
    <xf numFmtId="0" fontId="33" fillId="0" borderId="37" xfId="57" applyFont="1" applyBorder="1" applyAlignment="1">
      <alignment vertical="center"/>
    </xf>
    <xf numFmtId="0" fontId="33" fillId="0" borderId="1" xfId="57" applyFont="1" applyBorder="1" applyAlignment="1">
      <alignment vertical="center"/>
    </xf>
    <xf numFmtId="198" fontId="33" fillId="0" borderId="1" xfId="8" applyNumberFormat="1" applyFont="1" applyBorder="1" applyAlignment="1" applyProtection="1">
      <alignment horizontal="center" vertical="center"/>
    </xf>
    <xf numFmtId="2" fontId="33" fillId="0" borderId="1" xfId="57" applyNumberFormat="1" applyFont="1" applyBorder="1" applyAlignment="1">
      <alignment vertical="center"/>
    </xf>
    <xf numFmtId="0" fontId="32" fillId="0" borderId="37" xfId="57" applyFont="1" applyBorder="1" applyAlignment="1">
      <alignment horizontal="left" vertical="center"/>
    </xf>
    <xf numFmtId="0" fontId="32" fillId="0" borderId="40" xfId="57" applyFont="1" applyBorder="1" applyAlignment="1">
      <alignment horizontal="left" vertical="center"/>
    </xf>
    <xf numFmtId="171" fontId="32" fillId="0" borderId="1" xfId="57" applyNumberFormat="1" applyFont="1" applyBorder="1" applyAlignment="1">
      <alignment vertical="center"/>
    </xf>
    <xf numFmtId="166" fontId="32" fillId="0" borderId="1" xfId="8" applyFont="1" applyBorder="1" applyAlignment="1" applyProtection="1">
      <alignment vertical="center"/>
    </xf>
    <xf numFmtId="0" fontId="33" fillId="10" borderId="37" xfId="43" applyFont="1" applyFill="1" applyBorder="1" applyAlignment="1">
      <alignment horizontal="left" vertical="center"/>
    </xf>
    <xf numFmtId="0" fontId="33" fillId="0" borderId="40" xfId="57" applyFont="1" applyBorder="1" applyAlignment="1">
      <alignment horizontal="left" vertical="center"/>
    </xf>
    <xf numFmtId="0" fontId="34" fillId="0" borderId="24" xfId="57" applyFont="1" applyBorder="1" applyAlignment="1">
      <alignment vertical="center"/>
    </xf>
    <xf numFmtId="199" fontId="33" fillId="0" borderId="1" xfId="8" applyNumberFormat="1" applyFont="1" applyBorder="1" applyAlignment="1" applyProtection="1">
      <alignment horizontal="right" vertical="center"/>
      <protection hidden="1"/>
    </xf>
    <xf numFmtId="0" fontId="33" fillId="0" borderId="37" xfId="57" applyFont="1" applyBorder="1" applyAlignment="1">
      <alignment horizontal="left" vertical="center"/>
    </xf>
    <xf numFmtId="166" fontId="32" fillId="0" borderId="0" xfId="8" applyFont="1" applyBorder="1" applyAlignment="1" applyProtection="1">
      <alignment horizontal="right" vertical="center"/>
      <protection hidden="1"/>
    </xf>
    <xf numFmtId="166" fontId="33" fillId="0" borderId="1" xfId="8" applyFont="1" applyBorder="1" applyAlignment="1" applyProtection="1">
      <alignment horizontal="right" vertical="center"/>
      <protection hidden="1"/>
    </xf>
    <xf numFmtId="0" fontId="33" fillId="0" borderId="35" xfId="44" applyFont="1" applyBorder="1" applyAlignment="1">
      <alignment horizontal="left" vertical="center"/>
    </xf>
    <xf numFmtId="0" fontId="33" fillId="0" borderId="0" xfId="44" applyFont="1" applyAlignment="1">
      <alignment horizontal="left" vertical="center"/>
    </xf>
    <xf numFmtId="0" fontId="33" fillId="0" borderId="0" xfId="44" applyFont="1" applyAlignment="1">
      <alignment horizontal="center" vertical="center"/>
    </xf>
    <xf numFmtId="0" fontId="33" fillId="0" borderId="0" xfId="44" applyFont="1" applyAlignment="1">
      <alignment vertical="center"/>
    </xf>
    <xf numFmtId="166" fontId="32" fillId="0" borderId="0" xfId="14" applyFont="1" applyBorder="1" applyAlignment="1" applyProtection="1">
      <alignment horizontal="right" vertical="center"/>
      <protection hidden="1"/>
    </xf>
    <xf numFmtId="200" fontId="32" fillId="0" borderId="38" xfId="14" applyNumberFormat="1" applyFont="1" applyBorder="1" applyAlignment="1" applyProtection="1">
      <alignment horizontal="right" vertical="center"/>
      <protection hidden="1"/>
    </xf>
    <xf numFmtId="4" fontId="33" fillId="0" borderId="41" xfId="57" applyNumberFormat="1" applyFont="1" applyBorder="1" applyAlignment="1">
      <alignment horizontal="left" vertical="center"/>
    </xf>
    <xf numFmtId="4" fontId="33" fillId="0" borderId="42" xfId="57" applyNumberFormat="1" applyFont="1" applyBorder="1" applyAlignment="1">
      <alignment horizontal="left" vertical="center"/>
    </xf>
    <xf numFmtId="0" fontId="33" fillId="0" borderId="43" xfId="57" applyFont="1" applyBorder="1" applyAlignment="1">
      <alignment horizontal="center" vertical="center"/>
    </xf>
    <xf numFmtId="0" fontId="33" fillId="0" borderId="44" xfId="57" applyFont="1" applyBorder="1" applyAlignment="1">
      <alignment vertical="center"/>
    </xf>
    <xf numFmtId="0" fontId="32" fillId="0" borderId="44" xfId="57" applyFont="1" applyBorder="1" applyAlignment="1">
      <alignment horizontal="right" vertical="center"/>
    </xf>
    <xf numFmtId="200" fontId="33" fillId="0" borderId="44" xfId="57" applyNumberFormat="1" applyFont="1" applyBorder="1" applyAlignment="1" applyProtection="1">
      <alignment horizontal="right" vertical="center"/>
      <protection hidden="1"/>
    </xf>
    <xf numFmtId="178" fontId="32" fillId="0" borderId="45" xfId="8" applyNumberFormat="1" applyFont="1" applyBorder="1" applyAlignment="1" applyProtection="1">
      <alignment horizontal="right" vertical="center"/>
      <protection hidden="1"/>
    </xf>
    <xf numFmtId="0" fontId="32" fillId="0" borderId="1" xfId="57" applyFont="1" applyBorder="1" applyAlignment="1">
      <alignment horizontal="left" vertical="center"/>
    </xf>
    <xf numFmtId="178" fontId="33" fillId="0" borderId="1" xfId="41" applyFont="1" applyBorder="1" applyAlignment="1" applyProtection="1">
      <alignment vertical="center"/>
    </xf>
    <xf numFmtId="4" fontId="33" fillId="0" borderId="0" xfId="0" applyNumberFormat="1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201" fontId="33" fillId="0" borderId="0" xfId="0" applyNumberFormat="1" applyFont="1" applyAlignment="1" applyProtection="1">
      <alignment horizontal="right" vertical="center"/>
      <protection hidden="1"/>
    </xf>
    <xf numFmtId="178" fontId="32" fillId="0" borderId="0" xfId="1" applyNumberFormat="1" applyFont="1" applyBorder="1" applyAlignment="1" applyProtection="1">
      <alignment horizontal="right" vertical="center"/>
      <protection hidden="1"/>
    </xf>
    <xf numFmtId="0" fontId="32" fillId="0" borderId="29" xfId="0" applyFont="1" applyBorder="1" applyAlignment="1">
      <alignment horizontal="center" vertical="center" wrapText="1"/>
    </xf>
    <xf numFmtId="178" fontId="32" fillId="0" borderId="30" xfId="1" applyNumberFormat="1" applyFont="1" applyBorder="1" applyAlignment="1" applyProtection="1">
      <alignment horizontal="center" vertical="center"/>
      <protection hidden="1"/>
    </xf>
    <xf numFmtId="178" fontId="32" fillId="0" borderId="31" xfId="1" applyNumberFormat="1" applyFont="1" applyBorder="1" applyAlignment="1" applyProtection="1">
      <alignment horizontal="center" vertical="center"/>
      <protection hidden="1"/>
    </xf>
    <xf numFmtId="0" fontId="32" fillId="12" borderId="32" xfId="44" applyFont="1" applyFill="1" applyBorder="1" applyAlignment="1">
      <alignment horizontal="center" vertical="center" wrapText="1"/>
    </xf>
    <xf numFmtId="178" fontId="32" fillId="12" borderId="33" xfId="14" applyNumberFormat="1" applyFont="1" applyFill="1" applyBorder="1" applyAlignment="1" applyProtection="1">
      <alignment horizontal="center" vertical="center"/>
      <protection hidden="1"/>
    </xf>
    <xf numFmtId="166" fontId="33" fillId="0" borderId="0" xfId="14" applyFont="1" applyBorder="1" applyAlignment="1" applyProtection="1">
      <alignment horizontal="right" vertical="center"/>
      <protection hidden="1"/>
    </xf>
    <xf numFmtId="200" fontId="33" fillId="0" borderId="36" xfId="14" applyNumberFormat="1" applyFont="1" applyBorder="1" applyAlignment="1" applyProtection="1">
      <alignment horizontal="right" vertical="center"/>
      <protection hidden="1"/>
    </xf>
    <xf numFmtId="0" fontId="32" fillId="0" borderId="35" xfId="44" applyFont="1" applyBorder="1" applyAlignment="1">
      <alignment horizontal="left" vertical="center"/>
    </xf>
    <xf numFmtId="0" fontId="32" fillId="0" borderId="0" xfId="44" applyFont="1" applyAlignment="1">
      <alignment horizontal="left" vertical="center"/>
    </xf>
    <xf numFmtId="0" fontId="32" fillId="0" borderId="37" xfId="44" applyFont="1" applyBorder="1" applyAlignment="1">
      <alignment horizontal="center" vertical="center"/>
    </xf>
    <xf numFmtId="0" fontId="32" fillId="0" borderId="24" xfId="44" applyFont="1" applyBorder="1" applyAlignment="1">
      <alignment horizontal="center" vertical="center"/>
    </xf>
    <xf numFmtId="0" fontId="32" fillId="0" borderId="1" xfId="44" applyFont="1" applyBorder="1" applyAlignment="1">
      <alignment horizontal="center" vertical="center"/>
    </xf>
    <xf numFmtId="166" fontId="32" fillId="0" borderId="1" xfId="14" applyFont="1" applyBorder="1" applyAlignment="1" applyProtection="1">
      <alignment horizontal="center" vertical="center"/>
      <protection hidden="1"/>
    </xf>
    <xf numFmtId="200" fontId="32" fillId="0" borderId="38" xfId="14" applyNumberFormat="1" applyFont="1" applyBorder="1" applyAlignment="1" applyProtection="1">
      <alignment horizontal="center" vertical="center"/>
      <protection hidden="1"/>
    </xf>
    <xf numFmtId="0" fontId="33" fillId="0" borderId="1" xfId="44" applyFont="1" applyBorder="1" applyAlignment="1">
      <alignment horizontal="center" vertical="center"/>
    </xf>
    <xf numFmtId="171" fontId="33" fillId="0" borderId="1" xfId="44" applyNumberFormat="1" applyFont="1" applyBorder="1" applyAlignment="1">
      <alignment vertical="center"/>
    </xf>
    <xf numFmtId="166" fontId="33" fillId="0" borderId="1" xfId="14" applyFont="1" applyBorder="1" applyAlignment="1" applyProtection="1">
      <alignment vertical="center"/>
    </xf>
    <xf numFmtId="178" fontId="33" fillId="0" borderId="1" xfId="14" applyNumberFormat="1" applyFont="1" applyBorder="1" applyAlignment="1" applyProtection="1">
      <alignment horizontal="right" vertical="center"/>
      <protection hidden="1"/>
    </xf>
    <xf numFmtId="178" fontId="33" fillId="0" borderId="38" xfId="14" applyNumberFormat="1" applyFont="1" applyBorder="1" applyAlignment="1" applyProtection="1">
      <alignment horizontal="right" vertical="center"/>
      <protection hidden="1"/>
    </xf>
    <xf numFmtId="171" fontId="33" fillId="0" borderId="0" xfId="44" applyNumberFormat="1" applyFont="1" applyAlignment="1">
      <alignment vertical="center"/>
    </xf>
    <xf numFmtId="166" fontId="33" fillId="0" borderId="0" xfId="14" applyFont="1" applyBorder="1" applyAlignment="1" applyProtection="1">
      <alignment vertical="center"/>
    </xf>
    <xf numFmtId="198" fontId="32" fillId="0" borderId="0" xfId="14" applyNumberFormat="1" applyFont="1" applyBorder="1" applyAlignment="1" applyProtection="1">
      <alignment horizontal="right" vertical="center"/>
      <protection hidden="1"/>
    </xf>
    <xf numFmtId="178" fontId="32" fillId="0" borderId="38" xfId="14" applyNumberFormat="1" applyFont="1" applyBorder="1" applyAlignment="1" applyProtection="1">
      <alignment horizontal="right" vertical="center"/>
      <protection hidden="1"/>
    </xf>
    <xf numFmtId="198" fontId="33" fillId="0" borderId="0" xfId="14" applyNumberFormat="1" applyFont="1" applyBorder="1" applyAlignment="1" applyProtection="1">
      <alignment horizontal="right" vertical="center"/>
      <protection hidden="1"/>
    </xf>
    <xf numFmtId="0" fontId="32" fillId="0" borderId="39" xfId="44" applyFont="1" applyBorder="1" applyAlignment="1">
      <alignment horizontal="left" vertical="center"/>
    </xf>
    <xf numFmtId="171" fontId="32" fillId="0" borderId="1" xfId="44" applyNumberFormat="1" applyFont="1" applyBorder="1" applyAlignment="1">
      <alignment vertical="center"/>
    </xf>
    <xf numFmtId="166" fontId="32" fillId="0" borderId="1" xfId="14" applyFont="1" applyBorder="1" applyAlignment="1" applyProtection="1">
      <alignment vertical="center"/>
    </xf>
    <xf numFmtId="198" fontId="32" fillId="0" borderId="1" xfId="14" applyNumberFormat="1" applyFont="1" applyBorder="1" applyAlignment="1" applyProtection="1">
      <alignment horizontal="center" vertical="center"/>
      <protection hidden="1"/>
    </xf>
    <xf numFmtId="0" fontId="33" fillId="0" borderId="37" xfId="44" applyFont="1" applyBorder="1" applyAlignment="1">
      <alignment vertical="center"/>
    </xf>
    <xf numFmtId="198" fontId="33" fillId="0" borderId="1" xfId="14" applyNumberFormat="1" applyFont="1" applyBorder="1" applyAlignment="1" applyProtection="1">
      <alignment vertical="center"/>
    </xf>
    <xf numFmtId="178" fontId="33" fillId="0" borderId="1" xfId="14" applyNumberFormat="1" applyFont="1" applyBorder="1" applyAlignment="1" applyProtection="1">
      <alignment vertical="center"/>
    </xf>
    <xf numFmtId="0" fontId="33" fillId="0" borderId="1" xfId="44" applyFont="1" applyBorder="1" applyAlignment="1">
      <alignment vertical="center"/>
    </xf>
    <xf numFmtId="178" fontId="33" fillId="0" borderId="1" xfId="14" applyNumberFormat="1" applyFont="1" applyBorder="1" applyAlignment="1" applyProtection="1">
      <alignment horizontal="center" vertical="center"/>
    </xf>
    <xf numFmtId="2" fontId="33" fillId="0" borderId="1" xfId="44" applyNumberFormat="1" applyFont="1" applyBorder="1" applyAlignment="1">
      <alignment vertical="center"/>
    </xf>
    <xf numFmtId="0" fontId="33" fillId="0" borderId="1" xfId="14" applyNumberFormat="1" applyFont="1" applyBorder="1" applyAlignment="1" applyProtection="1">
      <alignment horizontal="right" vertical="center"/>
      <protection hidden="1"/>
    </xf>
    <xf numFmtId="0" fontId="32" fillId="0" borderId="37" xfId="44" applyFont="1" applyBorder="1" applyAlignment="1">
      <alignment horizontal="left" vertical="center"/>
    </xf>
    <xf numFmtId="0" fontId="32" fillId="0" borderId="40" xfId="44" applyFont="1" applyBorder="1" applyAlignment="1">
      <alignment horizontal="left" vertical="center"/>
    </xf>
    <xf numFmtId="0" fontId="33" fillId="0" borderId="40" xfId="44" applyFont="1" applyBorder="1" applyAlignment="1">
      <alignment horizontal="left" vertical="center"/>
    </xf>
    <xf numFmtId="0" fontId="34" fillId="0" borderId="24" xfId="44" applyFont="1" applyBorder="1" applyAlignment="1">
      <alignment vertical="center"/>
    </xf>
    <xf numFmtId="199" fontId="33" fillId="0" borderId="1" xfId="14" applyNumberFormat="1" applyFont="1" applyBorder="1" applyAlignment="1" applyProtection="1">
      <alignment horizontal="right" vertical="center"/>
      <protection hidden="1"/>
    </xf>
    <xf numFmtId="0" fontId="33" fillId="0" borderId="37" xfId="44" applyFont="1" applyBorder="1" applyAlignment="1">
      <alignment horizontal="left" vertical="center"/>
    </xf>
    <xf numFmtId="4" fontId="33" fillId="0" borderId="41" xfId="44" applyNumberFormat="1" applyFont="1" applyBorder="1" applyAlignment="1">
      <alignment horizontal="left" vertical="center"/>
    </xf>
    <xf numFmtId="4" fontId="33" fillId="0" borderId="42" xfId="44" applyNumberFormat="1" applyFont="1" applyBorder="1" applyAlignment="1">
      <alignment horizontal="left" vertical="center"/>
    </xf>
    <xf numFmtId="0" fontId="33" fillId="0" borderId="43" xfId="44" applyFont="1" applyBorder="1" applyAlignment="1">
      <alignment horizontal="center" vertical="center"/>
    </xf>
    <xf numFmtId="0" fontId="33" fillId="0" borderId="44" xfId="44" applyFont="1" applyBorder="1" applyAlignment="1">
      <alignment vertical="center"/>
    </xf>
    <xf numFmtId="0" fontId="32" fillId="0" borderId="44" xfId="44" applyFont="1" applyBorder="1" applyAlignment="1">
      <alignment horizontal="right" vertical="center"/>
    </xf>
    <xf numFmtId="201" fontId="33" fillId="0" borderId="44" xfId="44" applyNumberFormat="1" applyFont="1" applyBorder="1" applyAlignment="1" applyProtection="1">
      <alignment horizontal="right" vertical="center"/>
      <protection hidden="1"/>
    </xf>
    <xf numFmtId="178" fontId="32" fillId="0" borderId="45" xfId="14" applyNumberFormat="1" applyFont="1" applyBorder="1" applyAlignment="1" applyProtection="1">
      <alignment horizontal="right" vertical="center"/>
      <protection hidden="1"/>
    </xf>
    <xf numFmtId="0" fontId="32" fillId="0" borderId="29" xfId="44" applyFont="1" applyBorder="1" applyAlignment="1">
      <alignment horizontal="center" vertical="center" wrapText="1"/>
    </xf>
    <xf numFmtId="178" fontId="32" fillId="0" borderId="30" xfId="14" applyNumberFormat="1" applyFont="1" applyBorder="1" applyAlignment="1" applyProtection="1">
      <alignment horizontal="center" vertical="center"/>
      <protection hidden="1"/>
    </xf>
    <xf numFmtId="178" fontId="32" fillId="0" borderId="31" xfId="14" applyNumberFormat="1" applyFont="1" applyBorder="1" applyAlignment="1" applyProtection="1">
      <alignment horizontal="center" vertical="center"/>
      <protection hidden="1"/>
    </xf>
    <xf numFmtId="202" fontId="33" fillId="0" borderId="1" xfId="57" applyNumberFormat="1" applyFont="1" applyBorder="1" applyAlignment="1">
      <alignment vertical="center"/>
    </xf>
    <xf numFmtId="179" fontId="33" fillId="0" borderId="1" xfId="44" applyNumberFormat="1" applyFont="1" applyBorder="1" applyAlignment="1">
      <alignment horizontal="center" vertical="center"/>
    </xf>
    <xf numFmtId="179" fontId="33" fillId="0" borderId="37" xfId="44" applyNumberFormat="1" applyFont="1" applyBorder="1" applyAlignment="1">
      <alignment horizontal="left" vertical="center"/>
    </xf>
    <xf numFmtId="0" fontId="33" fillId="0" borderId="24" xfId="44" applyFont="1" applyBorder="1" applyAlignment="1">
      <alignment horizontal="left" vertical="center"/>
    </xf>
    <xf numFmtId="181" fontId="33" fillId="0" borderId="1" xfId="62" applyFont="1" applyBorder="1" applyAlignment="1" applyProtection="1">
      <alignment horizontal="right" vertical="center"/>
      <protection hidden="1"/>
    </xf>
    <xf numFmtId="0" fontId="33" fillId="0" borderId="1" xfId="14" applyNumberFormat="1" applyFont="1" applyBorder="1" applyAlignment="1" applyProtection="1">
      <alignment vertical="center"/>
    </xf>
    <xf numFmtId="179" fontId="33" fillId="10" borderId="37" xfId="43" applyNumberFormat="1" applyFont="1" applyFill="1" applyBorder="1" applyAlignment="1">
      <alignment vertical="center"/>
    </xf>
    <xf numFmtId="0" fontId="33" fillId="10" borderId="40" xfId="43" applyFont="1" applyFill="1" applyBorder="1" applyAlignment="1">
      <alignment vertical="center"/>
    </xf>
    <xf numFmtId="0" fontId="33" fillId="10" borderId="24" xfId="43" applyFont="1" applyFill="1" applyBorder="1" applyAlignment="1">
      <alignment vertical="center"/>
    </xf>
    <xf numFmtId="0" fontId="33" fillId="0" borderId="1" xfId="8" applyNumberFormat="1" applyFont="1" applyBorder="1" applyAlignment="1" applyProtection="1">
      <alignment vertical="center"/>
    </xf>
    <xf numFmtId="0" fontId="33" fillId="0" borderId="1" xfId="41" applyNumberFormat="1" applyFont="1" applyBorder="1" applyAlignment="1" applyProtection="1">
      <alignment vertical="center"/>
    </xf>
    <xf numFmtId="0" fontId="33" fillId="0" borderId="40" xfId="57" applyFont="1" applyBorder="1" applyAlignment="1">
      <alignment vertical="center"/>
    </xf>
    <xf numFmtId="0" fontId="33" fillId="0" borderId="24" xfId="57" applyFont="1" applyBorder="1" applyAlignment="1">
      <alignment vertical="center"/>
    </xf>
    <xf numFmtId="204" fontId="33" fillId="0" borderId="1" xfId="8" applyNumberFormat="1" applyFont="1" applyBorder="1" applyAlignment="1" applyProtection="1">
      <alignment vertical="center"/>
    </xf>
    <xf numFmtId="0" fontId="0" fillId="0" borderId="2" xfId="0" applyBorder="1"/>
    <xf numFmtId="0" fontId="0" fillId="0" borderId="0" xfId="56" applyFont="1"/>
    <xf numFmtId="0" fontId="8" fillId="0" borderId="0" xfId="56" applyFont="1"/>
    <xf numFmtId="0" fontId="36" fillId="2" borderId="1" xfId="56" applyFont="1" applyFill="1" applyBorder="1" applyAlignment="1">
      <alignment horizontal="center" vertical="center" wrapText="1"/>
    </xf>
    <xf numFmtId="0" fontId="8" fillId="0" borderId="1" xfId="56" applyFont="1" applyBorder="1"/>
    <xf numFmtId="183" fontId="8" fillId="0" borderId="1" xfId="56" applyNumberFormat="1" applyFont="1" applyBorder="1"/>
    <xf numFmtId="184" fontId="8" fillId="0" borderId="1" xfId="56" applyNumberFormat="1" applyFont="1" applyBorder="1"/>
    <xf numFmtId="0" fontId="8" fillId="0" borderId="0" xfId="56" applyFont="1" applyAlignment="1">
      <alignment wrapText="1"/>
    </xf>
    <xf numFmtId="0" fontId="9" fillId="13" borderId="1" xfId="56" applyFont="1" applyFill="1" applyBorder="1" applyAlignment="1">
      <alignment horizontal="center"/>
    </xf>
    <xf numFmtId="184" fontId="8" fillId="13" borderId="1" xfId="56" applyNumberFormat="1" applyFont="1" applyFill="1" applyBorder="1"/>
    <xf numFmtId="0" fontId="9" fillId="2" borderId="1" xfId="56" applyFont="1" applyFill="1" applyBorder="1"/>
    <xf numFmtId="184" fontId="9" fillId="2" borderId="1" xfId="56" applyNumberFormat="1" applyFont="1" applyFill="1" applyBorder="1"/>
    <xf numFmtId="0" fontId="37" fillId="0" borderId="0" xfId="55" applyFont="1" applyAlignment="1">
      <alignment vertical="center" wrapText="1"/>
    </xf>
    <xf numFmtId="0" fontId="38" fillId="0" borderId="0" xfId="55" applyFont="1" applyAlignment="1">
      <alignment vertical="center" wrapText="1"/>
    </xf>
    <xf numFmtId="4" fontId="38" fillId="0" borderId="0" xfId="55" applyNumberFormat="1" applyFont="1" applyAlignment="1">
      <alignment vertical="center" wrapText="1"/>
    </xf>
    <xf numFmtId="0" fontId="35" fillId="0" borderId="0" xfId="47" applyFont="1" applyAlignment="1">
      <alignment vertical="center" wrapText="1"/>
    </xf>
    <xf numFmtId="4" fontId="35" fillId="0" borderId="0" xfId="47" applyNumberFormat="1" applyFont="1" applyAlignment="1">
      <alignment vertical="center" wrapText="1"/>
    </xf>
    <xf numFmtId="0" fontId="40" fillId="0" borderId="0" xfId="47" applyFont="1" applyAlignment="1">
      <alignment vertical="center" wrapText="1"/>
    </xf>
    <xf numFmtId="0" fontId="35" fillId="0" borderId="35" xfId="47" applyFont="1" applyBorder="1" applyAlignment="1">
      <alignment vertical="center" wrapText="1"/>
    </xf>
    <xf numFmtId="0" fontId="35" fillId="0" borderId="49" xfId="47" applyFont="1" applyBorder="1" applyAlignment="1">
      <alignment vertical="center" wrapText="1"/>
    </xf>
    <xf numFmtId="4" fontId="35" fillId="0" borderId="50" xfId="47" applyNumberFormat="1" applyFont="1" applyBorder="1" applyAlignment="1">
      <alignment vertical="center" wrapText="1"/>
    </xf>
    <xf numFmtId="0" fontId="35" fillId="0" borderId="47" xfId="47" applyFont="1" applyBorder="1" applyAlignment="1">
      <alignment horizontal="left" vertical="center" wrapText="1"/>
    </xf>
    <xf numFmtId="0" fontId="35" fillId="0" borderId="51" xfId="47" applyFont="1" applyBorder="1" applyAlignment="1">
      <alignment horizontal="center" vertical="center" wrapText="1"/>
    </xf>
    <xf numFmtId="0" fontId="35" fillId="0" borderId="51" xfId="47" applyFont="1" applyBorder="1" applyAlignment="1">
      <alignment vertical="center" wrapText="1"/>
    </xf>
    <xf numFmtId="4" fontId="35" fillId="0" borderId="51" xfId="47" applyNumberFormat="1" applyFont="1" applyBorder="1" applyAlignment="1">
      <alignment vertical="center" wrapText="1"/>
    </xf>
    <xf numFmtId="4" fontId="35" fillId="0" borderId="50" xfId="47" applyNumberFormat="1" applyFont="1" applyBorder="1" applyAlignment="1">
      <alignment horizontal="right" vertical="center" wrapText="1"/>
    </xf>
    <xf numFmtId="182" fontId="43" fillId="0" borderId="47" xfId="47" applyNumberFormat="1" applyFont="1" applyBorder="1" applyAlignment="1">
      <alignment vertical="center" wrapText="1"/>
    </xf>
    <xf numFmtId="0" fontId="35" fillId="0" borderId="41" xfId="47" applyFont="1" applyBorder="1" applyAlignment="1">
      <alignment vertical="center" wrapText="1"/>
    </xf>
    <xf numFmtId="0" fontId="35" fillId="0" borderId="42" xfId="47" applyFont="1" applyBorder="1" applyAlignment="1">
      <alignment vertical="center" wrapText="1"/>
    </xf>
    <xf numFmtId="4" fontId="35" fillId="0" borderId="42" xfId="47" applyNumberFormat="1" applyFont="1" applyBorder="1" applyAlignment="1">
      <alignment vertical="center" wrapText="1"/>
    </xf>
    <xf numFmtId="4" fontId="35" fillId="0" borderId="42" xfId="47" applyNumberFormat="1" applyFont="1" applyBorder="1" applyAlignment="1">
      <alignment horizontal="right" vertical="center" wrapText="1"/>
    </xf>
    <xf numFmtId="178" fontId="35" fillId="0" borderId="47" xfId="47" applyNumberFormat="1" applyFont="1" applyBorder="1" applyAlignment="1">
      <alignment vertical="center" wrapText="1"/>
    </xf>
    <xf numFmtId="0" fontId="40" fillId="0" borderId="36" xfId="47" applyFont="1" applyBorder="1" applyAlignment="1">
      <alignment vertical="center" wrapText="1"/>
    </xf>
    <xf numFmtId="4" fontId="35" fillId="0" borderId="54" xfId="47" applyNumberFormat="1" applyFont="1" applyBorder="1" applyAlignment="1">
      <alignment horizontal="center" vertical="center" wrapText="1"/>
    </xf>
    <xf numFmtId="4" fontId="35" fillId="0" borderId="55" xfId="47" applyNumberFormat="1" applyFont="1" applyBorder="1" applyAlignment="1">
      <alignment horizontal="center" vertical="center" wrapText="1"/>
    </xf>
    <xf numFmtId="4" fontId="35" fillId="0" borderId="56" xfId="47" applyNumberFormat="1" applyFont="1" applyBorder="1" applyAlignment="1">
      <alignment horizontal="center" vertical="center" wrapText="1"/>
    </xf>
    <xf numFmtId="0" fontId="35" fillId="0" borderId="57" xfId="47" applyFont="1" applyBorder="1" applyAlignment="1">
      <alignment horizontal="center" vertical="center" wrapText="1"/>
    </xf>
    <xf numFmtId="0" fontId="35" fillId="0" borderId="58" xfId="47" applyFont="1" applyBorder="1" applyAlignment="1">
      <alignment horizontal="center" vertical="center" wrapText="1"/>
    </xf>
    <xf numFmtId="0" fontId="35" fillId="0" borderId="59" xfId="47" applyFont="1" applyBorder="1" applyAlignment="1">
      <alignment horizontal="center" vertical="center" wrapText="1"/>
    </xf>
    <xf numFmtId="0" fontId="35" fillId="0" borderId="60" xfId="47" applyFont="1" applyBorder="1" applyAlignment="1">
      <alignment horizontal="center" vertical="center" wrapText="1"/>
    </xf>
    <xf numFmtId="0" fontId="35" fillId="0" borderId="61" xfId="47" applyFont="1" applyBorder="1" applyAlignment="1">
      <alignment horizontal="center" vertical="center" wrapText="1"/>
    </xf>
    <xf numFmtId="4" fontId="35" fillId="0" borderId="62" xfId="47" applyNumberFormat="1" applyFont="1" applyBorder="1" applyAlignment="1">
      <alignment horizontal="center" vertical="center" wrapText="1"/>
    </xf>
    <xf numFmtId="4" fontId="35" fillId="0" borderId="63" xfId="47" applyNumberFormat="1" applyFont="1" applyBorder="1" applyAlignment="1">
      <alignment horizontal="center" vertical="center" wrapText="1"/>
    </xf>
    <xf numFmtId="4" fontId="35" fillId="0" borderId="59" xfId="47" applyNumberFormat="1" applyFont="1" applyBorder="1" applyAlignment="1">
      <alignment horizontal="center" vertical="center" wrapText="1"/>
    </xf>
    <xf numFmtId="4" fontId="35" fillId="0" borderId="60" xfId="47" applyNumberFormat="1" applyFont="1" applyBorder="1" applyAlignment="1">
      <alignment horizontal="center" vertical="center" wrapText="1"/>
    </xf>
    <xf numFmtId="4" fontId="35" fillId="0" borderId="61" xfId="47" applyNumberFormat="1" applyFont="1" applyBorder="1" applyAlignment="1">
      <alignment horizontal="center" vertical="center" wrapText="1"/>
    </xf>
    <xf numFmtId="4" fontId="35" fillId="0" borderId="42" xfId="47" applyNumberFormat="1" applyFont="1" applyBorder="1" applyAlignment="1">
      <alignment horizontal="center" vertical="center" wrapText="1"/>
    </xf>
    <xf numFmtId="0" fontId="35" fillId="0" borderId="64" xfId="47" applyFont="1" applyBorder="1" applyAlignment="1">
      <alignment horizontal="center" vertical="center" wrapText="1"/>
    </xf>
    <xf numFmtId="0" fontId="35" fillId="0" borderId="65" xfId="47" applyFont="1" applyBorder="1" applyAlignment="1">
      <alignment vertical="center" wrapText="1"/>
    </xf>
    <xf numFmtId="0" fontId="35" fillId="0" borderId="30" xfId="47" applyFont="1" applyBorder="1" applyAlignment="1">
      <alignment vertical="center" wrapText="1"/>
    </xf>
    <xf numFmtId="0" fontId="35" fillId="0" borderId="46" xfId="47" applyFont="1" applyBorder="1" applyAlignment="1">
      <alignment vertical="center" wrapText="1"/>
    </xf>
    <xf numFmtId="0" fontId="35" fillId="0" borderId="33" xfId="47" applyFont="1" applyBorder="1" applyAlignment="1">
      <alignment vertical="center" wrapText="1"/>
    </xf>
    <xf numFmtId="4" fontId="35" fillId="0" borderId="33" xfId="47" applyNumberFormat="1" applyFont="1" applyBorder="1" applyAlignment="1">
      <alignment vertical="center" wrapText="1"/>
    </xf>
    <xf numFmtId="0" fontId="33" fillId="0" borderId="66" xfId="47" applyFont="1" applyBorder="1" applyAlignment="1">
      <alignment vertical="center" wrapText="1"/>
    </xf>
    <xf numFmtId="0" fontId="35" fillId="0" borderId="39" xfId="47" applyFont="1" applyBorder="1" applyAlignment="1">
      <alignment vertical="center" wrapText="1"/>
    </xf>
    <xf numFmtId="0" fontId="35" fillId="0" borderId="1" xfId="47" applyFont="1" applyBorder="1" applyAlignment="1">
      <alignment vertical="center" wrapText="1"/>
    </xf>
    <xf numFmtId="4" fontId="35" fillId="0" borderId="1" xfId="47" applyNumberFormat="1" applyFont="1" applyBorder="1" applyAlignment="1">
      <alignment vertical="center" wrapText="1"/>
    </xf>
    <xf numFmtId="0" fontId="32" fillId="0" borderId="38" xfId="47" applyFont="1" applyBorder="1" applyAlignment="1">
      <alignment vertical="center" wrapText="1"/>
    </xf>
    <xf numFmtId="4" fontId="35" fillId="0" borderId="1" xfId="17" applyNumberFormat="1" applyFont="1" applyBorder="1" applyAlignment="1" applyProtection="1">
      <alignment vertical="center" wrapText="1"/>
    </xf>
    <xf numFmtId="0" fontId="32" fillId="0" borderId="36" xfId="47" applyFont="1" applyBorder="1" applyAlignment="1">
      <alignment vertical="center" wrapText="1"/>
    </xf>
    <xf numFmtId="0" fontId="38" fillId="0" borderId="35" xfId="55" applyFont="1" applyBorder="1" applyAlignment="1">
      <alignment vertical="center" wrapText="1"/>
    </xf>
    <xf numFmtId="0" fontId="44" fillId="0" borderId="35" xfId="55" applyFont="1" applyBorder="1" applyAlignment="1">
      <alignment vertical="center" wrapText="1"/>
    </xf>
    <xf numFmtId="0" fontId="35" fillId="0" borderId="67" xfId="47" applyFont="1" applyBorder="1" applyAlignment="1">
      <alignment vertical="center" wrapText="1"/>
    </xf>
    <xf numFmtId="4" fontId="35" fillId="0" borderId="67" xfId="47" applyNumberFormat="1" applyFont="1" applyBorder="1" applyAlignment="1">
      <alignment horizontal="right" vertical="center" wrapText="1"/>
    </xf>
    <xf numFmtId="0" fontId="0" fillId="0" borderId="68" xfId="0" applyBorder="1" applyAlignment="1">
      <alignment horizontal="left" vertical="center"/>
    </xf>
    <xf numFmtId="0" fontId="0" fillId="0" borderId="68" xfId="0" applyBorder="1" applyAlignment="1">
      <alignment horizontal="left"/>
    </xf>
    <xf numFmtId="0" fontId="46" fillId="0" borderId="15" xfId="45" applyFont="1" applyBorder="1" applyAlignment="1">
      <alignment horizontal="left" vertical="center"/>
    </xf>
    <xf numFmtId="0" fontId="46" fillId="0" borderId="68" xfId="45" applyFont="1" applyBorder="1" applyAlignment="1">
      <alignment vertical="center"/>
    </xf>
    <xf numFmtId="0" fontId="46" fillId="0" borderId="69" xfId="45" applyFont="1" applyBorder="1" applyAlignment="1">
      <alignment horizontal="right" vertical="center"/>
    </xf>
    <xf numFmtId="0" fontId="46" fillId="0" borderId="15" xfId="45" applyFont="1" applyBorder="1" applyAlignment="1">
      <alignment vertical="center"/>
    </xf>
    <xf numFmtId="0" fontId="47" fillId="0" borderId="68" xfId="0" applyFont="1" applyBorder="1" applyAlignment="1">
      <alignment horizontal="center" vertical="center"/>
    </xf>
    <xf numFmtId="0" fontId="48" fillId="0" borderId="69" xfId="45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5" fillId="0" borderId="17" xfId="58" applyFont="1" applyBorder="1" applyAlignment="1">
      <alignment horizontal="left" vertical="center"/>
    </xf>
    <xf numFmtId="0" fontId="46" fillId="0" borderId="0" xfId="45" applyFont="1" applyAlignment="1">
      <alignment vertical="center"/>
    </xf>
    <xf numFmtId="2" fontId="46" fillId="0" borderId="70" xfId="45" applyNumberFormat="1" applyFont="1" applyBorder="1" applyAlignment="1">
      <alignment horizontal="right" vertical="center"/>
    </xf>
    <xf numFmtId="0" fontId="46" fillId="0" borderId="17" xfId="45" applyFont="1" applyBorder="1" applyAlignment="1">
      <alignment horizontal="left" vertical="center"/>
    </xf>
    <xf numFmtId="14" fontId="46" fillId="0" borderId="0" xfId="45" applyNumberFormat="1" applyFont="1" applyAlignment="1">
      <alignment vertical="center"/>
    </xf>
    <xf numFmtId="15" fontId="46" fillId="0" borderId="70" xfId="45" applyNumberFormat="1" applyFont="1" applyBorder="1" applyAlignment="1">
      <alignment horizontal="right" vertical="center"/>
    </xf>
    <xf numFmtId="0" fontId="46" fillId="0" borderId="0" xfId="45" applyFont="1"/>
    <xf numFmtId="0" fontId="46" fillId="0" borderId="17" xfId="45" applyFont="1" applyBorder="1" applyAlignment="1">
      <alignment vertical="center"/>
    </xf>
    <xf numFmtId="0" fontId="46" fillId="0" borderId="70" xfId="45" applyFont="1" applyBorder="1" applyAlignment="1">
      <alignment vertical="center"/>
    </xf>
    <xf numFmtId="14" fontId="46" fillId="0" borderId="0" xfId="45" applyNumberFormat="1" applyFont="1" applyAlignment="1">
      <alignment horizontal="right" vertical="center" wrapText="1"/>
    </xf>
    <xf numFmtId="0" fontId="0" fillId="0" borderId="18" xfId="0" applyBorder="1" applyAlignment="1">
      <alignment horizontal="center"/>
    </xf>
    <xf numFmtId="0" fontId="46" fillId="0" borderId="28" xfId="45" applyFont="1" applyBorder="1" applyAlignment="1">
      <alignment vertical="center"/>
    </xf>
    <xf numFmtId="14" fontId="46" fillId="0" borderId="18" xfId="45" applyNumberFormat="1" applyFont="1" applyBorder="1" applyAlignment="1">
      <alignment horizontal="right" vertical="center" wrapText="1"/>
    </xf>
    <xf numFmtId="15" fontId="46" fillId="0" borderId="71" xfId="45" applyNumberFormat="1" applyFont="1" applyBorder="1" applyAlignment="1">
      <alignment horizontal="right" vertical="center"/>
    </xf>
    <xf numFmtId="0" fontId="52" fillId="0" borderId="22" xfId="45" applyFont="1" applyBorder="1" applyAlignment="1">
      <alignment horizontal="center" vertical="center"/>
    </xf>
    <xf numFmtId="0" fontId="52" fillId="0" borderId="75" xfId="45" applyFont="1" applyBorder="1" applyAlignment="1">
      <alignment horizontal="center" vertical="center" wrapText="1"/>
    </xf>
    <xf numFmtId="0" fontId="52" fillId="0" borderId="22" xfId="45" applyFont="1" applyBorder="1" applyAlignment="1">
      <alignment horizontal="center" vertical="center" wrapText="1"/>
    </xf>
    <xf numFmtId="0" fontId="46" fillId="0" borderId="22" xfId="45" applyFont="1" applyBorder="1" applyAlignment="1">
      <alignment horizontal="center" vertical="center" wrapText="1"/>
    </xf>
    <xf numFmtId="0" fontId="16" fillId="14" borderId="76" xfId="0" applyFont="1" applyFill="1" applyBorder="1" applyAlignment="1">
      <alignment vertical="center"/>
    </xf>
    <xf numFmtId="0" fontId="16" fillId="14" borderId="77" xfId="0" applyFont="1" applyFill="1" applyBorder="1" applyAlignment="1">
      <alignment vertical="center"/>
    </xf>
    <xf numFmtId="0" fontId="53" fillId="14" borderId="77" xfId="0" applyFont="1" applyFill="1" applyBorder="1" applyAlignment="1">
      <alignment vertical="center"/>
    </xf>
    <xf numFmtId="0" fontId="53" fillId="14" borderId="78" xfId="0" applyFont="1" applyFill="1" applyBorder="1" applyAlignment="1">
      <alignment vertical="center"/>
    </xf>
    <xf numFmtId="0" fontId="0" fillId="14" borderId="76" xfId="0" applyFill="1" applyBorder="1" applyAlignment="1">
      <alignment vertical="center"/>
    </xf>
    <xf numFmtId="0" fontId="0" fillId="14" borderId="78" xfId="0" applyFill="1" applyBorder="1" applyAlignment="1">
      <alignment vertical="center"/>
    </xf>
    <xf numFmtId="0" fontId="0" fillId="0" borderId="79" xfId="0" applyBorder="1" applyAlignment="1">
      <alignment vertical="center"/>
    </xf>
    <xf numFmtId="0" fontId="0" fillId="0" borderId="80" xfId="0" applyBorder="1" applyAlignment="1">
      <alignment vertical="center"/>
    </xf>
    <xf numFmtId="205" fontId="52" fillId="0" borderId="80" xfId="0" applyNumberFormat="1" applyFont="1" applyBorder="1" applyAlignment="1">
      <alignment horizontal="center" vertical="center"/>
    </xf>
    <xf numFmtId="0" fontId="52" fillId="0" borderId="80" xfId="0" applyFont="1" applyBorder="1" applyAlignment="1">
      <alignment vertical="center"/>
    </xf>
    <xf numFmtId="205" fontId="52" fillId="0" borderId="80" xfId="0" applyNumberFormat="1" applyFont="1" applyBorder="1" applyAlignment="1">
      <alignment vertical="center"/>
    </xf>
    <xf numFmtId="205" fontId="52" fillId="0" borderId="81" xfId="0" applyNumberFormat="1" applyFont="1" applyBorder="1" applyAlignment="1">
      <alignment vertical="center"/>
    </xf>
    <xf numFmtId="0" fontId="0" fillId="0" borderId="81" xfId="0" applyBorder="1" applyAlignment="1">
      <alignment vertical="center"/>
    </xf>
    <xf numFmtId="205" fontId="0" fillId="0" borderId="81" xfId="0" applyNumberFormat="1" applyBorder="1" applyAlignment="1">
      <alignment vertical="center"/>
    </xf>
    <xf numFmtId="2" fontId="0" fillId="0" borderId="82" xfId="0" applyNumberFormat="1" applyBorder="1" applyAlignment="1">
      <alignment horizontal="right"/>
    </xf>
    <xf numFmtId="0" fontId="54" fillId="0" borderId="80" xfId="0" applyFont="1" applyBorder="1" applyAlignment="1">
      <alignment vertical="center"/>
    </xf>
    <xf numFmtId="0" fontId="0" fillId="0" borderId="83" xfId="0" applyBorder="1" applyAlignment="1">
      <alignment vertical="center"/>
    </xf>
    <xf numFmtId="0" fontId="0" fillId="0" borderId="84" xfId="0" applyBorder="1" applyAlignment="1">
      <alignment vertical="center"/>
    </xf>
    <xf numFmtId="0" fontId="52" fillId="0" borderId="84" xfId="0" applyFont="1" applyBorder="1" applyAlignment="1">
      <alignment vertical="center"/>
    </xf>
    <xf numFmtId="0" fontId="52" fillId="0" borderId="85" xfId="0" applyFont="1" applyBorder="1" applyAlignment="1">
      <alignment vertical="center"/>
    </xf>
    <xf numFmtId="0" fontId="0" fillId="0" borderId="85" xfId="0" applyBorder="1" applyAlignment="1">
      <alignment vertical="center"/>
    </xf>
    <xf numFmtId="0" fontId="52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205" fontId="51" fillId="0" borderId="13" xfId="0" applyNumberFormat="1" applyFont="1" applyBorder="1" applyAlignment="1">
      <alignment vertical="center"/>
    </xf>
    <xf numFmtId="9" fontId="0" fillId="15" borderId="0" xfId="0" applyNumberFormat="1" applyFill="1" applyAlignment="1">
      <alignment horizontal="center" vertical="center"/>
    </xf>
    <xf numFmtId="205" fontId="52" fillId="0" borderId="27" xfId="0" applyNumberFormat="1" applyFont="1" applyBorder="1" applyAlignment="1">
      <alignment vertical="center"/>
    </xf>
    <xf numFmtId="9" fontId="0" fillId="0" borderId="0" xfId="0" applyNumberFormat="1" applyAlignment="1">
      <alignment horizontal="center" vertical="center"/>
    </xf>
    <xf numFmtId="0" fontId="15" fillId="0" borderId="0" xfId="0" applyFont="1" applyAlignment="1">
      <alignment vertical="center"/>
    </xf>
    <xf numFmtId="205" fontId="24" fillId="0" borderId="1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16" fillId="16" borderId="76" xfId="0" applyFont="1" applyFill="1" applyBorder="1" applyAlignment="1">
      <alignment vertical="center"/>
    </xf>
    <xf numFmtId="0" fontId="16" fillId="16" borderId="77" xfId="0" applyFont="1" applyFill="1" applyBorder="1" applyAlignment="1">
      <alignment vertical="center"/>
    </xf>
    <xf numFmtId="0" fontId="53" fillId="16" borderId="77" xfId="0" applyFont="1" applyFill="1" applyBorder="1" applyAlignment="1">
      <alignment vertical="center"/>
    </xf>
    <xf numFmtId="0" fontId="53" fillId="16" borderId="78" xfId="0" applyFont="1" applyFill="1" applyBorder="1" applyAlignment="1">
      <alignment vertical="center"/>
    </xf>
    <xf numFmtId="0" fontId="54" fillId="0" borderId="80" xfId="0" applyFont="1" applyBorder="1" applyAlignment="1">
      <alignment vertical="center" wrapText="1"/>
    </xf>
    <xf numFmtId="2" fontId="0" fillId="0" borderId="79" xfId="0" applyNumberFormat="1" applyBorder="1" applyAlignment="1">
      <alignment vertical="center"/>
    </xf>
    <xf numFmtId="0" fontId="16" fillId="16" borderId="79" xfId="0" applyFont="1" applyFill="1" applyBorder="1" applyAlignment="1">
      <alignment vertical="center"/>
    </xf>
    <xf numFmtId="0" fontId="55" fillId="16" borderId="80" xfId="0" applyFont="1" applyFill="1" applyBorder="1" applyAlignment="1">
      <alignment vertical="center"/>
    </xf>
    <xf numFmtId="205" fontId="53" fillId="16" borderId="80" xfId="0" applyNumberFormat="1" applyFont="1" applyFill="1" applyBorder="1" applyAlignment="1">
      <alignment horizontal="center" vertical="center"/>
    </xf>
    <xf numFmtId="0" fontId="53" fillId="16" borderId="80" xfId="0" applyFont="1" applyFill="1" applyBorder="1" applyAlignment="1">
      <alignment vertical="center"/>
    </xf>
    <xf numFmtId="205" fontId="53" fillId="16" borderId="80" xfId="0" applyNumberFormat="1" applyFont="1" applyFill="1" applyBorder="1" applyAlignment="1">
      <alignment vertical="center"/>
    </xf>
    <xf numFmtId="205" fontId="53" fillId="16" borderId="81" xfId="0" applyNumberFormat="1" applyFont="1" applyFill="1" applyBorder="1" applyAlignment="1">
      <alignment vertical="center"/>
    </xf>
    <xf numFmtId="0" fontId="0" fillId="0" borderId="79" xfId="0" applyBorder="1"/>
    <xf numFmtId="0" fontId="0" fillId="0" borderId="80" xfId="0" applyBorder="1" applyAlignment="1">
      <alignment horizontal="center"/>
    </xf>
    <xf numFmtId="0" fontId="0" fillId="0" borderId="15" xfId="0" applyBorder="1" applyAlignment="1">
      <alignment vertical="center"/>
    </xf>
    <xf numFmtId="0" fontId="55" fillId="0" borderId="68" xfId="0" applyFont="1" applyBorder="1" applyAlignment="1">
      <alignment vertical="center"/>
    </xf>
    <xf numFmtId="0" fontId="52" fillId="0" borderId="68" xfId="0" applyFont="1" applyBorder="1" applyAlignment="1">
      <alignment vertical="center"/>
    </xf>
    <xf numFmtId="205" fontId="51" fillId="0" borderId="69" xfId="0" applyNumberFormat="1" applyFont="1" applyBorder="1" applyAlignment="1">
      <alignment vertical="center"/>
    </xf>
    <xf numFmtId="0" fontId="0" fillId="0" borderId="17" xfId="0" applyBorder="1" applyAlignment="1">
      <alignment vertical="center"/>
    </xf>
    <xf numFmtId="205" fontId="52" fillId="0" borderId="70" xfId="0" applyNumberFormat="1" applyFont="1" applyBorder="1" applyAlignment="1">
      <alignment vertical="center"/>
    </xf>
    <xf numFmtId="0" fontId="0" fillId="0" borderId="28" xfId="0" applyBorder="1" applyAlignment="1">
      <alignment vertical="center"/>
    </xf>
    <xf numFmtId="0" fontId="15" fillId="0" borderId="18" xfId="0" applyFont="1" applyBorder="1" applyAlignment="1">
      <alignment vertical="center"/>
    </xf>
    <xf numFmtId="0" fontId="52" fillId="0" borderId="18" xfId="0" applyFont="1" applyBorder="1" applyAlignment="1">
      <alignment vertical="center"/>
    </xf>
    <xf numFmtId="205" fontId="24" fillId="0" borderId="71" xfId="0" applyNumberFormat="1" applyFont="1" applyBorder="1" applyAlignment="1">
      <alignment vertical="center"/>
    </xf>
    <xf numFmtId="0" fontId="16" fillId="0" borderId="86" xfId="0" applyFont="1" applyBorder="1" applyAlignment="1">
      <alignment horizontal="center"/>
    </xf>
    <xf numFmtId="0" fontId="16" fillId="16" borderId="80" xfId="0" applyFont="1" applyFill="1" applyBorder="1"/>
    <xf numFmtId="205" fontId="0" fillId="16" borderId="80" xfId="0" applyNumberFormat="1" applyFill="1" applyBorder="1"/>
    <xf numFmtId="0" fontId="16" fillId="16" borderId="81" xfId="0" applyFont="1" applyFill="1" applyBorder="1"/>
    <xf numFmtId="205" fontId="0" fillId="0" borderId="80" xfId="0" applyNumberFormat="1" applyBorder="1"/>
    <xf numFmtId="205" fontId="0" fillId="0" borderId="81" xfId="0" applyNumberFormat="1" applyBorder="1"/>
    <xf numFmtId="0" fontId="16" fillId="16" borderId="79" xfId="0" applyFont="1" applyFill="1" applyBorder="1"/>
    <xf numFmtId="0" fontId="0" fillId="0" borderId="0" xfId="0" applyAlignment="1">
      <alignment vertical="center" wrapText="1"/>
    </xf>
    <xf numFmtId="0" fontId="16" fillId="16" borderId="80" xfId="0" applyFont="1" applyFill="1" applyBorder="1" applyAlignment="1">
      <alignment vertical="center"/>
    </xf>
    <xf numFmtId="0" fontId="16" fillId="16" borderId="80" xfId="0" applyFont="1" applyFill="1" applyBorder="1" applyAlignment="1">
      <alignment vertical="center" wrapText="1"/>
    </xf>
    <xf numFmtId="0" fontId="16" fillId="16" borderId="81" xfId="0" applyFont="1" applyFill="1" applyBorder="1" applyAlignment="1">
      <alignment vertical="center" wrapText="1"/>
    </xf>
    <xf numFmtId="205" fontId="0" fillId="0" borderId="80" xfId="0" applyNumberFormat="1" applyBorder="1" applyAlignment="1">
      <alignment horizontal="center" vertical="center" wrapText="1"/>
    </xf>
    <xf numFmtId="0" fontId="0" fillId="0" borderId="80" xfId="0" applyBorder="1" applyAlignment="1">
      <alignment vertical="center" wrapText="1"/>
    </xf>
    <xf numFmtId="205" fontId="0" fillId="0" borderId="81" xfId="0" applyNumberFormat="1" applyBorder="1" applyAlignment="1">
      <alignment vertical="center" wrapText="1"/>
    </xf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0" fillId="0" borderId="15" xfId="0" applyBorder="1"/>
    <xf numFmtId="0" fontId="0" fillId="0" borderId="68" xfId="0" applyBorder="1"/>
    <xf numFmtId="205" fontId="51" fillId="0" borderId="69" xfId="0" applyNumberFormat="1" applyFont="1" applyBorder="1"/>
    <xf numFmtId="0" fontId="0" fillId="0" borderId="17" xfId="0" applyBorder="1"/>
    <xf numFmtId="9" fontId="0" fillId="0" borderId="0" xfId="0" applyNumberFormat="1"/>
    <xf numFmtId="205" fontId="52" fillId="0" borderId="70" xfId="0" applyNumberFormat="1" applyFont="1" applyBorder="1"/>
    <xf numFmtId="0" fontId="0" fillId="0" borderId="28" xfId="0" applyBorder="1"/>
    <xf numFmtId="0" fontId="15" fillId="0" borderId="18" xfId="0" applyFont="1" applyBorder="1"/>
    <xf numFmtId="0" fontId="0" fillId="0" borderId="18" xfId="0" applyBorder="1"/>
    <xf numFmtId="205" fontId="24" fillId="0" borderId="71" xfId="0" applyNumberFormat="1" applyFont="1" applyBorder="1"/>
    <xf numFmtId="0" fontId="54" fillId="0" borderId="0" xfId="0" applyFont="1" applyAlignment="1">
      <alignment vertical="center"/>
    </xf>
    <xf numFmtId="0" fontId="16" fillId="0" borderId="89" xfId="0" applyFont="1" applyBorder="1" applyAlignment="1">
      <alignment horizontal="center"/>
    </xf>
    <xf numFmtId="0" fontId="16" fillId="0" borderId="90" xfId="0" applyFont="1" applyBorder="1" applyAlignment="1">
      <alignment horizontal="center"/>
    </xf>
    <xf numFmtId="0" fontId="0" fillId="0" borderId="80" xfId="0" applyBorder="1"/>
    <xf numFmtId="1" fontId="0" fillId="0" borderId="80" xfId="0" applyNumberFormat="1" applyBorder="1"/>
    <xf numFmtId="205" fontId="56" fillId="0" borderId="0" xfId="0" applyNumberFormat="1" applyFont="1"/>
    <xf numFmtId="205" fontId="0" fillId="0" borderId="0" xfId="0" applyNumberFormat="1"/>
    <xf numFmtId="0" fontId="15" fillId="0" borderId="0" xfId="0" applyFont="1"/>
    <xf numFmtId="205" fontId="15" fillId="0" borderId="0" xfId="0" applyNumberFormat="1" applyFont="1"/>
    <xf numFmtId="9" fontId="0" fillId="0" borderId="0" xfId="0" applyNumberFormat="1" applyAlignment="1">
      <alignment horizontal="center"/>
    </xf>
    <xf numFmtId="0" fontId="0" fillId="0" borderId="77" xfId="0" applyBorder="1"/>
    <xf numFmtId="205" fontId="0" fillId="0" borderId="77" xfId="0" applyNumberFormat="1" applyBorder="1" applyAlignment="1">
      <alignment horizontal="center"/>
    </xf>
    <xf numFmtId="205" fontId="0" fillId="0" borderId="77" xfId="0" applyNumberFormat="1" applyBorder="1"/>
    <xf numFmtId="205" fontId="0" fillId="0" borderId="78" xfId="0" applyNumberFormat="1" applyBorder="1"/>
    <xf numFmtId="205" fontId="0" fillId="0" borderId="80" xfId="0" applyNumberFormat="1" applyBorder="1" applyAlignment="1">
      <alignment horizontal="center"/>
    </xf>
    <xf numFmtId="0" fontId="0" fillId="0" borderId="91" xfId="0" applyBorder="1"/>
    <xf numFmtId="205" fontId="56" fillId="0" borderId="69" xfId="0" applyNumberFormat="1" applyFont="1" applyBorder="1"/>
    <xf numFmtId="205" fontId="0" fillId="0" borderId="70" xfId="0" applyNumberFormat="1" applyBorder="1"/>
    <xf numFmtId="205" fontId="15" fillId="0" borderId="71" xfId="0" applyNumberFormat="1" applyFont="1" applyBorder="1"/>
    <xf numFmtId="165" fontId="0" fillId="0" borderId="0" xfId="1" applyFont="1" applyBorder="1" applyProtection="1"/>
    <xf numFmtId="165" fontId="0" fillId="0" borderId="81" xfId="1" applyFont="1" applyBorder="1" applyProtection="1"/>
    <xf numFmtId="2" fontId="0" fillId="0" borderId="82" xfId="0" applyNumberFormat="1" applyBorder="1"/>
    <xf numFmtId="4" fontId="0" fillId="0" borderId="81" xfId="1" applyNumberFormat="1" applyFont="1" applyBorder="1" applyProtection="1"/>
    <xf numFmtId="0" fontId="0" fillId="0" borderId="92" xfId="0" applyBorder="1" applyAlignment="1">
      <alignment vertical="center"/>
    </xf>
    <xf numFmtId="0" fontId="0" fillId="0" borderId="93" xfId="0" applyBorder="1" applyAlignment="1">
      <alignment vertical="center"/>
    </xf>
    <xf numFmtId="0" fontId="52" fillId="0" borderId="94" xfId="0" applyFont="1" applyBorder="1"/>
    <xf numFmtId="205" fontId="52" fillId="0" borderId="94" xfId="0" applyNumberFormat="1" applyFont="1" applyBorder="1"/>
    <xf numFmtId="0" fontId="52" fillId="0" borderId="84" xfId="0" applyFont="1" applyBorder="1"/>
    <xf numFmtId="205" fontId="52" fillId="0" borderId="85" xfId="0" applyNumberFormat="1" applyFont="1" applyBorder="1"/>
    <xf numFmtId="203" fontId="51" fillId="0" borderId="13" xfId="0" applyNumberFormat="1" applyFont="1" applyBorder="1" applyAlignment="1">
      <alignment vertical="center"/>
    </xf>
    <xf numFmtId="206" fontId="52" fillId="0" borderId="27" xfId="0" applyNumberFormat="1" applyFont="1" applyBorder="1" applyAlignment="1">
      <alignment vertical="center"/>
    </xf>
    <xf numFmtId="207" fontId="52" fillId="0" borderId="27" xfId="0" applyNumberFormat="1" applyFont="1" applyBorder="1" applyAlignment="1">
      <alignment vertical="center"/>
    </xf>
    <xf numFmtId="0" fontId="38" fillId="0" borderId="51" xfId="55" applyFont="1" applyBorder="1" applyAlignment="1">
      <alignment horizontal="center" vertical="center" wrapText="1"/>
    </xf>
    <xf numFmtId="202" fontId="33" fillId="10" borderId="1" xfId="43" applyNumberFormat="1" applyFont="1" applyFill="1" applyBorder="1" applyAlignment="1">
      <alignment vertical="center"/>
    </xf>
    <xf numFmtId="0" fontId="35" fillId="0" borderId="98" xfId="47" applyFont="1" applyBorder="1" applyAlignment="1">
      <alignment vertical="center" wrapText="1"/>
    </xf>
    <xf numFmtId="4" fontId="35" fillId="0" borderId="97" xfId="47" applyNumberFormat="1" applyFont="1" applyBorder="1" applyAlignment="1">
      <alignment vertical="center" wrapText="1"/>
    </xf>
    <xf numFmtId="0" fontId="7" fillId="0" borderId="36" xfId="0" applyFont="1" applyBorder="1"/>
    <xf numFmtId="0" fontId="5" fillId="0" borderId="36" xfId="0" applyFont="1" applyBorder="1"/>
    <xf numFmtId="0" fontId="38" fillId="0" borderId="42" xfId="55" applyFont="1" applyBorder="1" applyAlignment="1">
      <alignment vertical="center" wrapText="1"/>
    </xf>
    <xf numFmtId="4" fontId="38" fillId="0" borderId="42" xfId="55" applyNumberFormat="1" applyFont="1" applyBorder="1" applyAlignment="1">
      <alignment vertical="center" wrapText="1"/>
    </xf>
    <xf numFmtId="0" fontId="37" fillId="0" borderId="42" xfId="55" applyFont="1" applyBorder="1" applyAlignment="1">
      <alignment vertical="center" wrapText="1"/>
    </xf>
    <xf numFmtId="4" fontId="35" fillId="0" borderId="0" xfId="17" applyNumberFormat="1" applyFont="1" applyBorder="1" applyAlignment="1" applyProtection="1">
      <alignment vertical="center" wrapText="1"/>
    </xf>
    <xf numFmtId="0" fontId="13" fillId="0" borderId="0" xfId="0" applyFont="1"/>
    <xf numFmtId="4" fontId="35" fillId="0" borderId="97" xfId="47" applyNumberFormat="1" applyFont="1" applyBorder="1" applyAlignment="1">
      <alignment horizontal="right" vertical="center" wrapText="1"/>
    </xf>
    <xf numFmtId="208" fontId="33" fillId="0" borderId="0" xfId="44" applyNumberFormat="1" applyFont="1" applyAlignment="1">
      <alignment vertical="center"/>
    </xf>
    <xf numFmtId="209" fontId="33" fillId="0" borderId="0" xfId="44" applyNumberFormat="1" applyFont="1" applyAlignment="1">
      <alignment vertical="center"/>
    </xf>
    <xf numFmtId="182" fontId="33" fillId="0" borderId="1" xfId="14" applyNumberFormat="1" applyFont="1" applyBorder="1" applyAlignment="1" applyProtection="1">
      <alignment horizontal="right" vertical="center"/>
      <protection hidden="1"/>
    </xf>
    <xf numFmtId="0" fontId="59" fillId="0" borderId="1" xfId="45" applyFont="1" applyBorder="1" applyAlignment="1">
      <alignment horizontal="center" vertical="center"/>
    </xf>
    <xf numFmtId="210" fontId="20" fillId="0" borderId="0" xfId="0" applyNumberFormat="1" applyFont="1" applyAlignment="1">
      <alignment vertical="center"/>
    </xf>
    <xf numFmtId="178" fontId="0" fillId="0" borderId="0" xfId="0" applyNumberFormat="1"/>
    <xf numFmtId="43" fontId="20" fillId="0" borderId="0" xfId="0" applyNumberFormat="1" applyFont="1" applyAlignment="1">
      <alignment vertical="center"/>
    </xf>
    <xf numFmtId="0" fontId="14" fillId="0" borderId="10" xfId="55" applyFont="1" applyBorder="1"/>
    <xf numFmtId="178" fontId="14" fillId="0" borderId="11" xfId="42" applyFont="1" applyBorder="1" applyProtection="1"/>
    <xf numFmtId="0" fontId="14" fillId="0" borderId="13" xfId="55" applyFont="1" applyBorder="1"/>
    <xf numFmtId="0" fontId="14" fillId="0" borderId="2" xfId="55" applyFont="1" applyBorder="1"/>
    <xf numFmtId="0" fontId="14" fillId="17" borderId="13" xfId="55" applyFont="1" applyFill="1" applyBorder="1"/>
    <xf numFmtId="0" fontId="14" fillId="17" borderId="2" xfId="55" applyFont="1" applyFill="1" applyBorder="1"/>
    <xf numFmtId="6" fontId="20" fillId="0" borderId="0" xfId="0" applyNumberFormat="1" applyFont="1" applyAlignment="1">
      <alignment vertical="center"/>
    </xf>
    <xf numFmtId="8" fontId="20" fillId="0" borderId="0" xfId="0" applyNumberFormat="1" applyFont="1" applyAlignment="1">
      <alignment vertical="center"/>
    </xf>
    <xf numFmtId="165" fontId="58" fillId="0" borderId="0" xfId="1"/>
    <xf numFmtId="211" fontId="58" fillId="0" borderId="0" xfId="1" applyNumberFormat="1"/>
    <xf numFmtId="210" fontId="0" fillId="0" borderId="0" xfId="0" applyNumberFormat="1"/>
    <xf numFmtId="183" fontId="60" fillId="0" borderId="0" xfId="2" applyNumberFormat="1" applyFont="1" applyBorder="1" applyAlignment="1" applyProtection="1">
      <alignment vertical="center"/>
    </xf>
    <xf numFmtId="213" fontId="37" fillId="0" borderId="0" xfId="55" applyNumberFormat="1" applyFont="1" applyAlignment="1">
      <alignment vertical="center" wrapText="1"/>
    </xf>
    <xf numFmtId="212" fontId="37" fillId="0" borderId="0" xfId="55" applyNumberFormat="1" applyFont="1" applyAlignment="1">
      <alignment vertical="center" wrapText="1"/>
    </xf>
    <xf numFmtId="0" fontId="24" fillId="0" borderId="6" xfId="45" applyFont="1" applyBorder="1" applyAlignment="1">
      <alignment horizontal="center" vertical="center"/>
    </xf>
    <xf numFmtId="182" fontId="32" fillId="12" borderId="34" xfId="8" applyNumberFormat="1" applyFont="1" applyFill="1" applyBorder="1" applyAlignment="1" applyProtection="1">
      <alignment horizontal="center" vertical="center"/>
      <protection hidden="1"/>
    </xf>
    <xf numFmtId="215" fontId="0" fillId="0" borderId="0" xfId="0" applyNumberFormat="1"/>
    <xf numFmtId="216" fontId="32" fillId="0" borderId="38" xfId="14" applyNumberFormat="1" applyFont="1" applyBorder="1" applyAlignment="1" applyProtection="1">
      <alignment horizontal="right" vertical="center"/>
      <protection hidden="1"/>
    </xf>
    <xf numFmtId="182" fontId="32" fillId="0" borderId="45" xfId="14" applyNumberFormat="1" applyFont="1" applyBorder="1" applyAlignment="1" applyProtection="1">
      <alignment horizontal="right" vertical="center"/>
      <protection hidden="1"/>
    </xf>
    <xf numFmtId="0" fontId="32" fillId="0" borderId="23" xfId="57" applyFont="1" applyBorder="1" applyAlignment="1">
      <alignment horizontal="left" vertical="center"/>
    </xf>
    <xf numFmtId="0" fontId="32" fillId="0" borderId="24" xfId="57" applyFont="1" applyBorder="1" applyAlignment="1">
      <alignment horizontal="left" vertical="center"/>
    </xf>
    <xf numFmtId="182" fontId="32" fillId="0" borderId="45" xfId="8" applyNumberFormat="1" applyFont="1" applyBorder="1" applyAlignment="1" applyProtection="1">
      <alignment horizontal="right" vertical="center"/>
      <protection hidden="1"/>
    </xf>
    <xf numFmtId="1" fontId="33" fillId="0" borderId="1" xfId="57" applyNumberFormat="1" applyFont="1" applyBorder="1" applyAlignment="1">
      <alignment vertical="center"/>
    </xf>
    <xf numFmtId="0" fontId="61" fillId="0" borderId="0" xfId="0" applyFont="1"/>
    <xf numFmtId="165" fontId="60" fillId="2" borderId="1" xfId="1" applyFont="1" applyFill="1" applyBorder="1" applyAlignment="1" applyProtection="1">
      <alignment vertical="center"/>
    </xf>
    <xf numFmtId="212" fontId="0" fillId="0" borderId="0" xfId="0" applyNumberFormat="1"/>
    <xf numFmtId="214" fontId="20" fillId="0" borderId="0" xfId="0" applyNumberFormat="1" applyFont="1" applyAlignment="1">
      <alignment vertical="center"/>
    </xf>
    <xf numFmtId="0" fontId="20" fillId="10" borderId="1" xfId="63" applyNumberFormat="1" applyFont="1" applyFill="1" applyBorder="1" applyAlignment="1" applyProtection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165" fontId="7" fillId="0" borderId="0" xfId="1" applyFont="1" applyBorder="1" applyAlignment="1" applyProtection="1">
      <alignment vertical="center"/>
    </xf>
    <xf numFmtId="214" fontId="0" fillId="0" borderId="0" xfId="0" applyNumberFormat="1"/>
    <xf numFmtId="210" fontId="58" fillId="0" borderId="0" xfId="2" applyNumberFormat="1"/>
    <xf numFmtId="218" fontId="2" fillId="0" borderId="1" xfId="0" applyNumberFormat="1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190" fontId="20" fillId="10" borderId="0" xfId="63" applyNumberFormat="1" applyFont="1" applyFill="1" applyBorder="1" applyAlignment="1" applyProtection="1">
      <alignment horizontal="center" vertical="center"/>
    </xf>
    <xf numFmtId="9" fontId="15" fillId="0" borderId="0" xfId="3" applyFont="1" applyBorder="1" applyAlignment="1" applyProtection="1">
      <alignment horizontal="left" vertical="center"/>
    </xf>
    <xf numFmtId="217" fontId="58" fillId="0" borderId="0" xfId="3" applyNumberFormat="1" applyBorder="1"/>
    <xf numFmtId="165" fontId="15" fillId="0" borderId="22" xfId="1" applyFont="1" applyBorder="1" applyAlignment="1" applyProtection="1">
      <alignment horizontal="center" vertical="center"/>
    </xf>
    <xf numFmtId="165" fontId="20" fillId="10" borderId="0" xfId="1" applyFont="1" applyFill="1" applyBorder="1" applyAlignment="1" applyProtection="1">
      <alignment horizontal="center" vertical="center"/>
    </xf>
    <xf numFmtId="217" fontId="58" fillId="0" borderId="1" xfId="3" applyNumberFormat="1" applyBorder="1"/>
    <xf numFmtId="9" fontId="27" fillId="0" borderId="0" xfId="3" applyFont="1" applyBorder="1" applyAlignment="1" applyProtection="1">
      <alignment horizontal="center" vertical="center"/>
    </xf>
    <xf numFmtId="0" fontId="62" fillId="9" borderId="1" xfId="0" applyFont="1" applyFill="1" applyBorder="1" applyAlignment="1">
      <alignment horizontal="center" vertical="center" wrapText="1"/>
    </xf>
    <xf numFmtId="192" fontId="62" fillId="9" borderId="1" xfId="64" applyNumberFormat="1" applyFont="1" applyFill="1" applyBorder="1" applyAlignment="1" applyProtection="1">
      <alignment horizontal="center" vertical="center"/>
    </xf>
    <xf numFmtId="190" fontId="62" fillId="9" borderId="1" xfId="63" applyNumberFormat="1" applyFont="1" applyFill="1" applyBorder="1" applyAlignment="1" applyProtection="1">
      <alignment horizontal="center" vertical="center"/>
    </xf>
    <xf numFmtId="192" fontId="62" fillId="9" borderId="21" xfId="64" applyNumberFormat="1" applyFont="1" applyFill="1" applyBorder="1" applyAlignment="1" applyProtection="1">
      <alignment horizontal="center" vertical="center"/>
    </xf>
    <xf numFmtId="0" fontId="20" fillId="0" borderId="1" xfId="0" applyFont="1" applyBorder="1" applyAlignment="1">
      <alignment vertical="center"/>
    </xf>
    <xf numFmtId="183" fontId="20" fillId="0" borderId="1" xfId="2" applyNumberFormat="1" applyFont="1" applyBorder="1" applyProtection="1"/>
    <xf numFmtId="9" fontId="15" fillId="0" borderId="1" xfId="3" applyFont="1" applyBorder="1" applyAlignment="1" applyProtection="1">
      <alignment horizontal="center" vertical="center"/>
    </xf>
    <xf numFmtId="195" fontId="20" fillId="19" borderId="21" xfId="0" applyNumberFormat="1" applyFont="1" applyFill="1" applyBorder="1" applyAlignment="1">
      <alignment horizontal="center" vertical="center"/>
    </xf>
    <xf numFmtId="197" fontId="20" fillId="0" borderId="0" xfId="0" applyNumberFormat="1" applyFont="1" applyAlignment="1">
      <alignment vertical="center"/>
    </xf>
    <xf numFmtId="195" fontId="62" fillId="0" borderId="21" xfId="0" applyNumberFormat="1" applyFont="1" applyBorder="1" applyAlignment="1">
      <alignment horizontal="center" vertical="center"/>
    </xf>
    <xf numFmtId="0" fontId="62" fillId="19" borderId="1" xfId="0" applyFont="1" applyFill="1" applyBorder="1" applyAlignment="1">
      <alignment horizontal="center" vertical="center"/>
    </xf>
    <xf numFmtId="190" fontId="20" fillId="0" borderId="1" xfId="63" applyNumberFormat="1" applyFont="1" applyBorder="1" applyAlignment="1" applyProtection="1">
      <alignment horizontal="center" vertical="center"/>
    </xf>
    <xf numFmtId="195" fontId="20" fillId="0" borderId="0" xfId="0" applyNumberFormat="1" applyFont="1" applyAlignment="1">
      <alignment vertical="center"/>
    </xf>
    <xf numFmtId="220" fontId="20" fillId="0" borderId="1" xfId="39" applyNumberFormat="1" applyFont="1" applyBorder="1" applyAlignment="1" applyProtection="1">
      <alignment horizontal="center" vertical="center"/>
    </xf>
    <xf numFmtId="0" fontId="25" fillId="0" borderId="5" xfId="45" applyFont="1" applyBorder="1" applyAlignment="1">
      <alignment horizontal="center" vertical="center"/>
    </xf>
    <xf numFmtId="195" fontId="20" fillId="0" borderId="33" xfId="0" applyNumberFormat="1" applyFont="1" applyBorder="1" applyAlignment="1">
      <alignment horizontal="center" vertical="center"/>
    </xf>
    <xf numFmtId="165" fontId="15" fillId="9" borderId="99" xfId="1" applyFont="1" applyFill="1" applyBorder="1" applyAlignment="1" applyProtection="1">
      <alignment horizontal="center" vertical="center"/>
    </xf>
    <xf numFmtId="0" fontId="15" fillId="9" borderId="100" xfId="0" applyFont="1" applyFill="1" applyBorder="1" applyAlignment="1">
      <alignment horizontal="left" vertical="center" wrapText="1"/>
    </xf>
    <xf numFmtId="0" fontId="20" fillId="9" borderId="100" xfId="0" applyFont="1" applyFill="1" applyBorder="1" applyAlignment="1">
      <alignment horizontal="left" vertical="center"/>
    </xf>
    <xf numFmtId="192" fontId="20" fillId="9" borderId="100" xfId="64" applyNumberFormat="1" applyFont="1" applyFill="1" applyBorder="1" applyAlignment="1" applyProtection="1">
      <alignment horizontal="center" vertical="center"/>
    </xf>
    <xf numFmtId="190" fontId="20" fillId="9" borderId="100" xfId="63" applyNumberFormat="1" applyFont="1" applyFill="1" applyBorder="1" applyAlignment="1" applyProtection="1">
      <alignment horizontal="left" vertical="center"/>
    </xf>
    <xf numFmtId="192" fontId="20" fillId="9" borderId="87" xfId="64" applyNumberFormat="1" applyFont="1" applyFill="1" applyBorder="1" applyAlignment="1" applyProtection="1">
      <alignment horizontal="left" vertical="center"/>
    </xf>
    <xf numFmtId="165" fontId="20" fillId="10" borderId="28" xfId="1" applyFont="1" applyFill="1" applyBorder="1" applyAlignment="1" applyProtection="1">
      <alignment horizontal="center" vertical="center"/>
    </xf>
    <xf numFmtId="195" fontId="20" fillId="0" borderId="88" xfId="0" applyNumberFormat="1" applyFont="1" applyBorder="1" applyAlignment="1">
      <alignment horizontal="center" vertical="center"/>
    </xf>
    <xf numFmtId="165" fontId="20" fillId="0" borderId="20" xfId="1" applyFont="1" applyBorder="1" applyAlignment="1" applyProtection="1">
      <alignment vertical="center"/>
    </xf>
    <xf numFmtId="182" fontId="32" fillId="21" borderId="34" xfId="14" applyNumberFormat="1" applyFont="1" applyFill="1" applyBorder="1" applyAlignment="1" applyProtection="1">
      <alignment horizontal="center" vertical="center"/>
      <protection hidden="1"/>
    </xf>
    <xf numFmtId="0" fontId="0" fillId="20" borderId="0" xfId="0" applyFill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182" fontId="6" fillId="0" borderId="1" xfId="62" applyNumberFormat="1" applyFont="1" applyBorder="1" applyAlignment="1" applyProtection="1">
      <alignment vertical="center"/>
    </xf>
    <xf numFmtId="182" fontId="2" fillId="0" borderId="1" xfId="62" applyNumberFormat="1" applyFont="1" applyBorder="1" applyAlignment="1" applyProtection="1">
      <alignment vertical="center"/>
    </xf>
    <xf numFmtId="182" fontId="2" fillId="0" borderId="0" xfId="62" applyNumberFormat="1" applyFont="1" applyBorder="1" applyAlignment="1" applyProtection="1">
      <alignment vertical="center"/>
    </xf>
    <xf numFmtId="195" fontId="20" fillId="0" borderId="1" xfId="0" applyNumberFormat="1" applyFont="1" applyBorder="1" applyAlignment="1">
      <alignment horizontal="center" vertical="center"/>
    </xf>
    <xf numFmtId="197" fontId="29" fillId="0" borderId="13" xfId="64" applyNumberFormat="1" applyFont="1" applyBorder="1" applyAlignment="1" applyProtection="1">
      <alignment horizontal="center" vertical="center"/>
    </xf>
    <xf numFmtId="197" fontId="29" fillId="0" borderId="27" xfId="64" applyNumberFormat="1" applyFont="1" applyBorder="1" applyAlignment="1" applyProtection="1">
      <alignment horizontal="center" vertical="center"/>
    </xf>
    <xf numFmtId="178" fontId="32" fillId="0" borderId="0" xfId="14" applyNumberFormat="1" applyFont="1" applyBorder="1" applyAlignment="1" applyProtection="1">
      <alignment horizontal="right" vertical="center"/>
      <protection hidden="1"/>
    </xf>
    <xf numFmtId="200" fontId="32" fillId="0" borderId="0" xfId="14" applyNumberFormat="1" applyFont="1" applyBorder="1" applyAlignment="1" applyProtection="1">
      <alignment horizontal="right" vertical="center"/>
      <protection hidden="1"/>
    </xf>
    <xf numFmtId="178" fontId="32" fillId="0" borderId="0" xfId="8" applyNumberFormat="1" applyFont="1" applyBorder="1" applyAlignment="1" applyProtection="1">
      <alignment horizontal="right" vertical="center"/>
      <protection hidden="1"/>
    </xf>
    <xf numFmtId="9" fontId="2" fillId="0" borderId="1" xfId="3" applyFont="1" applyBorder="1" applyAlignment="1" applyProtection="1">
      <alignment vertical="center"/>
    </xf>
    <xf numFmtId="182" fontId="32" fillId="12" borderId="34" xfId="14" applyNumberFormat="1" applyFont="1" applyFill="1" applyBorder="1" applyAlignment="1" applyProtection="1">
      <alignment horizontal="center" vertical="center"/>
      <protection hidden="1"/>
    </xf>
    <xf numFmtId="200" fontId="33" fillId="0" borderId="44" xfId="44" applyNumberFormat="1" applyFont="1" applyBorder="1" applyAlignment="1" applyProtection="1">
      <alignment horizontal="right" vertical="center"/>
      <protection hidden="1"/>
    </xf>
    <xf numFmtId="43" fontId="0" fillId="0" borderId="0" xfId="0" applyNumberFormat="1"/>
    <xf numFmtId="0" fontId="5" fillId="0" borderId="0" xfId="0" applyFont="1"/>
    <xf numFmtId="0" fontId="18" fillId="0" borderId="6" xfId="49" applyFont="1" applyBorder="1"/>
    <xf numFmtId="182" fontId="13" fillId="0" borderId="6" xfId="42" applyNumberFormat="1" applyFont="1" applyBorder="1" applyAlignment="1" applyProtection="1">
      <alignment horizontal="center" vertical="center"/>
    </xf>
    <xf numFmtId="182" fontId="15" fillId="0" borderId="6" xfId="55" applyNumberFormat="1" applyFont="1" applyBorder="1" applyAlignment="1">
      <alignment horizontal="center" vertical="center"/>
    </xf>
    <xf numFmtId="182" fontId="13" fillId="0" borderId="9" xfId="42" applyNumberFormat="1" applyFont="1" applyBorder="1" applyProtection="1"/>
    <xf numFmtId="0" fontId="15" fillId="0" borderId="5" xfId="55" applyFont="1" applyBorder="1" applyAlignment="1">
      <alignment horizontal="center"/>
    </xf>
    <xf numFmtId="0" fontId="15" fillId="0" borderId="7" xfId="55" applyFont="1" applyBorder="1" applyAlignment="1">
      <alignment horizontal="center" vertical="center" wrapText="1"/>
    </xf>
    <xf numFmtId="0" fontId="15" fillId="4" borderId="6" xfId="55" applyFont="1" applyFill="1" applyBorder="1" applyAlignment="1">
      <alignment horizontal="center" vertical="center" wrapText="1"/>
    </xf>
    <xf numFmtId="0" fontId="15" fillId="0" borderId="6" xfId="55" applyFont="1" applyBorder="1" applyAlignment="1">
      <alignment horizontal="center" vertical="center" wrapText="1"/>
    </xf>
    <xf numFmtId="0" fontId="16" fillId="0" borderId="6" xfId="55" applyFont="1" applyBorder="1" applyAlignment="1">
      <alignment horizontal="center" vertical="center" wrapText="1"/>
    </xf>
    <xf numFmtId="0" fontId="15" fillId="6" borderId="6" xfId="55" applyFont="1" applyFill="1" applyBorder="1" applyAlignment="1">
      <alignment horizontal="center" vertical="center" wrapText="1"/>
    </xf>
    <xf numFmtId="185" fontId="7" fillId="0" borderId="1" xfId="61" applyNumberFormat="1" applyFont="1" applyBorder="1" applyAlignment="1" applyProtection="1">
      <alignment horizontal="left" vertical="center"/>
    </xf>
    <xf numFmtId="185" fontId="2" fillId="0" borderId="1" xfId="61" applyNumberFormat="1" applyFont="1" applyBorder="1" applyAlignment="1" applyProtection="1">
      <alignment horizontal="left" vertical="center"/>
    </xf>
    <xf numFmtId="180" fontId="6" fillId="0" borderId="1" xfId="61" applyNumberFormat="1" applyFont="1" applyBorder="1" applyAlignment="1" applyProtection="1">
      <alignment horizontal="center" vertical="center" wrapText="1"/>
    </xf>
    <xf numFmtId="180" fontId="6" fillId="2" borderId="1" xfId="61" applyNumberFormat="1" applyFont="1" applyFill="1" applyBorder="1" applyAlignment="1" applyProtection="1">
      <alignment horizontal="center" vertical="center" wrapText="1"/>
    </xf>
    <xf numFmtId="180" fontId="2" fillId="0" borderId="1" xfId="61" applyNumberFormat="1" applyFont="1" applyBorder="1" applyAlignment="1" applyProtection="1">
      <alignment horizontal="left" vertical="center" wrapText="1"/>
    </xf>
    <xf numFmtId="49" fontId="2" fillId="18" borderId="1" xfId="61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185" fontId="6" fillId="0" borderId="1" xfId="61" applyNumberFormat="1" applyFont="1" applyBorder="1" applyAlignment="1" applyProtection="1">
      <alignment horizontal="center" vertical="center"/>
    </xf>
    <xf numFmtId="182" fontId="6" fillId="0" borderId="1" xfId="62" applyNumberFormat="1" applyFont="1" applyBorder="1" applyAlignment="1" applyProtection="1">
      <alignment vertical="center"/>
    </xf>
    <xf numFmtId="0" fontId="20" fillId="0" borderId="23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62" fillId="19" borderId="1" xfId="0" applyFont="1" applyFill="1" applyBorder="1" applyAlignment="1">
      <alignment horizontal="center" vertical="center"/>
    </xf>
    <xf numFmtId="0" fontId="63" fillId="0" borderId="23" xfId="3" applyNumberFormat="1" applyFont="1" applyBorder="1" applyAlignment="1" applyProtection="1">
      <alignment horizontal="center" vertical="center"/>
    </xf>
    <xf numFmtId="0" fontId="63" fillId="0" borderId="24" xfId="3" applyNumberFormat="1" applyFont="1" applyBorder="1" applyAlignment="1" applyProtection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6" xfId="0" applyFont="1" applyBorder="1"/>
    <xf numFmtId="0" fontId="21" fillId="0" borderId="13" xfId="0" applyFont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22" fillId="0" borderId="6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/>
    </xf>
    <xf numFmtId="0" fontId="25" fillId="0" borderId="6" xfId="45" applyFont="1" applyBorder="1" applyAlignment="1">
      <alignment horizontal="center" vertical="center"/>
    </xf>
    <xf numFmtId="0" fontId="24" fillId="0" borderId="5" xfId="45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 wrapText="1"/>
    </xf>
    <xf numFmtId="176" fontId="28" fillId="0" borderId="25" xfId="2" applyNumberFormat="1" applyFont="1" applyBorder="1" applyAlignment="1" applyProtection="1">
      <alignment horizontal="left" vertical="center"/>
    </xf>
    <xf numFmtId="0" fontId="20" fillId="0" borderId="18" xfId="0" applyFont="1" applyBorder="1" applyAlignment="1">
      <alignment horizontal="left" vertical="center" wrapText="1"/>
    </xf>
    <xf numFmtId="9" fontId="15" fillId="0" borderId="101" xfId="3" applyFont="1" applyBorder="1" applyAlignment="1" applyProtection="1">
      <alignment horizontal="left" vertical="center"/>
    </xf>
    <xf numFmtId="165" fontId="62" fillId="19" borderId="25" xfId="1" applyFont="1" applyFill="1" applyBorder="1" applyAlignment="1" applyProtection="1">
      <alignment horizontal="center" vertical="center"/>
    </xf>
    <xf numFmtId="165" fontId="62" fillId="19" borderId="102" xfId="1" applyFont="1" applyFill="1" applyBorder="1" applyAlignment="1" applyProtection="1">
      <alignment horizontal="center" vertical="center"/>
    </xf>
    <xf numFmtId="165" fontId="62" fillId="19" borderId="14" xfId="1" applyFont="1" applyFill="1" applyBorder="1" applyAlignment="1" applyProtection="1">
      <alignment horizontal="center" vertical="center"/>
    </xf>
    <xf numFmtId="0" fontId="62" fillId="0" borderId="23" xfId="0" applyFont="1" applyBorder="1" applyAlignment="1">
      <alignment horizontal="left" vertical="center"/>
    </xf>
    <xf numFmtId="0" fontId="62" fillId="0" borderId="40" xfId="0" applyFont="1" applyBorder="1" applyAlignment="1">
      <alignment horizontal="left" vertical="center"/>
    </xf>
    <xf numFmtId="0" fontId="62" fillId="0" borderId="24" xfId="0" applyFont="1" applyBorder="1" applyAlignment="1">
      <alignment horizontal="left" vertical="center"/>
    </xf>
    <xf numFmtId="0" fontId="63" fillId="0" borderId="23" xfId="0" applyFont="1" applyBorder="1" applyAlignment="1">
      <alignment horizontal="left" vertical="center"/>
    </xf>
    <xf numFmtId="0" fontId="63" fillId="0" borderId="40" xfId="0" applyFont="1" applyBorder="1" applyAlignment="1">
      <alignment horizontal="left" vertical="center"/>
    </xf>
    <xf numFmtId="0" fontId="63" fillId="0" borderId="24" xfId="0" applyFont="1" applyBorder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9" fontId="15" fillId="0" borderId="33" xfId="3" applyFont="1" applyBorder="1" applyAlignment="1" applyProtection="1">
      <alignment horizontal="left" vertical="center"/>
    </xf>
    <xf numFmtId="9" fontId="15" fillId="0" borderId="1" xfId="3" applyFont="1" applyBorder="1" applyAlignment="1" applyProtection="1">
      <alignment horizontal="left" vertical="center"/>
    </xf>
    <xf numFmtId="0" fontId="13" fillId="0" borderId="0" xfId="0" applyFont="1" applyAlignment="1">
      <alignment horizontal="left" vertical="center" wrapText="1"/>
    </xf>
    <xf numFmtId="176" fontId="28" fillId="0" borderId="26" xfId="0" applyNumberFormat="1" applyFont="1" applyBorder="1" applyAlignment="1">
      <alignment horizontal="left" vertical="center"/>
    </xf>
    <xf numFmtId="176" fontId="23" fillId="0" borderId="26" xfId="0" applyNumberFormat="1" applyFont="1" applyBorder="1" applyAlignment="1">
      <alignment horizontal="left" vertical="center"/>
    </xf>
    <xf numFmtId="176" fontId="28" fillId="0" borderId="28" xfId="0" applyNumberFormat="1" applyFont="1" applyBorder="1" applyAlignment="1">
      <alignment horizontal="center" vertical="center"/>
    </xf>
    <xf numFmtId="176" fontId="28" fillId="0" borderId="7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95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32" fillId="0" borderId="30" xfId="57" applyFont="1" applyBorder="1" applyAlignment="1">
      <alignment horizontal="center" vertical="center"/>
    </xf>
    <xf numFmtId="179" fontId="32" fillId="12" borderId="1" xfId="57" applyNumberFormat="1" applyFont="1" applyFill="1" applyBorder="1" applyAlignment="1">
      <alignment horizontal="left" vertical="center" wrapText="1"/>
    </xf>
    <xf numFmtId="0" fontId="33" fillId="0" borderId="39" xfId="57" applyFont="1" applyBorder="1" applyAlignment="1">
      <alignment horizontal="left" vertical="center"/>
    </xf>
    <xf numFmtId="0" fontId="33" fillId="0" borderId="39" xfId="57" applyFont="1" applyBorder="1" applyAlignment="1">
      <alignment horizontal="left" vertical="center" wrapText="1"/>
    </xf>
    <xf numFmtId="0" fontId="30" fillId="11" borderId="6" xfId="57" applyFont="1" applyFill="1" applyBorder="1" applyAlignment="1">
      <alignment horizontal="center" vertical="center"/>
    </xf>
    <xf numFmtId="0" fontId="33" fillId="10" borderId="37" xfId="43" applyFont="1" applyFill="1" applyBorder="1" applyAlignment="1">
      <alignment horizontal="left" vertical="center" wrapText="1"/>
    </xf>
    <xf numFmtId="0" fontId="33" fillId="0" borderId="37" xfId="57" applyFont="1" applyBorder="1" applyAlignment="1">
      <alignment horizontal="left" vertical="center" wrapText="1"/>
    </xf>
    <xf numFmtId="179" fontId="33" fillId="0" borderId="39" xfId="44" applyNumberFormat="1" applyFont="1" applyBorder="1" applyAlignment="1">
      <alignment horizontal="left" vertical="center" wrapText="1"/>
    </xf>
    <xf numFmtId="0" fontId="33" fillId="0" borderId="39" xfId="44" applyFont="1" applyBorder="1" applyAlignment="1">
      <alignment horizontal="left" vertical="center"/>
    </xf>
    <xf numFmtId="0" fontId="33" fillId="0" borderId="37" xfId="44" applyFont="1" applyBorder="1" applyAlignment="1">
      <alignment horizontal="left" vertical="center"/>
    </xf>
    <xf numFmtId="0" fontId="33" fillId="0" borderId="46" xfId="57" applyFont="1" applyBorder="1" applyAlignment="1">
      <alignment horizontal="left" vertical="center"/>
    </xf>
    <xf numFmtId="0" fontId="32" fillId="0" borderId="30" xfId="44" applyFont="1" applyBorder="1" applyAlignment="1">
      <alignment horizontal="center" vertical="center" wrapText="1"/>
    </xf>
    <xf numFmtId="179" fontId="32" fillId="12" borderId="1" xfId="44" applyNumberFormat="1" applyFont="1" applyFill="1" applyBorder="1" applyAlignment="1">
      <alignment horizontal="left" vertical="center" wrapText="1"/>
    </xf>
    <xf numFmtId="0" fontId="33" fillId="0" borderId="39" xfId="44" applyFont="1" applyBorder="1" applyAlignment="1">
      <alignment horizontal="left" vertical="center" wrapText="1"/>
    </xf>
    <xf numFmtId="179" fontId="33" fillId="0" borderId="37" xfId="44" applyNumberFormat="1" applyFont="1" applyBorder="1" applyAlignment="1">
      <alignment horizontal="left" vertical="center" wrapText="1"/>
    </xf>
    <xf numFmtId="0" fontId="30" fillId="11" borderId="16" xfId="57" applyFont="1" applyFill="1" applyBorder="1" applyAlignment="1">
      <alignment horizontal="center" vertical="center"/>
    </xf>
    <xf numFmtId="0" fontId="30" fillId="11" borderId="95" xfId="57" applyFont="1" applyFill="1" applyBorder="1" applyAlignment="1">
      <alignment horizontal="center" vertical="center"/>
    </xf>
    <xf numFmtId="0" fontId="30" fillId="11" borderId="8" xfId="57" applyFont="1" applyFill="1" applyBorder="1" applyAlignment="1">
      <alignment horizontal="center" vertical="center"/>
    </xf>
    <xf numFmtId="0" fontId="32" fillId="12" borderId="1" xfId="57" applyFont="1" applyFill="1" applyBorder="1" applyAlignment="1">
      <alignment horizontal="left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12" borderId="1" xfId="57" applyFont="1" applyFill="1" applyBorder="1" applyAlignment="1">
      <alignment horizontal="left" vertical="center"/>
    </xf>
    <xf numFmtId="0" fontId="9" fillId="9" borderId="1" xfId="56" applyFont="1" applyFill="1" applyBorder="1" applyAlignment="1">
      <alignment horizontal="center"/>
    </xf>
    <xf numFmtId="0" fontId="38" fillId="0" borderId="96" xfId="55" applyFont="1" applyBorder="1" applyAlignment="1">
      <alignment horizontal="center" vertical="center" wrapText="1"/>
    </xf>
    <xf numFmtId="0" fontId="38" fillId="0" borderId="51" xfId="55" applyFont="1" applyBorder="1" applyAlignment="1">
      <alignment horizontal="center" vertical="center" wrapText="1"/>
    </xf>
    <xf numFmtId="0" fontId="38" fillId="0" borderId="97" xfId="55" applyFont="1" applyBorder="1" applyAlignment="1">
      <alignment horizontal="center" vertical="center" wrapText="1"/>
    </xf>
    <xf numFmtId="0" fontId="35" fillId="0" borderId="52" xfId="47" applyFont="1" applyBorder="1" applyAlignment="1">
      <alignment horizontal="center" vertical="center" wrapText="1"/>
    </xf>
    <xf numFmtId="0" fontId="35" fillId="0" borderId="53" xfId="47" applyFont="1" applyBorder="1" applyAlignment="1">
      <alignment horizontal="center" vertical="center" wrapText="1"/>
    </xf>
    <xf numFmtId="4" fontId="35" fillId="0" borderId="53" xfId="47" applyNumberFormat="1" applyFont="1" applyBorder="1" applyAlignment="1">
      <alignment horizontal="center" vertical="center" wrapText="1"/>
    </xf>
    <xf numFmtId="4" fontId="45" fillId="0" borderId="36" xfId="47" applyNumberFormat="1" applyFont="1" applyBorder="1" applyAlignment="1">
      <alignment horizontal="left" vertical="center" wrapText="1"/>
    </xf>
    <xf numFmtId="0" fontId="5" fillId="0" borderId="36" xfId="0" applyFont="1" applyBorder="1"/>
    <xf numFmtId="0" fontId="39" fillId="0" borderId="47" xfId="47" applyFont="1" applyBorder="1" applyAlignment="1">
      <alignment horizontal="center" vertical="center" wrapText="1"/>
    </xf>
    <xf numFmtId="0" fontId="41" fillId="0" borderId="47" xfId="47" applyFont="1" applyBorder="1" applyAlignment="1">
      <alignment horizontal="center" vertical="center" wrapText="1"/>
    </xf>
    <xf numFmtId="0" fontId="42" fillId="0" borderId="47" xfId="47" applyFont="1" applyBorder="1" applyAlignment="1">
      <alignment horizontal="center" vertical="center" wrapText="1"/>
    </xf>
    <xf numFmtId="180" fontId="38" fillId="0" borderId="6" xfId="17" applyNumberFormat="1" applyFont="1" applyBorder="1" applyAlignment="1" applyProtection="1">
      <alignment horizontal="center" vertical="center" wrapText="1"/>
    </xf>
    <xf numFmtId="0" fontId="35" fillId="0" borderId="48" xfId="47" applyFont="1" applyBorder="1" applyAlignment="1">
      <alignment horizontal="center" vertical="center" wrapText="1"/>
    </xf>
    <xf numFmtId="4" fontId="45" fillId="0" borderId="67" xfId="47" applyNumberFormat="1" applyFont="1" applyBorder="1" applyAlignment="1">
      <alignment horizontal="left" vertical="center" wrapText="1"/>
    </xf>
    <xf numFmtId="179" fontId="35" fillId="0" borderId="96" xfId="47" applyNumberFormat="1" applyFont="1" applyBorder="1" applyAlignment="1">
      <alignment horizontal="center" vertical="center" wrapText="1"/>
    </xf>
    <xf numFmtId="179" fontId="35" fillId="0" borderId="51" xfId="47" applyNumberFormat="1" applyFont="1" applyBorder="1" applyAlignment="1">
      <alignment horizontal="center" vertical="center" wrapText="1"/>
    </xf>
    <xf numFmtId="0" fontId="35" fillId="0" borderId="96" xfId="47" applyFont="1" applyBorder="1" applyAlignment="1">
      <alignment horizontal="center" vertical="center" wrapText="1"/>
    </xf>
    <xf numFmtId="0" fontId="35" fillId="0" borderId="51" xfId="47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49" fillId="0" borderId="71" xfId="45" applyFont="1" applyBorder="1" applyAlignment="1">
      <alignment horizontal="center" vertical="center"/>
    </xf>
    <xf numFmtId="0" fontId="50" fillId="0" borderId="5" xfId="45" applyFont="1" applyBorder="1" applyAlignment="1">
      <alignment horizontal="center" vertical="center" wrapText="1"/>
    </xf>
    <xf numFmtId="0" fontId="50" fillId="0" borderId="69" xfId="45" applyFont="1" applyBorder="1" applyAlignment="1">
      <alignment horizontal="center" vertical="center"/>
    </xf>
    <xf numFmtId="0" fontId="51" fillId="0" borderId="6" xfId="45" applyFont="1" applyBorder="1" applyAlignment="1">
      <alignment horizontal="center"/>
    </xf>
    <xf numFmtId="0" fontId="51" fillId="0" borderId="8" xfId="45" applyFont="1" applyBorder="1" applyAlignment="1">
      <alignment horizontal="center"/>
    </xf>
    <xf numFmtId="0" fontId="52" fillId="0" borderId="72" xfId="45" applyFont="1" applyBorder="1" applyAlignment="1">
      <alignment horizontal="center" vertical="center" wrapText="1"/>
    </xf>
    <xf numFmtId="0" fontId="52" fillId="0" borderId="73" xfId="45" applyFont="1" applyBorder="1" applyAlignment="1">
      <alignment horizontal="center" vertical="center" wrapText="1"/>
    </xf>
    <xf numFmtId="0" fontId="52" fillId="0" borderId="74" xfId="45" applyFont="1" applyBorder="1" applyAlignment="1">
      <alignment horizontal="center" vertical="center" wrapText="1"/>
    </xf>
    <xf numFmtId="0" fontId="53" fillId="0" borderId="13" xfId="45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6" fillId="0" borderId="15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 vertical="center"/>
    </xf>
    <xf numFmtId="0" fontId="56" fillId="0" borderId="87" xfId="0" applyFont="1" applyBorder="1" applyAlignment="1">
      <alignment horizontal="center" vertical="center" wrapText="1"/>
    </xf>
    <xf numFmtId="0" fontId="53" fillId="0" borderId="8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6" xfId="0" applyBorder="1" applyAlignment="1">
      <alignment horizontal="center"/>
    </xf>
    <xf numFmtId="0" fontId="16" fillId="0" borderId="88" xfId="0" applyFont="1" applyBorder="1" applyAlignment="1">
      <alignment horizontal="center" vertical="center" wrapText="1"/>
    </xf>
    <xf numFmtId="9" fontId="15" fillId="0" borderId="23" xfId="3" applyNumberFormat="1" applyFont="1" applyBorder="1" applyAlignment="1" applyProtection="1">
      <alignment horizontal="center" vertical="center"/>
    </xf>
    <xf numFmtId="43" fontId="0" fillId="0" borderId="0" xfId="0" applyNumberFormat="1" applyAlignment="1">
      <alignment vertical="center"/>
    </xf>
  </cellXfs>
  <cellStyles count="65">
    <cellStyle name="Euro" xfId="5" xr:uid="{00000000-0005-0000-0000-000000000000}"/>
    <cellStyle name="Excel Built-in Comma [0] 1" xfId="61" xr:uid="{00000000-0005-0000-0000-000001000000}"/>
    <cellStyle name="Excel Built-in Comma [0] 2" xfId="64" xr:uid="{00000000-0005-0000-0000-000002000000}"/>
    <cellStyle name="Excel Built-in Currency [0] 1" xfId="63" xr:uid="{00000000-0005-0000-0000-000003000000}"/>
    <cellStyle name="Excel Built-in Currency [0] 2" xfId="62" xr:uid="{00000000-0005-0000-0000-000004000000}"/>
    <cellStyle name="Hipervínculo" xfId="4" builtinId="8"/>
    <cellStyle name="Millares" xfId="1" builtinId="3"/>
    <cellStyle name="Millares [0] 2" xfId="15" xr:uid="{00000000-0005-0000-0000-000007000000}"/>
    <cellStyle name="Millares [0] 2 2" xfId="16" xr:uid="{00000000-0005-0000-0000-000008000000}"/>
    <cellStyle name="Millares [0] 3" xfId="17" xr:uid="{00000000-0005-0000-0000-000009000000}"/>
    <cellStyle name="Millares 2" xfId="6" xr:uid="{00000000-0005-0000-0000-00000A000000}"/>
    <cellStyle name="Millares 2 2" xfId="7" xr:uid="{00000000-0005-0000-0000-00000B000000}"/>
    <cellStyle name="Millares 2 3 2 2" xfId="8" xr:uid="{00000000-0005-0000-0000-00000C000000}"/>
    <cellStyle name="Millares 2_APUS Y CUADRO DE VALORES UNITARIOS intricon s.a." xfId="9" xr:uid="{00000000-0005-0000-0000-00000D000000}"/>
    <cellStyle name="Millares 3" xfId="10" xr:uid="{00000000-0005-0000-0000-00000E000000}"/>
    <cellStyle name="Millares 4" xfId="11" xr:uid="{00000000-0005-0000-0000-00000F000000}"/>
    <cellStyle name="Millares 5" xfId="12" xr:uid="{00000000-0005-0000-0000-000010000000}"/>
    <cellStyle name="Millares 5 2 2" xfId="13" xr:uid="{00000000-0005-0000-0000-000011000000}"/>
    <cellStyle name="Millares 6 2" xfId="14" xr:uid="{00000000-0005-0000-0000-000012000000}"/>
    <cellStyle name="Moneda" xfId="2" builtinId="4"/>
    <cellStyle name="Moneda [0] 2" xfId="40" xr:uid="{00000000-0005-0000-0000-000014000000}"/>
    <cellStyle name="Moneda [0] 2 2 2 2" xfId="41" xr:uid="{00000000-0005-0000-0000-000015000000}"/>
    <cellStyle name="Moneda [0] 3" xfId="42" xr:uid="{00000000-0005-0000-0000-000016000000}"/>
    <cellStyle name="Moneda 2" xfId="18" xr:uid="{00000000-0005-0000-0000-000017000000}"/>
    <cellStyle name="Moneda 2 10" xfId="19" xr:uid="{00000000-0005-0000-0000-000018000000}"/>
    <cellStyle name="Moneda 2 11" xfId="20" xr:uid="{00000000-0005-0000-0000-000019000000}"/>
    <cellStyle name="Moneda 2 12" xfId="21" xr:uid="{00000000-0005-0000-0000-00001A000000}"/>
    <cellStyle name="Moneda 2 13" xfId="22" xr:uid="{00000000-0005-0000-0000-00001B000000}"/>
    <cellStyle name="Moneda 2 14" xfId="23" xr:uid="{00000000-0005-0000-0000-00001C000000}"/>
    <cellStyle name="Moneda 2 15" xfId="24" xr:uid="{00000000-0005-0000-0000-00001D000000}"/>
    <cellStyle name="Moneda 2 16" xfId="25" xr:uid="{00000000-0005-0000-0000-00001E000000}"/>
    <cellStyle name="Moneda 2 2" xfId="26" xr:uid="{00000000-0005-0000-0000-00001F000000}"/>
    <cellStyle name="Moneda 2 3" xfId="27" xr:uid="{00000000-0005-0000-0000-000020000000}"/>
    <cellStyle name="Moneda 2 4" xfId="28" xr:uid="{00000000-0005-0000-0000-000021000000}"/>
    <cellStyle name="Moneda 2 5" xfId="29" xr:uid="{00000000-0005-0000-0000-000022000000}"/>
    <cellStyle name="Moneda 2 6" xfId="30" xr:uid="{00000000-0005-0000-0000-000023000000}"/>
    <cellStyle name="Moneda 2 7" xfId="31" xr:uid="{00000000-0005-0000-0000-000024000000}"/>
    <cellStyle name="Moneda 2 8" xfId="32" xr:uid="{00000000-0005-0000-0000-000025000000}"/>
    <cellStyle name="Moneda 2 9" xfId="33" xr:uid="{00000000-0005-0000-0000-000026000000}"/>
    <cellStyle name="Moneda 3" xfId="34" xr:uid="{00000000-0005-0000-0000-000027000000}"/>
    <cellStyle name="Moneda 4" xfId="35" xr:uid="{00000000-0005-0000-0000-000028000000}"/>
    <cellStyle name="Moneda 4 2" xfId="36" xr:uid="{00000000-0005-0000-0000-000029000000}"/>
    <cellStyle name="Moneda 5" xfId="37" xr:uid="{00000000-0005-0000-0000-00002A000000}"/>
    <cellStyle name="Moneda 6" xfId="38" xr:uid="{00000000-0005-0000-0000-00002B000000}"/>
    <cellStyle name="Moneda 7" xfId="39" xr:uid="{00000000-0005-0000-0000-00002C000000}"/>
    <cellStyle name="Normal" xfId="0" builtinId="0"/>
    <cellStyle name="Normal 10 2 2" xfId="43" xr:uid="{00000000-0005-0000-0000-00002E000000}"/>
    <cellStyle name="Normal 11 2" xfId="44" xr:uid="{00000000-0005-0000-0000-00002F000000}"/>
    <cellStyle name="Normal 2" xfId="45" xr:uid="{00000000-0005-0000-0000-000030000000}"/>
    <cellStyle name="Normal 2 2" xfId="46" xr:uid="{00000000-0005-0000-0000-000031000000}"/>
    <cellStyle name="Normal 2 3" xfId="47" xr:uid="{00000000-0005-0000-0000-000032000000}"/>
    <cellStyle name="Normal 2 3 2 2" xfId="48" xr:uid="{00000000-0005-0000-0000-000033000000}"/>
    <cellStyle name="Normal 3" xfId="49" xr:uid="{00000000-0005-0000-0000-000034000000}"/>
    <cellStyle name="Normal 3 2" xfId="50" xr:uid="{00000000-0005-0000-0000-000035000000}"/>
    <cellStyle name="Normal 3 3" xfId="51" xr:uid="{00000000-0005-0000-0000-000036000000}"/>
    <cellStyle name="Normal 3 4" xfId="52" xr:uid="{00000000-0005-0000-0000-000037000000}"/>
    <cellStyle name="Normal 4" xfId="53" xr:uid="{00000000-0005-0000-0000-000038000000}"/>
    <cellStyle name="Normal 4 2" xfId="54" xr:uid="{00000000-0005-0000-0000-000039000000}"/>
    <cellStyle name="Normal 5" xfId="55" xr:uid="{00000000-0005-0000-0000-00003A000000}"/>
    <cellStyle name="Normal 6" xfId="56" xr:uid="{00000000-0005-0000-0000-00003B000000}"/>
    <cellStyle name="Normal 6 2 2 2" xfId="57" xr:uid="{00000000-0005-0000-0000-00003C000000}"/>
    <cellStyle name="Normal_NECESIDADES DE LAS VIAS" xfId="58" xr:uid="{00000000-0005-0000-0000-00003D000000}"/>
    <cellStyle name="Porcentaje" xfId="3" builtinId="5"/>
    <cellStyle name="Porcentaje 2" xfId="59" xr:uid="{00000000-0005-0000-0000-00003F000000}"/>
    <cellStyle name="Porcentual 2" xfId="60" xr:uid="{00000000-0005-0000-0000-00004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2F2F2"/>
      <rgbColor rgb="FFDAE3F3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EDEDED"/>
      <rgbColor rgb="FFE2F0D9"/>
      <rgbColor rgb="FFFBE5D6"/>
      <rgbColor rgb="FFC5E0B4"/>
      <rgbColor rgb="FFE7E6E6"/>
      <rgbColor rgb="FFCC99FF"/>
      <rgbColor rgb="FFFCD5B5"/>
      <rgbColor rgb="FF3366FF"/>
      <rgbColor rgb="FF33CCCC"/>
      <rgbColor rgb="FF92D05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F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33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4.jpeg"/><Relationship Id="rId1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5.jpeg"/><Relationship Id="rId1" Type="http://schemas.openxmlformats.org/officeDocument/2006/relationships/image" Target="../media/image6.png"/><Relationship Id="rId4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5.jpeg"/><Relationship Id="rId1" Type="http://schemas.openxmlformats.org/officeDocument/2006/relationships/image" Target="../media/image6.png"/><Relationship Id="rId4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6.png"/><Relationship Id="rId1" Type="http://schemas.openxmlformats.org/officeDocument/2006/relationships/image" Target="../media/image5.jpeg"/><Relationship Id="rId4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12.png"/><Relationship Id="rId5" Type="http://schemas.openxmlformats.org/officeDocument/2006/relationships/image" Target="../media/image3.jpeg"/><Relationship Id="rId4" Type="http://schemas.openxmlformats.org/officeDocument/2006/relationships/image" Target="../media/image7.jpe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13" Type="http://schemas.openxmlformats.org/officeDocument/2006/relationships/image" Target="../media/image25.png"/><Relationship Id="rId18" Type="http://schemas.openxmlformats.org/officeDocument/2006/relationships/image" Target="../media/image30.png"/><Relationship Id="rId3" Type="http://schemas.openxmlformats.org/officeDocument/2006/relationships/image" Target="../media/image15.png"/><Relationship Id="rId21" Type="http://schemas.openxmlformats.org/officeDocument/2006/relationships/image" Target="../media/image12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17" Type="http://schemas.openxmlformats.org/officeDocument/2006/relationships/image" Target="../media/image29.png"/><Relationship Id="rId2" Type="http://schemas.openxmlformats.org/officeDocument/2006/relationships/image" Target="../media/image14.png"/><Relationship Id="rId16" Type="http://schemas.openxmlformats.org/officeDocument/2006/relationships/image" Target="../media/image28.png"/><Relationship Id="rId20" Type="http://schemas.openxmlformats.org/officeDocument/2006/relationships/image" Target="../media/image5.jpe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5" Type="http://schemas.openxmlformats.org/officeDocument/2006/relationships/image" Target="../media/image27.png"/><Relationship Id="rId23" Type="http://schemas.openxmlformats.org/officeDocument/2006/relationships/image" Target="../media/image3.jpeg"/><Relationship Id="rId10" Type="http://schemas.openxmlformats.org/officeDocument/2006/relationships/image" Target="../media/image22.png"/><Relationship Id="rId19" Type="http://schemas.openxmlformats.org/officeDocument/2006/relationships/image" Target="../media/image31.png"/><Relationship Id="rId4" Type="http://schemas.openxmlformats.org/officeDocument/2006/relationships/image" Target="../media/image16.png"/><Relationship Id="rId9" Type="http://schemas.openxmlformats.org/officeDocument/2006/relationships/image" Target="../media/image21.png"/><Relationship Id="rId14" Type="http://schemas.openxmlformats.org/officeDocument/2006/relationships/image" Target="../media/image26.png"/><Relationship Id="rId22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13" Type="http://schemas.openxmlformats.org/officeDocument/2006/relationships/image" Target="../media/image25.png"/><Relationship Id="rId18" Type="http://schemas.openxmlformats.org/officeDocument/2006/relationships/image" Target="../media/image30.png"/><Relationship Id="rId3" Type="http://schemas.openxmlformats.org/officeDocument/2006/relationships/image" Target="../media/image15.png"/><Relationship Id="rId21" Type="http://schemas.openxmlformats.org/officeDocument/2006/relationships/image" Target="../media/image12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17" Type="http://schemas.openxmlformats.org/officeDocument/2006/relationships/image" Target="../media/image29.png"/><Relationship Id="rId2" Type="http://schemas.openxmlformats.org/officeDocument/2006/relationships/image" Target="../media/image14.png"/><Relationship Id="rId16" Type="http://schemas.openxmlformats.org/officeDocument/2006/relationships/image" Target="../media/image28.png"/><Relationship Id="rId20" Type="http://schemas.openxmlformats.org/officeDocument/2006/relationships/image" Target="../media/image5.jpe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5" Type="http://schemas.openxmlformats.org/officeDocument/2006/relationships/image" Target="../media/image27.png"/><Relationship Id="rId23" Type="http://schemas.openxmlformats.org/officeDocument/2006/relationships/image" Target="../media/image3.jpeg"/><Relationship Id="rId10" Type="http://schemas.openxmlformats.org/officeDocument/2006/relationships/image" Target="../media/image22.png"/><Relationship Id="rId19" Type="http://schemas.openxmlformats.org/officeDocument/2006/relationships/image" Target="../media/image31.png"/><Relationship Id="rId4" Type="http://schemas.openxmlformats.org/officeDocument/2006/relationships/image" Target="../media/image16.png"/><Relationship Id="rId9" Type="http://schemas.openxmlformats.org/officeDocument/2006/relationships/image" Target="../media/image21.png"/><Relationship Id="rId14" Type="http://schemas.openxmlformats.org/officeDocument/2006/relationships/image" Target="../media/image26.png"/><Relationship Id="rId22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741948</xdr:colOff>
      <xdr:row>27</xdr:row>
      <xdr:rowOff>90237</xdr:rowOff>
    </xdr:from>
    <xdr:ext cx="992606" cy="1074661"/>
    <xdr:pic>
      <xdr:nvPicPr>
        <xdr:cNvPr id="4" name="Gráfic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02369" y="5283869"/>
          <a:ext cx="992606" cy="1074661"/>
        </a:xfrm>
        <a:prstGeom prst="rect">
          <a:avLst/>
        </a:prstGeom>
      </xdr:spPr>
    </xdr:pic>
    <xdr:clientData/>
  </xdr:oneCellAnchor>
  <xdr:twoCellAnchor editAs="oneCell">
    <xdr:from>
      <xdr:col>1</xdr:col>
      <xdr:colOff>2697080</xdr:colOff>
      <xdr:row>27</xdr:row>
      <xdr:rowOff>50129</xdr:rowOff>
    </xdr:from>
    <xdr:to>
      <xdr:col>3</xdr:col>
      <xdr:colOff>255129</xdr:colOff>
      <xdr:row>30</xdr:row>
      <xdr:rowOff>101417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1" y="5243761"/>
          <a:ext cx="1999707" cy="5024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1443792</xdr:colOff>
      <xdr:row>4</xdr:row>
      <xdr:rowOff>45989</xdr:rowOff>
    </xdr:from>
    <xdr:ext cx="992606" cy="1074661"/>
    <xdr:pic>
      <xdr:nvPicPr>
        <xdr:cNvPr id="2" name="Gráfico 1">
          <a:extLst>
            <a:ext uri="{FF2B5EF4-FFF2-40B4-BE49-F238E27FC236}">
              <a16:creationId xmlns:a16="http://schemas.microsoft.com/office/drawing/2014/main" id="{49DE441A-CCFD-401E-AD23-31BA7435B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26392" y="934989"/>
          <a:ext cx="992606" cy="1074661"/>
        </a:xfrm>
        <a:prstGeom prst="rect">
          <a:avLst/>
        </a:prstGeom>
      </xdr:spPr>
    </xdr:pic>
    <xdr:clientData/>
  </xdr:oneCellAnchor>
  <xdr:twoCellAnchor editAs="oneCell">
    <xdr:from>
      <xdr:col>1</xdr:col>
      <xdr:colOff>110291</xdr:colOff>
      <xdr:row>27</xdr:row>
      <xdr:rowOff>175306</xdr:rowOff>
    </xdr:from>
    <xdr:to>
      <xdr:col>2</xdr:col>
      <xdr:colOff>2626895</xdr:colOff>
      <xdr:row>31</xdr:row>
      <xdr:rowOff>136358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0F1979-B3AC-4AA9-B63C-FFCAF7877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891" y="11846606"/>
          <a:ext cx="2897604" cy="6976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202405</xdr:colOff>
      <xdr:row>0</xdr:row>
      <xdr:rowOff>190500</xdr:rowOff>
    </xdr:from>
    <xdr:ext cx="2464594" cy="2668333"/>
    <xdr:pic>
      <xdr:nvPicPr>
        <xdr:cNvPr id="2" name="Gráfico 1">
          <a:extLst>
            <a:ext uri="{FF2B5EF4-FFF2-40B4-BE49-F238E27FC236}">
              <a16:creationId xmlns:a16="http://schemas.microsoft.com/office/drawing/2014/main" id="{AFBC1DBA-BE06-4A12-8DBA-C5BF4DAEA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02405" y="190500"/>
          <a:ext cx="2464594" cy="2668333"/>
        </a:xfrm>
        <a:prstGeom prst="rect">
          <a:avLst/>
        </a:prstGeom>
      </xdr:spPr>
    </xdr:pic>
    <xdr:clientData/>
  </xdr:oneCellAnchor>
  <xdr:twoCellAnchor editAs="oneCell">
    <xdr:from>
      <xdr:col>1</xdr:col>
      <xdr:colOff>11906</xdr:colOff>
      <xdr:row>52</xdr:row>
      <xdr:rowOff>83344</xdr:rowOff>
    </xdr:from>
    <xdr:to>
      <xdr:col>2</xdr:col>
      <xdr:colOff>615365</xdr:colOff>
      <xdr:row>52</xdr:row>
      <xdr:rowOff>806396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D24D2C-656C-4AE8-9A3C-C73D52C08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156" y="11468894"/>
          <a:ext cx="2991059" cy="7230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20052</xdr:colOff>
      <xdr:row>307</xdr:row>
      <xdr:rowOff>20053</xdr:rowOff>
    </xdr:from>
    <xdr:to>
      <xdr:col>3</xdr:col>
      <xdr:colOff>511341</xdr:colOff>
      <xdr:row>310</xdr:row>
      <xdr:rowOff>171606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2" y="64972616"/>
          <a:ext cx="2991602" cy="6992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180474</xdr:colOff>
      <xdr:row>15</xdr:row>
      <xdr:rowOff>40105</xdr:rowOff>
    </xdr:from>
    <xdr:to>
      <xdr:col>3</xdr:col>
      <xdr:colOff>70184</xdr:colOff>
      <xdr:row>19</xdr:row>
      <xdr:rowOff>1157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53" y="2917658"/>
          <a:ext cx="2877552" cy="7230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671763</xdr:colOff>
      <xdr:row>18</xdr:row>
      <xdr:rowOff>20052</xdr:rowOff>
    </xdr:from>
    <xdr:to>
      <xdr:col>6</xdr:col>
      <xdr:colOff>892342</xdr:colOff>
      <xdr:row>26</xdr:row>
      <xdr:rowOff>160421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64895" y="3980447"/>
          <a:ext cx="3268579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711869</xdr:colOff>
      <xdr:row>20</xdr:row>
      <xdr:rowOff>20052</xdr:rowOff>
    </xdr:from>
    <xdr:to>
      <xdr:col>11</xdr:col>
      <xdr:colOff>1985210</xdr:colOff>
      <xdr:row>23</xdr:row>
      <xdr:rowOff>171604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1474" y="4551947"/>
          <a:ext cx="2877552" cy="72305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671763</xdr:colOff>
      <xdr:row>18</xdr:row>
      <xdr:rowOff>20052</xdr:rowOff>
    </xdr:from>
    <xdr:to>
      <xdr:col>6</xdr:col>
      <xdr:colOff>892342</xdr:colOff>
      <xdr:row>26</xdr:row>
      <xdr:rowOff>160421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62388" y="3982452"/>
          <a:ext cx="3268579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751974</xdr:colOff>
      <xdr:row>20</xdr:row>
      <xdr:rowOff>60157</xdr:rowOff>
    </xdr:from>
    <xdr:to>
      <xdr:col>11</xdr:col>
      <xdr:colOff>2025315</xdr:colOff>
      <xdr:row>24</xdr:row>
      <xdr:rowOff>21209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1579" y="4592052"/>
          <a:ext cx="2877552" cy="72305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762000</xdr:colOff>
      <xdr:row>19</xdr:row>
      <xdr:rowOff>360947</xdr:rowOff>
    </xdr:from>
    <xdr:to>
      <xdr:col>11</xdr:col>
      <xdr:colOff>2438754</xdr:colOff>
      <xdr:row>20</xdr:row>
      <xdr:rowOff>3244</xdr:rowOff>
    </xdr:to>
    <xdr:pic>
      <xdr:nvPicPr>
        <xdr:cNvPr id="8" name="Imagen 48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450580" y="487198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671763</xdr:colOff>
      <xdr:row>18</xdr:row>
      <xdr:rowOff>20052</xdr:rowOff>
    </xdr:from>
    <xdr:to>
      <xdr:col>6</xdr:col>
      <xdr:colOff>892342</xdr:colOff>
      <xdr:row>26</xdr:row>
      <xdr:rowOff>160421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62388" y="4172952"/>
          <a:ext cx="3268579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681789</xdr:colOff>
      <xdr:row>20</xdr:row>
      <xdr:rowOff>100263</xdr:rowOff>
    </xdr:from>
    <xdr:to>
      <xdr:col>11</xdr:col>
      <xdr:colOff>1955130</xdr:colOff>
      <xdr:row>24</xdr:row>
      <xdr:rowOff>61315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1394" y="4632158"/>
          <a:ext cx="2877552" cy="72305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73</xdr:row>
      <xdr:rowOff>112781</xdr:rowOff>
    </xdr:to>
    <xdr:pic>
      <xdr:nvPicPr>
        <xdr:cNvPr id="19" name="Imagen 10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2400" y="16394400"/>
          <a:ext cx="1721520" cy="2104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6" name="Imagen 48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450580" y="2281708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4748</xdr:rowOff>
    </xdr:to>
    <xdr:pic>
      <xdr:nvPicPr>
        <xdr:cNvPr id="7" name="Imagen 4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450580" y="2281708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137862</xdr:colOff>
      <xdr:row>18</xdr:row>
      <xdr:rowOff>70184</xdr:rowOff>
    </xdr:from>
    <xdr:to>
      <xdr:col>4</xdr:col>
      <xdr:colOff>624138</xdr:colOff>
      <xdr:row>27</xdr:row>
      <xdr:rowOff>20053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2994" y="4221079"/>
          <a:ext cx="1248276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741948</xdr:colOff>
      <xdr:row>20</xdr:row>
      <xdr:rowOff>70184</xdr:rowOff>
    </xdr:from>
    <xdr:to>
      <xdr:col>11</xdr:col>
      <xdr:colOff>2015289</xdr:colOff>
      <xdr:row>24</xdr:row>
      <xdr:rowOff>31236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1553" y="4602079"/>
          <a:ext cx="2877552" cy="72305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73</xdr:row>
      <xdr:rowOff>112780</xdr:rowOff>
    </xdr:to>
    <xdr:pic>
      <xdr:nvPicPr>
        <xdr:cNvPr id="5" name="Imagen 10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059105" y="12487755"/>
          <a:ext cx="1677120" cy="10076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7" name="Imagen 48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229600" y="8847722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4748</xdr:rowOff>
    </xdr:to>
    <xdr:pic>
      <xdr:nvPicPr>
        <xdr:cNvPr id="8" name="Imagen 48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229600" y="1289584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645026</xdr:colOff>
      <xdr:row>18</xdr:row>
      <xdr:rowOff>80211</xdr:rowOff>
    </xdr:from>
    <xdr:to>
      <xdr:col>6</xdr:col>
      <xdr:colOff>578184</xdr:colOff>
      <xdr:row>27</xdr:row>
      <xdr:rowOff>30080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00158" y="5183606"/>
          <a:ext cx="2219158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741947</xdr:colOff>
      <xdr:row>20</xdr:row>
      <xdr:rowOff>60158</xdr:rowOff>
    </xdr:from>
    <xdr:to>
      <xdr:col>11</xdr:col>
      <xdr:colOff>2015288</xdr:colOff>
      <xdr:row>24</xdr:row>
      <xdr:rowOff>21210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1552" y="5544553"/>
          <a:ext cx="2877552" cy="72305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733320</xdr:colOff>
      <xdr:row>0</xdr:row>
      <xdr:rowOff>209520</xdr:rowOff>
    </xdr:from>
    <xdr:to>
      <xdr:col>1</xdr:col>
      <xdr:colOff>1347120</xdr:colOff>
      <xdr:row>5</xdr:row>
      <xdr:rowOff>1080</xdr:rowOff>
    </xdr:to>
    <xdr:pic>
      <xdr:nvPicPr>
        <xdr:cNvPr id="21" name="3 Imagen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33320" y="209520"/>
          <a:ext cx="1428480" cy="8773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219240</xdr:colOff>
      <xdr:row>0</xdr:row>
      <xdr:rowOff>285840</xdr:rowOff>
    </xdr:from>
    <xdr:to>
      <xdr:col>1</xdr:col>
      <xdr:colOff>1071360</xdr:colOff>
      <xdr:row>0</xdr:row>
      <xdr:rowOff>813960</xdr:rowOff>
    </xdr:to>
    <xdr:pic>
      <xdr:nvPicPr>
        <xdr:cNvPr id="22" name="Picture 2" descr="image00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240" y="285840"/>
          <a:ext cx="1666800" cy="528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1114560</xdr:colOff>
      <xdr:row>0</xdr:row>
      <xdr:rowOff>428760</xdr:rowOff>
    </xdr:from>
    <xdr:to>
      <xdr:col>1</xdr:col>
      <xdr:colOff>1890360</xdr:colOff>
      <xdr:row>0</xdr:row>
      <xdr:rowOff>785520</xdr:rowOff>
    </xdr:to>
    <xdr:pic>
      <xdr:nvPicPr>
        <xdr:cNvPr id="23" name="Picture 1" descr="LOGO1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PicPr/>
      </xdr:nvPicPr>
      <xdr:blipFill>
        <a:blip xmlns:r="http://schemas.openxmlformats.org/officeDocument/2006/relationships" r:embed="rId2"/>
        <a:srcRect r="26759"/>
        <a:stretch/>
      </xdr:blipFill>
      <xdr:spPr>
        <a:xfrm>
          <a:off x="1929240" y="428760"/>
          <a:ext cx="775800" cy="356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219240</xdr:colOff>
      <xdr:row>0</xdr:row>
      <xdr:rowOff>209520</xdr:rowOff>
    </xdr:from>
    <xdr:to>
      <xdr:col>1</xdr:col>
      <xdr:colOff>1299960</xdr:colOff>
      <xdr:row>0</xdr:row>
      <xdr:rowOff>813960</xdr:rowOff>
    </xdr:to>
    <xdr:pic>
      <xdr:nvPicPr>
        <xdr:cNvPr id="24" name="Picture 2" descr="image001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240" y="209520"/>
          <a:ext cx="1856160" cy="6044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1495440</xdr:colOff>
      <xdr:row>0</xdr:row>
      <xdr:rowOff>304920</xdr:rowOff>
    </xdr:from>
    <xdr:to>
      <xdr:col>1</xdr:col>
      <xdr:colOff>2604600</xdr:colOff>
      <xdr:row>0</xdr:row>
      <xdr:rowOff>794880</xdr:rowOff>
    </xdr:to>
    <xdr:pic>
      <xdr:nvPicPr>
        <xdr:cNvPr id="25" name="Picture 1" descr="LOGO1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PicPr/>
      </xdr:nvPicPr>
      <xdr:blipFill>
        <a:blip xmlns:r="http://schemas.openxmlformats.org/officeDocument/2006/relationships" r:embed="rId2"/>
        <a:srcRect r="26759"/>
        <a:stretch/>
      </xdr:blipFill>
      <xdr:spPr>
        <a:xfrm>
          <a:off x="2270880" y="304920"/>
          <a:ext cx="1109160" cy="489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219240</xdr:colOff>
      <xdr:row>0</xdr:row>
      <xdr:rowOff>209520</xdr:rowOff>
    </xdr:from>
    <xdr:to>
      <xdr:col>1</xdr:col>
      <xdr:colOff>1299960</xdr:colOff>
      <xdr:row>0</xdr:row>
      <xdr:rowOff>813960</xdr:rowOff>
    </xdr:to>
    <xdr:pic>
      <xdr:nvPicPr>
        <xdr:cNvPr id="26" name="Picture 2" descr="image001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240" y="209520"/>
          <a:ext cx="1856160" cy="6044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1495440</xdr:colOff>
      <xdr:row>0</xdr:row>
      <xdr:rowOff>304920</xdr:rowOff>
    </xdr:from>
    <xdr:to>
      <xdr:col>1</xdr:col>
      <xdr:colOff>2604600</xdr:colOff>
      <xdr:row>0</xdr:row>
      <xdr:rowOff>794880</xdr:rowOff>
    </xdr:to>
    <xdr:pic>
      <xdr:nvPicPr>
        <xdr:cNvPr id="27" name="Picture 1" descr="LOGO1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PicPr/>
      </xdr:nvPicPr>
      <xdr:blipFill>
        <a:blip xmlns:r="http://schemas.openxmlformats.org/officeDocument/2006/relationships" r:embed="rId2"/>
        <a:srcRect r="26759"/>
        <a:stretch/>
      </xdr:blipFill>
      <xdr:spPr>
        <a:xfrm>
          <a:off x="2270880" y="304920"/>
          <a:ext cx="1109160" cy="489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219240</xdr:colOff>
      <xdr:row>0</xdr:row>
      <xdr:rowOff>209520</xdr:rowOff>
    </xdr:from>
    <xdr:to>
      <xdr:col>1</xdr:col>
      <xdr:colOff>1299960</xdr:colOff>
      <xdr:row>0</xdr:row>
      <xdr:rowOff>813960</xdr:rowOff>
    </xdr:to>
    <xdr:pic>
      <xdr:nvPicPr>
        <xdr:cNvPr id="28" name="Picture 2" descr="image00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240" y="209520"/>
          <a:ext cx="1856160" cy="6044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1495440</xdr:colOff>
      <xdr:row>0</xdr:row>
      <xdr:rowOff>304920</xdr:rowOff>
    </xdr:from>
    <xdr:to>
      <xdr:col>1</xdr:col>
      <xdr:colOff>2604600</xdr:colOff>
      <xdr:row>0</xdr:row>
      <xdr:rowOff>794880</xdr:rowOff>
    </xdr:to>
    <xdr:pic>
      <xdr:nvPicPr>
        <xdr:cNvPr id="29" name="Picture 1" descr="LOGO1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PicPr/>
      </xdr:nvPicPr>
      <xdr:blipFill>
        <a:blip xmlns:r="http://schemas.openxmlformats.org/officeDocument/2006/relationships" r:embed="rId2"/>
        <a:srcRect r="26759"/>
        <a:stretch/>
      </xdr:blipFill>
      <xdr:spPr>
        <a:xfrm>
          <a:off x="2270880" y="304920"/>
          <a:ext cx="1109160" cy="489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219240</xdr:colOff>
      <xdr:row>0</xdr:row>
      <xdr:rowOff>285840</xdr:rowOff>
    </xdr:from>
    <xdr:to>
      <xdr:col>1</xdr:col>
      <xdr:colOff>1071360</xdr:colOff>
      <xdr:row>0</xdr:row>
      <xdr:rowOff>813960</xdr:rowOff>
    </xdr:to>
    <xdr:pic>
      <xdr:nvPicPr>
        <xdr:cNvPr id="30" name="Picture 2" descr="image001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240" y="285840"/>
          <a:ext cx="1627560" cy="528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1114560</xdr:colOff>
      <xdr:row>0</xdr:row>
      <xdr:rowOff>428760</xdr:rowOff>
    </xdr:from>
    <xdr:to>
      <xdr:col>1</xdr:col>
      <xdr:colOff>1890360</xdr:colOff>
      <xdr:row>0</xdr:row>
      <xdr:rowOff>785520</xdr:rowOff>
    </xdr:to>
    <xdr:pic>
      <xdr:nvPicPr>
        <xdr:cNvPr id="31" name="Picture 1" descr="LOGO1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PicPr/>
      </xdr:nvPicPr>
      <xdr:blipFill>
        <a:blip xmlns:r="http://schemas.openxmlformats.org/officeDocument/2006/relationships" r:embed="rId2"/>
        <a:srcRect r="26759"/>
        <a:stretch/>
      </xdr:blipFill>
      <xdr:spPr>
        <a:xfrm>
          <a:off x="1890000" y="428760"/>
          <a:ext cx="775800" cy="356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762000</xdr:colOff>
      <xdr:row>45</xdr:row>
      <xdr:rowOff>360947</xdr:rowOff>
    </xdr:from>
    <xdr:to>
      <xdr:col>11</xdr:col>
      <xdr:colOff>2438754</xdr:colOff>
      <xdr:row>46</xdr:row>
      <xdr:rowOff>4748</xdr:rowOff>
    </xdr:to>
    <xdr:pic>
      <xdr:nvPicPr>
        <xdr:cNvPr id="5" name="Imagen 48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450580" y="430048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73</xdr:row>
      <xdr:rowOff>112779</xdr:rowOff>
    </xdr:to>
    <xdr:pic>
      <xdr:nvPicPr>
        <xdr:cNvPr id="7" name="Imagen 10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059105" y="13440255"/>
          <a:ext cx="1677120" cy="100765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8" name="Imagen 48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229600" y="9800222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4747</xdr:rowOff>
    </xdr:to>
    <xdr:pic>
      <xdr:nvPicPr>
        <xdr:cNvPr id="9" name="Imagen 4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229600" y="1384834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150394</xdr:colOff>
      <xdr:row>18</xdr:row>
      <xdr:rowOff>150394</xdr:rowOff>
    </xdr:from>
    <xdr:to>
      <xdr:col>6</xdr:col>
      <xdr:colOff>845552</xdr:colOff>
      <xdr:row>27</xdr:row>
      <xdr:rowOff>100263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67526" y="4130841"/>
          <a:ext cx="2219158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751974</xdr:colOff>
      <xdr:row>20</xdr:row>
      <xdr:rowOff>60158</xdr:rowOff>
    </xdr:from>
    <xdr:to>
      <xdr:col>11</xdr:col>
      <xdr:colOff>2025315</xdr:colOff>
      <xdr:row>24</xdr:row>
      <xdr:rowOff>21210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1579" y="4421605"/>
          <a:ext cx="2877552" cy="72305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71</xdr:row>
      <xdr:rowOff>0</xdr:rowOff>
    </xdr:from>
    <xdr:to>
      <xdr:col>5</xdr:col>
      <xdr:colOff>650160</xdr:colOff>
      <xdr:row>75</xdr:row>
      <xdr:rowOff>99360</xdr:rowOff>
    </xdr:to>
    <xdr:pic>
      <xdr:nvPicPr>
        <xdr:cNvPr id="36" name="Imagen 18">
          <a:extLst>
            <a:ext uri="{FF2B5EF4-FFF2-40B4-BE49-F238E27FC236}">
              <a16:creationId xmlns:a16="http://schemas.microsoft.com/office/drawing/2014/main" id="{00000000-0008-0000-1300-00002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66760" y="17371080"/>
          <a:ext cx="2263320" cy="1796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72</xdr:row>
      <xdr:rowOff>360947</xdr:rowOff>
    </xdr:from>
    <xdr:to>
      <xdr:col>11</xdr:col>
      <xdr:colOff>2438754</xdr:colOff>
      <xdr:row>73</xdr:row>
      <xdr:rowOff>4747</xdr:rowOff>
    </xdr:to>
    <xdr:pic>
      <xdr:nvPicPr>
        <xdr:cNvPr id="5" name="Imagen 48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450580" y="45367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46</xdr:row>
      <xdr:rowOff>360947</xdr:rowOff>
    </xdr:from>
    <xdr:to>
      <xdr:col>11</xdr:col>
      <xdr:colOff>2438754</xdr:colOff>
      <xdr:row>47</xdr:row>
      <xdr:rowOff>4748</xdr:rowOff>
    </xdr:to>
    <xdr:pic>
      <xdr:nvPicPr>
        <xdr:cNvPr id="6" name="Imagen 48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450580" y="45367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45</xdr:row>
      <xdr:rowOff>360947</xdr:rowOff>
    </xdr:from>
    <xdr:to>
      <xdr:col>11</xdr:col>
      <xdr:colOff>2438754</xdr:colOff>
      <xdr:row>46</xdr:row>
      <xdr:rowOff>4747</xdr:rowOff>
    </xdr:to>
    <xdr:pic>
      <xdr:nvPicPr>
        <xdr:cNvPr id="11" name="Imagen 48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229600" y="883819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72</xdr:row>
      <xdr:rowOff>131830</xdr:rowOff>
    </xdr:to>
    <xdr:pic>
      <xdr:nvPicPr>
        <xdr:cNvPr id="13" name="Imagen 10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4059105" y="12316305"/>
          <a:ext cx="1677120" cy="100765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14" name="Imagen 48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229600" y="8676272"/>
          <a:ext cx="3276954" cy="575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4748</xdr:rowOff>
    </xdr:to>
    <xdr:pic>
      <xdr:nvPicPr>
        <xdr:cNvPr id="15" name="Imagen 48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229600" y="1272439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300789</xdr:colOff>
      <xdr:row>18</xdr:row>
      <xdr:rowOff>150394</xdr:rowOff>
    </xdr:from>
    <xdr:to>
      <xdr:col>6</xdr:col>
      <xdr:colOff>25065</xdr:colOff>
      <xdr:row>27</xdr:row>
      <xdr:rowOff>100263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17921" y="4130841"/>
          <a:ext cx="1248276" cy="166436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731922</xdr:colOff>
      <xdr:row>20</xdr:row>
      <xdr:rowOff>50132</xdr:rowOff>
    </xdr:from>
    <xdr:to>
      <xdr:col>11</xdr:col>
      <xdr:colOff>2005263</xdr:colOff>
      <xdr:row>24</xdr:row>
      <xdr:rowOff>11184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527" y="4411579"/>
          <a:ext cx="2877552" cy="72305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109440</xdr:colOff>
      <xdr:row>72</xdr:row>
      <xdr:rowOff>97200</xdr:rowOff>
    </xdr:from>
    <xdr:to>
      <xdr:col>4</xdr:col>
      <xdr:colOff>401760</xdr:colOff>
      <xdr:row>78</xdr:row>
      <xdr:rowOff>83519</xdr:rowOff>
    </xdr:to>
    <xdr:pic>
      <xdr:nvPicPr>
        <xdr:cNvPr id="39" name="Imagen 23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69800" y="16303680"/>
          <a:ext cx="1905480" cy="2034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6</xdr:col>
      <xdr:colOff>234360</xdr:colOff>
      <xdr:row>104</xdr:row>
      <xdr:rowOff>118801</xdr:rowOff>
    </xdr:to>
    <xdr:pic>
      <xdr:nvPicPr>
        <xdr:cNvPr id="40" name="Imagen 24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066760" y="22656960"/>
          <a:ext cx="2653920" cy="181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153000</xdr:colOff>
      <xdr:row>125</xdr:row>
      <xdr:rowOff>43200</xdr:rowOff>
    </xdr:from>
    <xdr:to>
      <xdr:col>4</xdr:col>
      <xdr:colOff>215280</xdr:colOff>
      <xdr:row>131</xdr:row>
      <xdr:rowOff>50760</xdr:rowOff>
    </xdr:to>
    <xdr:pic>
      <xdr:nvPicPr>
        <xdr:cNvPr id="41" name="Imagen 25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413360" y="28752840"/>
          <a:ext cx="1675440" cy="2084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164160</xdr:colOff>
      <xdr:row>151</xdr:row>
      <xdr:rowOff>41040</xdr:rowOff>
    </xdr:from>
    <xdr:to>
      <xdr:col>6</xdr:col>
      <xdr:colOff>646200</xdr:colOff>
      <xdr:row>156</xdr:row>
      <xdr:rowOff>729</xdr:rowOff>
    </xdr:to>
    <xdr:pic>
      <xdr:nvPicPr>
        <xdr:cNvPr id="42" name="Imagen 26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2230920" y="34880400"/>
          <a:ext cx="2901600" cy="181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178</xdr:row>
      <xdr:rowOff>0</xdr:rowOff>
    </xdr:from>
    <xdr:to>
      <xdr:col>5</xdr:col>
      <xdr:colOff>2115</xdr:colOff>
      <xdr:row>183</xdr:row>
      <xdr:rowOff>5041</xdr:rowOff>
    </xdr:to>
    <xdr:pic>
      <xdr:nvPicPr>
        <xdr:cNvPr id="43" name="Imagen 29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2066760" y="41111640"/>
          <a:ext cx="1580400" cy="1877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203</xdr:row>
      <xdr:rowOff>0</xdr:rowOff>
    </xdr:from>
    <xdr:to>
      <xdr:col>4</xdr:col>
      <xdr:colOff>428040</xdr:colOff>
      <xdr:row>208</xdr:row>
      <xdr:rowOff>5374</xdr:rowOff>
    </xdr:to>
    <xdr:pic>
      <xdr:nvPicPr>
        <xdr:cNvPr id="44" name="Imagen 30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2066760" y="47168280"/>
          <a:ext cx="1234800" cy="1901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228</xdr:row>
      <xdr:rowOff>0</xdr:rowOff>
    </xdr:from>
    <xdr:to>
      <xdr:col>4</xdr:col>
      <xdr:colOff>428040</xdr:colOff>
      <xdr:row>233</xdr:row>
      <xdr:rowOff>28800</xdr:rowOff>
    </xdr:to>
    <xdr:pic>
      <xdr:nvPicPr>
        <xdr:cNvPr id="45" name="Imagen 32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2066760" y="53122680"/>
          <a:ext cx="1234800" cy="1901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32760</xdr:colOff>
      <xdr:row>253</xdr:row>
      <xdr:rowOff>34920</xdr:rowOff>
    </xdr:from>
    <xdr:to>
      <xdr:col>5</xdr:col>
      <xdr:colOff>549720</xdr:colOff>
      <xdr:row>259</xdr:row>
      <xdr:rowOff>126720</xdr:rowOff>
    </xdr:to>
    <xdr:pic>
      <xdr:nvPicPr>
        <xdr:cNvPr id="46" name="Imagen 33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>
        <a:xfrm>
          <a:off x="2099520" y="59082480"/>
          <a:ext cx="2130120" cy="2139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280</xdr:row>
      <xdr:rowOff>0</xdr:rowOff>
    </xdr:from>
    <xdr:to>
      <xdr:col>6</xdr:col>
      <xdr:colOff>358200</xdr:colOff>
      <xdr:row>284</xdr:row>
      <xdr:rowOff>89641</xdr:rowOff>
    </xdr:to>
    <xdr:pic>
      <xdr:nvPicPr>
        <xdr:cNvPr id="47" name="Imagen 34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2066760" y="65322360"/>
          <a:ext cx="2777760" cy="1787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306</xdr:row>
      <xdr:rowOff>0</xdr:rowOff>
    </xdr:from>
    <xdr:to>
      <xdr:col>6</xdr:col>
      <xdr:colOff>358200</xdr:colOff>
      <xdr:row>310</xdr:row>
      <xdr:rowOff>89640</xdr:rowOff>
    </xdr:to>
    <xdr:pic>
      <xdr:nvPicPr>
        <xdr:cNvPr id="48" name="Imagen 35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2066760" y="71419680"/>
          <a:ext cx="2777760" cy="1787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334</xdr:row>
      <xdr:rowOff>0</xdr:rowOff>
    </xdr:from>
    <xdr:to>
      <xdr:col>6</xdr:col>
      <xdr:colOff>101160</xdr:colOff>
      <xdr:row>338</xdr:row>
      <xdr:rowOff>80280</xdr:rowOff>
    </xdr:to>
    <xdr:pic>
      <xdr:nvPicPr>
        <xdr:cNvPr id="49" name="Imagen 36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2066760" y="77938560"/>
          <a:ext cx="2520720" cy="1806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361</xdr:row>
      <xdr:rowOff>0</xdr:rowOff>
    </xdr:from>
    <xdr:to>
      <xdr:col>6</xdr:col>
      <xdr:colOff>167760</xdr:colOff>
      <xdr:row>365</xdr:row>
      <xdr:rowOff>118441</xdr:rowOff>
    </xdr:to>
    <xdr:pic>
      <xdr:nvPicPr>
        <xdr:cNvPr id="50" name="Imagen 37">
          <a:extLst>
            <a:ext uri="{FF2B5EF4-FFF2-40B4-BE49-F238E27FC236}">
              <a16:creationId xmlns:a16="http://schemas.microsoft.com/office/drawing/2014/main" id="{00000000-0008-0000-1400-000032000000}"/>
            </a:ext>
          </a:extLst>
        </xdr:cNvPr>
        <xdr:cNvPicPr/>
      </xdr:nvPicPr>
      <xdr:blipFill>
        <a:blip xmlns:r="http://schemas.openxmlformats.org/officeDocument/2006/relationships" r:embed="rId10"/>
        <a:stretch/>
      </xdr:blipFill>
      <xdr:spPr>
        <a:xfrm>
          <a:off x="2066760" y="84192840"/>
          <a:ext cx="2587320" cy="181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386</xdr:row>
      <xdr:rowOff>0</xdr:rowOff>
    </xdr:from>
    <xdr:to>
      <xdr:col>5</xdr:col>
      <xdr:colOff>425160</xdr:colOff>
      <xdr:row>391</xdr:row>
      <xdr:rowOff>5539</xdr:rowOff>
    </xdr:to>
    <xdr:pic>
      <xdr:nvPicPr>
        <xdr:cNvPr id="51" name="Imagen 38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1260360" y="90118440"/>
          <a:ext cx="2844720" cy="1863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411</xdr:row>
      <xdr:rowOff>0</xdr:rowOff>
    </xdr:from>
    <xdr:to>
      <xdr:col>5</xdr:col>
      <xdr:colOff>425160</xdr:colOff>
      <xdr:row>416</xdr:row>
      <xdr:rowOff>5539</xdr:rowOff>
    </xdr:to>
    <xdr:pic>
      <xdr:nvPicPr>
        <xdr:cNvPr id="52" name="Imagen 39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1260360" y="96031800"/>
          <a:ext cx="2844720" cy="1863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436</xdr:row>
      <xdr:rowOff>0</xdr:rowOff>
    </xdr:from>
    <xdr:to>
      <xdr:col>5</xdr:col>
      <xdr:colOff>612360</xdr:colOff>
      <xdr:row>441</xdr:row>
      <xdr:rowOff>28799</xdr:rowOff>
    </xdr:to>
    <xdr:pic>
      <xdr:nvPicPr>
        <xdr:cNvPr id="53" name="Imagen 40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PicPr/>
      </xdr:nvPicPr>
      <xdr:blipFill>
        <a:blip xmlns:r="http://schemas.openxmlformats.org/officeDocument/2006/relationships" r:embed="rId12"/>
        <a:stretch/>
      </xdr:blipFill>
      <xdr:spPr>
        <a:xfrm>
          <a:off x="2066760" y="101944800"/>
          <a:ext cx="2225520" cy="1901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461</xdr:row>
      <xdr:rowOff>0</xdr:rowOff>
    </xdr:from>
    <xdr:to>
      <xdr:col>6</xdr:col>
      <xdr:colOff>425160</xdr:colOff>
      <xdr:row>465</xdr:row>
      <xdr:rowOff>118441</xdr:rowOff>
    </xdr:to>
    <xdr:pic>
      <xdr:nvPicPr>
        <xdr:cNvPr id="54" name="Imagen 41">
          <a:extLst>
            <a:ext uri="{FF2B5EF4-FFF2-40B4-BE49-F238E27FC236}">
              <a16:creationId xmlns:a16="http://schemas.microsoft.com/office/drawing/2014/main" id="{00000000-0008-0000-1400-000036000000}"/>
            </a:ext>
          </a:extLst>
        </xdr:cNvPr>
        <xdr:cNvPicPr/>
      </xdr:nvPicPr>
      <xdr:blipFill>
        <a:blip xmlns:r="http://schemas.openxmlformats.org/officeDocument/2006/relationships" r:embed="rId13"/>
        <a:stretch/>
      </xdr:blipFill>
      <xdr:spPr>
        <a:xfrm>
          <a:off x="2066760" y="107870760"/>
          <a:ext cx="2844720" cy="181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87480</xdr:colOff>
      <xdr:row>486</xdr:row>
      <xdr:rowOff>151560</xdr:rowOff>
    </xdr:from>
    <xdr:to>
      <xdr:col>6</xdr:col>
      <xdr:colOff>388800</xdr:colOff>
      <xdr:row>492</xdr:row>
      <xdr:rowOff>138240</xdr:rowOff>
    </xdr:to>
    <xdr:pic>
      <xdr:nvPicPr>
        <xdr:cNvPr id="55" name="Imagen 42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PicPr/>
      </xdr:nvPicPr>
      <xdr:blipFill>
        <a:blip xmlns:r="http://schemas.openxmlformats.org/officeDocument/2006/relationships" r:embed="rId14"/>
        <a:stretch/>
      </xdr:blipFill>
      <xdr:spPr>
        <a:xfrm>
          <a:off x="2154240" y="113947920"/>
          <a:ext cx="2720880" cy="2034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513</xdr:row>
      <xdr:rowOff>0</xdr:rowOff>
    </xdr:from>
    <xdr:to>
      <xdr:col>5</xdr:col>
      <xdr:colOff>445320</xdr:colOff>
      <xdr:row>518</xdr:row>
      <xdr:rowOff>68040</xdr:rowOff>
    </xdr:to>
    <xdr:pic>
      <xdr:nvPicPr>
        <xdr:cNvPr id="56" name="Imagen 43">
          <a:extLst>
            <a:ext uri="{FF2B5EF4-FFF2-40B4-BE49-F238E27FC236}">
              <a16:creationId xmlns:a16="http://schemas.microsoft.com/office/drawing/2014/main" id="{00000000-0008-0000-1400-000038000000}"/>
            </a:ext>
          </a:extLst>
        </xdr:cNvPr>
        <xdr:cNvPicPr/>
      </xdr:nvPicPr>
      <xdr:blipFill>
        <a:blip xmlns:r="http://schemas.openxmlformats.org/officeDocument/2006/relationships" r:embed="rId15"/>
        <a:stretch/>
      </xdr:blipFill>
      <xdr:spPr>
        <a:xfrm>
          <a:off x="2066760" y="120072960"/>
          <a:ext cx="2058480" cy="1940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538</xdr:row>
      <xdr:rowOff>0</xdr:rowOff>
    </xdr:from>
    <xdr:to>
      <xdr:col>5</xdr:col>
      <xdr:colOff>507600</xdr:colOff>
      <xdr:row>542</xdr:row>
      <xdr:rowOff>80640</xdr:rowOff>
    </xdr:to>
    <xdr:pic>
      <xdr:nvPicPr>
        <xdr:cNvPr id="57" name="Imagen 44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PicPr/>
      </xdr:nvPicPr>
      <xdr:blipFill>
        <a:blip xmlns:r="http://schemas.openxmlformats.org/officeDocument/2006/relationships" r:embed="rId16"/>
        <a:stretch/>
      </xdr:blipFill>
      <xdr:spPr>
        <a:xfrm>
          <a:off x="2066760" y="125935920"/>
          <a:ext cx="2120760" cy="1777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562</xdr:row>
      <xdr:rowOff>0</xdr:rowOff>
    </xdr:from>
    <xdr:to>
      <xdr:col>5</xdr:col>
      <xdr:colOff>440640</xdr:colOff>
      <xdr:row>566</xdr:row>
      <xdr:rowOff>118440</xdr:rowOff>
    </xdr:to>
    <xdr:pic>
      <xdr:nvPicPr>
        <xdr:cNvPr id="58" name="Imagen 45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PicPr/>
      </xdr:nvPicPr>
      <xdr:blipFill>
        <a:blip xmlns:r="http://schemas.openxmlformats.org/officeDocument/2006/relationships" r:embed="rId17"/>
        <a:stretch/>
      </xdr:blipFill>
      <xdr:spPr>
        <a:xfrm>
          <a:off x="2066760" y="131623560"/>
          <a:ext cx="2053800" cy="1815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586</xdr:row>
      <xdr:rowOff>0</xdr:rowOff>
    </xdr:from>
    <xdr:to>
      <xdr:col>6</xdr:col>
      <xdr:colOff>642240</xdr:colOff>
      <xdr:row>591</xdr:row>
      <xdr:rowOff>101160</xdr:rowOff>
    </xdr:to>
    <xdr:pic>
      <xdr:nvPicPr>
        <xdr:cNvPr id="59" name="Imagen 46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PicPr/>
      </xdr:nvPicPr>
      <xdr:blipFill>
        <a:blip xmlns:r="http://schemas.openxmlformats.org/officeDocument/2006/relationships" r:embed="rId18"/>
        <a:stretch/>
      </xdr:blipFill>
      <xdr:spPr>
        <a:xfrm>
          <a:off x="2066760" y="137311200"/>
          <a:ext cx="3061800" cy="1973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610</xdr:row>
      <xdr:rowOff>0</xdr:rowOff>
    </xdr:from>
    <xdr:to>
      <xdr:col>6</xdr:col>
      <xdr:colOff>1215720</xdr:colOff>
      <xdr:row>615</xdr:row>
      <xdr:rowOff>47880</xdr:rowOff>
    </xdr:to>
    <xdr:pic>
      <xdr:nvPicPr>
        <xdr:cNvPr id="60" name="Imagen 47">
          <a:extLst>
            <a:ext uri="{FF2B5EF4-FFF2-40B4-BE49-F238E27FC236}">
              <a16:creationId xmlns:a16="http://schemas.microsoft.com/office/drawing/2014/main" id="{00000000-0008-0000-1400-00003C000000}"/>
            </a:ext>
          </a:extLst>
        </xdr:cNvPr>
        <xdr:cNvPicPr/>
      </xdr:nvPicPr>
      <xdr:blipFill>
        <a:blip xmlns:r="http://schemas.openxmlformats.org/officeDocument/2006/relationships" r:embed="rId19"/>
        <a:stretch/>
      </xdr:blipFill>
      <xdr:spPr>
        <a:xfrm>
          <a:off x="2066760" y="142998840"/>
          <a:ext cx="3635280" cy="1920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307</xdr:row>
      <xdr:rowOff>360947</xdr:rowOff>
    </xdr:from>
    <xdr:to>
      <xdr:col>11</xdr:col>
      <xdr:colOff>2438754</xdr:colOff>
      <xdr:row>308</xdr:row>
      <xdr:rowOff>4748</xdr:rowOff>
    </xdr:to>
    <xdr:pic>
      <xdr:nvPicPr>
        <xdr:cNvPr id="26" name="Imagen 48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335</xdr:row>
      <xdr:rowOff>360947</xdr:rowOff>
    </xdr:from>
    <xdr:to>
      <xdr:col>11</xdr:col>
      <xdr:colOff>2438754</xdr:colOff>
      <xdr:row>336</xdr:row>
      <xdr:rowOff>4748</xdr:rowOff>
    </xdr:to>
    <xdr:pic>
      <xdr:nvPicPr>
        <xdr:cNvPr id="27" name="Imagen 48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362</xdr:row>
      <xdr:rowOff>360947</xdr:rowOff>
    </xdr:from>
    <xdr:to>
      <xdr:col>11</xdr:col>
      <xdr:colOff>2438754</xdr:colOff>
      <xdr:row>363</xdr:row>
      <xdr:rowOff>4748</xdr:rowOff>
    </xdr:to>
    <xdr:pic>
      <xdr:nvPicPr>
        <xdr:cNvPr id="28" name="Imagen 48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387</xdr:row>
      <xdr:rowOff>360947</xdr:rowOff>
    </xdr:from>
    <xdr:to>
      <xdr:col>11</xdr:col>
      <xdr:colOff>2438754</xdr:colOff>
      <xdr:row>388</xdr:row>
      <xdr:rowOff>4748</xdr:rowOff>
    </xdr:to>
    <xdr:pic>
      <xdr:nvPicPr>
        <xdr:cNvPr id="29" name="Imagen 48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412</xdr:row>
      <xdr:rowOff>360947</xdr:rowOff>
    </xdr:from>
    <xdr:to>
      <xdr:col>11</xdr:col>
      <xdr:colOff>2438754</xdr:colOff>
      <xdr:row>413</xdr:row>
      <xdr:rowOff>4748</xdr:rowOff>
    </xdr:to>
    <xdr:pic>
      <xdr:nvPicPr>
        <xdr:cNvPr id="30" name="Imagen 48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437</xdr:row>
      <xdr:rowOff>360947</xdr:rowOff>
    </xdr:from>
    <xdr:to>
      <xdr:col>11</xdr:col>
      <xdr:colOff>2438754</xdr:colOff>
      <xdr:row>438</xdr:row>
      <xdr:rowOff>4748</xdr:rowOff>
    </xdr:to>
    <xdr:pic>
      <xdr:nvPicPr>
        <xdr:cNvPr id="31" name="Imagen 48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462</xdr:row>
      <xdr:rowOff>360947</xdr:rowOff>
    </xdr:from>
    <xdr:to>
      <xdr:col>11</xdr:col>
      <xdr:colOff>2438754</xdr:colOff>
      <xdr:row>463</xdr:row>
      <xdr:rowOff>4748</xdr:rowOff>
    </xdr:to>
    <xdr:pic>
      <xdr:nvPicPr>
        <xdr:cNvPr id="32" name="Imagen 48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488</xdr:row>
      <xdr:rowOff>360947</xdr:rowOff>
    </xdr:from>
    <xdr:to>
      <xdr:col>11</xdr:col>
      <xdr:colOff>2438754</xdr:colOff>
      <xdr:row>489</xdr:row>
      <xdr:rowOff>4748</xdr:rowOff>
    </xdr:to>
    <xdr:pic>
      <xdr:nvPicPr>
        <xdr:cNvPr id="33" name="Imagen 48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514</xdr:row>
      <xdr:rowOff>360947</xdr:rowOff>
    </xdr:from>
    <xdr:to>
      <xdr:col>11</xdr:col>
      <xdr:colOff>2438754</xdr:colOff>
      <xdr:row>515</xdr:row>
      <xdr:rowOff>4748</xdr:rowOff>
    </xdr:to>
    <xdr:pic>
      <xdr:nvPicPr>
        <xdr:cNvPr id="34" name="Imagen 48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539</xdr:row>
      <xdr:rowOff>360947</xdr:rowOff>
    </xdr:from>
    <xdr:to>
      <xdr:col>11</xdr:col>
      <xdr:colOff>2438754</xdr:colOff>
      <xdr:row>540</xdr:row>
      <xdr:rowOff>4748</xdr:rowOff>
    </xdr:to>
    <xdr:pic>
      <xdr:nvPicPr>
        <xdr:cNvPr id="35" name="Imagen 48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563</xdr:row>
      <xdr:rowOff>360947</xdr:rowOff>
    </xdr:from>
    <xdr:to>
      <xdr:col>11</xdr:col>
      <xdr:colOff>2438754</xdr:colOff>
      <xdr:row>564</xdr:row>
      <xdr:rowOff>4748</xdr:rowOff>
    </xdr:to>
    <xdr:pic>
      <xdr:nvPicPr>
        <xdr:cNvPr id="36" name="Imagen 48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587</xdr:row>
      <xdr:rowOff>360947</xdr:rowOff>
    </xdr:from>
    <xdr:to>
      <xdr:col>11</xdr:col>
      <xdr:colOff>2438754</xdr:colOff>
      <xdr:row>588</xdr:row>
      <xdr:rowOff>4748</xdr:rowOff>
    </xdr:to>
    <xdr:pic>
      <xdr:nvPicPr>
        <xdr:cNvPr id="61" name="Imagen 48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611</xdr:row>
      <xdr:rowOff>360947</xdr:rowOff>
    </xdr:from>
    <xdr:to>
      <xdr:col>11</xdr:col>
      <xdr:colOff>2438754</xdr:colOff>
      <xdr:row>612</xdr:row>
      <xdr:rowOff>4748</xdr:rowOff>
    </xdr:to>
    <xdr:pic>
      <xdr:nvPicPr>
        <xdr:cNvPr id="62" name="Imagen 48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50580" y="4384307"/>
          <a:ext cx="3322674" cy="451922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9</xdr:col>
      <xdr:colOff>762000</xdr:colOff>
      <xdr:row>281</xdr:row>
      <xdr:rowOff>360947</xdr:rowOff>
    </xdr:from>
    <xdr:ext cx="3321069" cy="451922"/>
    <xdr:pic>
      <xdr:nvPicPr>
        <xdr:cNvPr id="63" name="Imagen 48">
          <a:extLst>
            <a:ext uri="{FF2B5EF4-FFF2-40B4-BE49-F238E27FC236}">
              <a16:creationId xmlns:a16="http://schemas.microsoft.com/office/drawing/2014/main" id="{00000000-0008-0000-1400-00003F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255</xdr:row>
      <xdr:rowOff>360947</xdr:rowOff>
    </xdr:from>
    <xdr:ext cx="3321069" cy="451922"/>
    <xdr:pic>
      <xdr:nvPicPr>
        <xdr:cNvPr id="64" name="Imagen 48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229</xdr:row>
      <xdr:rowOff>360947</xdr:rowOff>
    </xdr:from>
    <xdr:ext cx="3321069" cy="451922"/>
    <xdr:pic>
      <xdr:nvPicPr>
        <xdr:cNvPr id="65" name="Imagen 48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204</xdr:row>
      <xdr:rowOff>360947</xdr:rowOff>
    </xdr:from>
    <xdr:ext cx="3321069" cy="451922"/>
    <xdr:pic>
      <xdr:nvPicPr>
        <xdr:cNvPr id="66" name="Imagen 48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179</xdr:row>
      <xdr:rowOff>360947</xdr:rowOff>
    </xdr:from>
    <xdr:ext cx="3321069" cy="451922"/>
    <xdr:pic>
      <xdr:nvPicPr>
        <xdr:cNvPr id="67" name="Imagen 48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152</xdr:row>
      <xdr:rowOff>360947</xdr:rowOff>
    </xdr:from>
    <xdr:ext cx="3321069" cy="451922"/>
    <xdr:pic>
      <xdr:nvPicPr>
        <xdr:cNvPr id="68" name="Imagen 48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127</xdr:row>
      <xdr:rowOff>360947</xdr:rowOff>
    </xdr:from>
    <xdr:ext cx="3321069" cy="451922"/>
    <xdr:pic>
      <xdr:nvPicPr>
        <xdr:cNvPr id="69" name="Imagen 48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101</xdr:row>
      <xdr:rowOff>360947</xdr:rowOff>
    </xdr:from>
    <xdr:ext cx="3321069" cy="451922"/>
    <xdr:pic>
      <xdr:nvPicPr>
        <xdr:cNvPr id="70" name="Imagen 48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74</xdr:row>
      <xdr:rowOff>360947</xdr:rowOff>
    </xdr:from>
    <xdr:ext cx="3321069" cy="451922"/>
    <xdr:pic>
      <xdr:nvPicPr>
        <xdr:cNvPr id="71" name="Imagen 48"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462211" y="73777642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twoCellAnchor editAs="oneCell">
    <xdr:from>
      <xdr:col>3</xdr:col>
      <xdr:colOff>0</xdr:colOff>
      <xdr:row>71</xdr:row>
      <xdr:rowOff>0</xdr:rowOff>
    </xdr:from>
    <xdr:to>
      <xdr:col>5</xdr:col>
      <xdr:colOff>650160</xdr:colOff>
      <xdr:row>75</xdr:row>
      <xdr:rowOff>5614</xdr:rowOff>
    </xdr:to>
    <xdr:pic>
      <xdr:nvPicPr>
        <xdr:cNvPr id="75" name="Imagen 18">
          <a:extLst>
            <a:ext uri="{FF2B5EF4-FFF2-40B4-BE49-F238E27FC236}">
              <a16:creationId xmlns:a16="http://schemas.microsoft.com/office/drawing/2014/main" id="{00000000-0008-0000-1400-00004B000000}"/>
            </a:ext>
          </a:extLst>
        </xdr:cNvPr>
        <xdr:cNvPicPr/>
      </xdr:nvPicPr>
      <xdr:blipFill>
        <a:blip xmlns:r="http://schemas.openxmlformats.org/officeDocument/2006/relationships" r:embed="rId21"/>
        <a:stretch/>
      </xdr:blipFill>
      <xdr:spPr>
        <a:xfrm>
          <a:off x="1952625" y="12887325"/>
          <a:ext cx="2174160" cy="7470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72</xdr:row>
      <xdr:rowOff>360947</xdr:rowOff>
    </xdr:from>
    <xdr:to>
      <xdr:col>11</xdr:col>
      <xdr:colOff>2438754</xdr:colOff>
      <xdr:row>73</xdr:row>
      <xdr:rowOff>4748</xdr:rowOff>
    </xdr:to>
    <xdr:pic>
      <xdr:nvPicPr>
        <xdr:cNvPr id="76" name="Imagen 48">
          <a:extLst>
            <a:ext uri="{FF2B5EF4-FFF2-40B4-BE49-F238E27FC236}">
              <a16:creationId xmlns:a16="http://schemas.microsoft.com/office/drawing/2014/main" id="{00000000-0008-0000-1400-00004C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229600" y="13210172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46</xdr:row>
      <xdr:rowOff>360947</xdr:rowOff>
    </xdr:from>
    <xdr:to>
      <xdr:col>11</xdr:col>
      <xdr:colOff>2438754</xdr:colOff>
      <xdr:row>47</xdr:row>
      <xdr:rowOff>4748</xdr:rowOff>
    </xdr:to>
    <xdr:pic>
      <xdr:nvPicPr>
        <xdr:cNvPr id="77" name="Imagen 48">
          <a:extLst>
            <a:ext uri="{FF2B5EF4-FFF2-40B4-BE49-F238E27FC236}">
              <a16:creationId xmlns:a16="http://schemas.microsoft.com/office/drawing/2014/main" id="{00000000-0008-0000-1400-00004D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229600" y="9000122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45</xdr:row>
      <xdr:rowOff>360947</xdr:rowOff>
    </xdr:from>
    <xdr:to>
      <xdr:col>11</xdr:col>
      <xdr:colOff>2438754</xdr:colOff>
      <xdr:row>46</xdr:row>
      <xdr:rowOff>4748</xdr:rowOff>
    </xdr:to>
    <xdr:pic>
      <xdr:nvPicPr>
        <xdr:cNvPr id="79" name="Imagen 48">
          <a:extLst>
            <a:ext uri="{FF2B5EF4-FFF2-40B4-BE49-F238E27FC236}">
              <a16:creationId xmlns:a16="http://schemas.microsoft.com/office/drawing/2014/main" id="{00000000-0008-0000-1400-00004F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229600" y="883819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72</xdr:row>
      <xdr:rowOff>1655</xdr:rowOff>
    </xdr:to>
    <xdr:pic>
      <xdr:nvPicPr>
        <xdr:cNvPr id="81" name="Imagen 10">
          <a:extLst>
            <a:ext uri="{FF2B5EF4-FFF2-40B4-BE49-F238E27FC236}">
              <a16:creationId xmlns:a16="http://schemas.microsoft.com/office/drawing/2014/main" id="{00000000-0008-0000-1400-000051000000}"/>
            </a:ext>
          </a:extLst>
        </xdr:cNvPr>
        <xdr:cNvPicPr/>
      </xdr:nvPicPr>
      <xdr:blipFill>
        <a:blip xmlns:r="http://schemas.openxmlformats.org/officeDocument/2006/relationships" r:embed="rId22"/>
        <a:stretch/>
      </xdr:blipFill>
      <xdr:spPr>
        <a:xfrm>
          <a:off x="4059105" y="12316305"/>
          <a:ext cx="1677120" cy="86477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82" name="Imagen 48">
          <a:extLst>
            <a:ext uri="{FF2B5EF4-FFF2-40B4-BE49-F238E27FC236}">
              <a16:creationId xmlns:a16="http://schemas.microsoft.com/office/drawing/2014/main" id="{00000000-0008-0000-1400-000052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229600" y="8676272"/>
          <a:ext cx="3276954" cy="575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4748</xdr:rowOff>
    </xdr:to>
    <xdr:pic>
      <xdr:nvPicPr>
        <xdr:cNvPr id="83" name="Imagen 48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229600" y="12724397"/>
          <a:ext cx="32769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10027</xdr:colOff>
      <xdr:row>20</xdr:row>
      <xdr:rowOff>40106</xdr:rowOff>
    </xdr:from>
    <xdr:to>
      <xdr:col>11</xdr:col>
      <xdr:colOff>2045368</xdr:colOff>
      <xdr:row>24</xdr:row>
      <xdr:rowOff>1158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1632" y="4572001"/>
          <a:ext cx="2877552" cy="72305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109440</xdr:colOff>
      <xdr:row>72</xdr:row>
      <xdr:rowOff>97200</xdr:rowOff>
    </xdr:from>
    <xdr:to>
      <xdr:col>4</xdr:col>
      <xdr:colOff>401760</xdr:colOff>
      <xdr:row>78</xdr:row>
      <xdr:rowOff>83519</xdr:rowOff>
    </xdr:to>
    <xdr:pic>
      <xdr:nvPicPr>
        <xdr:cNvPr id="2" name="Imagen 23">
          <a:extLst>
            <a:ext uri="{FF2B5EF4-FFF2-40B4-BE49-F238E27FC236}">
              <a16:creationId xmlns:a16="http://schemas.microsoft.com/office/drawing/2014/main" id="{E5C7DC3A-2277-4A5E-9B00-2DC33687F66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60390" y="13438550"/>
          <a:ext cx="1892520" cy="97691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6</xdr:col>
      <xdr:colOff>234360</xdr:colOff>
      <xdr:row>104</xdr:row>
      <xdr:rowOff>118801</xdr:rowOff>
    </xdr:to>
    <xdr:pic>
      <xdr:nvPicPr>
        <xdr:cNvPr id="3" name="Imagen 24">
          <a:extLst>
            <a:ext uri="{FF2B5EF4-FFF2-40B4-BE49-F238E27FC236}">
              <a16:creationId xmlns:a16="http://schemas.microsoft.com/office/drawing/2014/main" id="{680339D8-D1FA-4D1F-A859-F7D0CAC7C9F2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051050" y="17964150"/>
          <a:ext cx="2634660" cy="77920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153000</xdr:colOff>
      <xdr:row>125</xdr:row>
      <xdr:rowOff>43200</xdr:rowOff>
    </xdr:from>
    <xdr:to>
      <xdr:col>4</xdr:col>
      <xdr:colOff>215280</xdr:colOff>
      <xdr:row>131</xdr:row>
      <xdr:rowOff>50760</xdr:rowOff>
    </xdr:to>
    <xdr:pic>
      <xdr:nvPicPr>
        <xdr:cNvPr id="4" name="Imagen 25">
          <a:extLst>
            <a:ext uri="{FF2B5EF4-FFF2-40B4-BE49-F238E27FC236}">
              <a16:creationId xmlns:a16="http://schemas.microsoft.com/office/drawing/2014/main" id="{ADC1BEFB-E0EE-4597-B638-3B61D34B1F74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403950" y="22134850"/>
          <a:ext cx="1662480" cy="998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164160</xdr:colOff>
      <xdr:row>151</xdr:row>
      <xdr:rowOff>41040</xdr:rowOff>
    </xdr:from>
    <xdr:to>
      <xdr:col>6</xdr:col>
      <xdr:colOff>646200</xdr:colOff>
      <xdr:row>155</xdr:row>
      <xdr:rowOff>159479</xdr:rowOff>
    </xdr:to>
    <xdr:pic>
      <xdr:nvPicPr>
        <xdr:cNvPr id="5" name="Imagen 26">
          <a:extLst>
            <a:ext uri="{FF2B5EF4-FFF2-40B4-BE49-F238E27FC236}">
              <a16:creationId xmlns:a16="http://schemas.microsoft.com/office/drawing/2014/main" id="{055D960A-CAE7-4AA5-888E-D45A9B521705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2215210" y="26425290"/>
          <a:ext cx="2882340" cy="77883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178</xdr:row>
      <xdr:rowOff>0</xdr:rowOff>
    </xdr:from>
    <xdr:to>
      <xdr:col>5</xdr:col>
      <xdr:colOff>2115</xdr:colOff>
      <xdr:row>183</xdr:row>
      <xdr:rowOff>5041</xdr:rowOff>
    </xdr:to>
    <xdr:pic>
      <xdr:nvPicPr>
        <xdr:cNvPr id="6" name="Imagen 29">
          <a:extLst>
            <a:ext uri="{FF2B5EF4-FFF2-40B4-BE49-F238E27FC236}">
              <a16:creationId xmlns:a16="http://schemas.microsoft.com/office/drawing/2014/main" id="{DE2696AD-7F99-4E40-838F-2FE033860763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2051050" y="30841950"/>
          <a:ext cx="1602315" cy="83054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203</xdr:row>
      <xdr:rowOff>0</xdr:rowOff>
    </xdr:from>
    <xdr:to>
      <xdr:col>4</xdr:col>
      <xdr:colOff>428040</xdr:colOff>
      <xdr:row>208</xdr:row>
      <xdr:rowOff>5374</xdr:rowOff>
    </xdr:to>
    <xdr:pic>
      <xdr:nvPicPr>
        <xdr:cNvPr id="7" name="Imagen 30">
          <a:extLst>
            <a:ext uri="{FF2B5EF4-FFF2-40B4-BE49-F238E27FC236}">
              <a16:creationId xmlns:a16="http://schemas.microsoft.com/office/drawing/2014/main" id="{955A41D1-43D9-43F9-BF1B-0B2C4896325F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2051050" y="34969450"/>
          <a:ext cx="1228140" cy="830874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228</xdr:row>
      <xdr:rowOff>0</xdr:rowOff>
    </xdr:from>
    <xdr:to>
      <xdr:col>4</xdr:col>
      <xdr:colOff>428040</xdr:colOff>
      <xdr:row>233</xdr:row>
      <xdr:rowOff>28800</xdr:rowOff>
    </xdr:to>
    <xdr:pic>
      <xdr:nvPicPr>
        <xdr:cNvPr id="8" name="Imagen 32">
          <a:extLst>
            <a:ext uri="{FF2B5EF4-FFF2-40B4-BE49-F238E27FC236}">
              <a16:creationId xmlns:a16="http://schemas.microsoft.com/office/drawing/2014/main" id="{0B11B85C-E340-4E56-9774-8C41F7347886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2051050" y="39096950"/>
          <a:ext cx="1228140" cy="854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32760</xdr:colOff>
      <xdr:row>253</xdr:row>
      <xdr:rowOff>34920</xdr:rowOff>
    </xdr:from>
    <xdr:to>
      <xdr:col>5</xdr:col>
      <xdr:colOff>549720</xdr:colOff>
      <xdr:row>259</xdr:row>
      <xdr:rowOff>126720</xdr:rowOff>
    </xdr:to>
    <xdr:pic>
      <xdr:nvPicPr>
        <xdr:cNvPr id="9" name="Imagen 33">
          <a:extLst>
            <a:ext uri="{FF2B5EF4-FFF2-40B4-BE49-F238E27FC236}">
              <a16:creationId xmlns:a16="http://schemas.microsoft.com/office/drawing/2014/main" id="{8628E70E-F016-4390-B1EE-5F0D57DA0A0C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>
        <a:xfrm>
          <a:off x="2083810" y="43259370"/>
          <a:ext cx="2117160" cy="1082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280</xdr:row>
      <xdr:rowOff>0</xdr:rowOff>
    </xdr:from>
    <xdr:to>
      <xdr:col>6</xdr:col>
      <xdr:colOff>358200</xdr:colOff>
      <xdr:row>284</xdr:row>
      <xdr:rowOff>89641</xdr:rowOff>
    </xdr:to>
    <xdr:pic>
      <xdr:nvPicPr>
        <xdr:cNvPr id="10" name="Imagen 34">
          <a:extLst>
            <a:ext uri="{FF2B5EF4-FFF2-40B4-BE49-F238E27FC236}">
              <a16:creationId xmlns:a16="http://schemas.microsoft.com/office/drawing/2014/main" id="{E5AF9FB5-0B45-4F2E-BB1A-C0606661B104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2051050" y="47682150"/>
          <a:ext cx="2758500" cy="75004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306</xdr:row>
      <xdr:rowOff>0</xdr:rowOff>
    </xdr:from>
    <xdr:to>
      <xdr:col>6</xdr:col>
      <xdr:colOff>358200</xdr:colOff>
      <xdr:row>310</xdr:row>
      <xdr:rowOff>89640</xdr:rowOff>
    </xdr:to>
    <xdr:pic>
      <xdr:nvPicPr>
        <xdr:cNvPr id="11" name="Imagen 35">
          <a:extLst>
            <a:ext uri="{FF2B5EF4-FFF2-40B4-BE49-F238E27FC236}">
              <a16:creationId xmlns:a16="http://schemas.microsoft.com/office/drawing/2014/main" id="{32BC76A5-3970-44AD-B129-82A525F682D3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2051050" y="51974750"/>
          <a:ext cx="2758500" cy="750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334</xdr:row>
      <xdr:rowOff>0</xdr:rowOff>
    </xdr:from>
    <xdr:to>
      <xdr:col>6</xdr:col>
      <xdr:colOff>101160</xdr:colOff>
      <xdr:row>338</xdr:row>
      <xdr:rowOff>80280</xdr:rowOff>
    </xdr:to>
    <xdr:pic>
      <xdr:nvPicPr>
        <xdr:cNvPr id="12" name="Imagen 36">
          <a:extLst>
            <a:ext uri="{FF2B5EF4-FFF2-40B4-BE49-F238E27FC236}">
              <a16:creationId xmlns:a16="http://schemas.microsoft.com/office/drawing/2014/main" id="{B6D7F324-1679-4454-92D8-095AD7AD8D6B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2051050" y="56597550"/>
          <a:ext cx="2501460" cy="740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361</xdr:row>
      <xdr:rowOff>0</xdr:rowOff>
    </xdr:from>
    <xdr:to>
      <xdr:col>6</xdr:col>
      <xdr:colOff>167760</xdr:colOff>
      <xdr:row>365</xdr:row>
      <xdr:rowOff>118441</xdr:rowOff>
    </xdr:to>
    <xdr:pic>
      <xdr:nvPicPr>
        <xdr:cNvPr id="13" name="Imagen 37">
          <a:extLst>
            <a:ext uri="{FF2B5EF4-FFF2-40B4-BE49-F238E27FC236}">
              <a16:creationId xmlns:a16="http://schemas.microsoft.com/office/drawing/2014/main" id="{6BAD0800-CB19-49EB-84D7-28F6B0BA7B43}"/>
            </a:ext>
          </a:extLst>
        </xdr:cNvPr>
        <xdr:cNvPicPr/>
      </xdr:nvPicPr>
      <xdr:blipFill>
        <a:blip xmlns:r="http://schemas.openxmlformats.org/officeDocument/2006/relationships" r:embed="rId10"/>
        <a:stretch/>
      </xdr:blipFill>
      <xdr:spPr>
        <a:xfrm>
          <a:off x="2051050" y="61055250"/>
          <a:ext cx="2568060" cy="77884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386</xdr:row>
      <xdr:rowOff>0</xdr:rowOff>
    </xdr:from>
    <xdr:to>
      <xdr:col>5</xdr:col>
      <xdr:colOff>425160</xdr:colOff>
      <xdr:row>391</xdr:row>
      <xdr:rowOff>5539</xdr:rowOff>
    </xdr:to>
    <xdr:pic>
      <xdr:nvPicPr>
        <xdr:cNvPr id="14" name="Imagen 38">
          <a:extLst>
            <a:ext uri="{FF2B5EF4-FFF2-40B4-BE49-F238E27FC236}">
              <a16:creationId xmlns:a16="http://schemas.microsoft.com/office/drawing/2014/main" id="{E10F98DB-5EDC-4C69-AE53-22DF65003F67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1250950" y="65182750"/>
          <a:ext cx="2825460" cy="83103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411</xdr:row>
      <xdr:rowOff>0</xdr:rowOff>
    </xdr:from>
    <xdr:to>
      <xdr:col>5</xdr:col>
      <xdr:colOff>425160</xdr:colOff>
      <xdr:row>416</xdr:row>
      <xdr:rowOff>5539</xdr:rowOff>
    </xdr:to>
    <xdr:pic>
      <xdr:nvPicPr>
        <xdr:cNvPr id="15" name="Imagen 39">
          <a:extLst>
            <a:ext uri="{FF2B5EF4-FFF2-40B4-BE49-F238E27FC236}">
              <a16:creationId xmlns:a16="http://schemas.microsoft.com/office/drawing/2014/main" id="{5424034E-E97E-4028-B61B-182F9F93A10A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1250950" y="69310250"/>
          <a:ext cx="2825460" cy="83103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436</xdr:row>
      <xdr:rowOff>0</xdr:rowOff>
    </xdr:from>
    <xdr:to>
      <xdr:col>5</xdr:col>
      <xdr:colOff>612360</xdr:colOff>
      <xdr:row>441</xdr:row>
      <xdr:rowOff>28799</xdr:rowOff>
    </xdr:to>
    <xdr:pic>
      <xdr:nvPicPr>
        <xdr:cNvPr id="16" name="Imagen 40">
          <a:extLst>
            <a:ext uri="{FF2B5EF4-FFF2-40B4-BE49-F238E27FC236}">
              <a16:creationId xmlns:a16="http://schemas.microsoft.com/office/drawing/2014/main" id="{EC2EEB55-E7B4-4AB6-AB31-985B6B91344C}"/>
            </a:ext>
          </a:extLst>
        </xdr:cNvPr>
        <xdr:cNvPicPr/>
      </xdr:nvPicPr>
      <xdr:blipFill>
        <a:blip xmlns:r="http://schemas.openxmlformats.org/officeDocument/2006/relationships" r:embed="rId12"/>
        <a:stretch/>
      </xdr:blipFill>
      <xdr:spPr>
        <a:xfrm>
          <a:off x="2051050" y="73437750"/>
          <a:ext cx="2212560" cy="854299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461</xdr:row>
      <xdr:rowOff>0</xdr:rowOff>
    </xdr:from>
    <xdr:to>
      <xdr:col>6</xdr:col>
      <xdr:colOff>425160</xdr:colOff>
      <xdr:row>465</xdr:row>
      <xdr:rowOff>118441</xdr:rowOff>
    </xdr:to>
    <xdr:pic>
      <xdr:nvPicPr>
        <xdr:cNvPr id="17" name="Imagen 41">
          <a:extLst>
            <a:ext uri="{FF2B5EF4-FFF2-40B4-BE49-F238E27FC236}">
              <a16:creationId xmlns:a16="http://schemas.microsoft.com/office/drawing/2014/main" id="{4D58F036-E3C9-4BDC-8D3C-4C877B489764}"/>
            </a:ext>
          </a:extLst>
        </xdr:cNvPr>
        <xdr:cNvPicPr/>
      </xdr:nvPicPr>
      <xdr:blipFill>
        <a:blip xmlns:r="http://schemas.openxmlformats.org/officeDocument/2006/relationships" r:embed="rId13"/>
        <a:stretch/>
      </xdr:blipFill>
      <xdr:spPr>
        <a:xfrm>
          <a:off x="2051050" y="77565250"/>
          <a:ext cx="2825460" cy="77884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87480</xdr:colOff>
      <xdr:row>486</xdr:row>
      <xdr:rowOff>151560</xdr:rowOff>
    </xdr:from>
    <xdr:to>
      <xdr:col>6</xdr:col>
      <xdr:colOff>388800</xdr:colOff>
      <xdr:row>492</xdr:row>
      <xdr:rowOff>138240</xdr:rowOff>
    </xdr:to>
    <xdr:pic>
      <xdr:nvPicPr>
        <xdr:cNvPr id="18" name="Imagen 42">
          <a:extLst>
            <a:ext uri="{FF2B5EF4-FFF2-40B4-BE49-F238E27FC236}">
              <a16:creationId xmlns:a16="http://schemas.microsoft.com/office/drawing/2014/main" id="{CCDD6B0F-68DE-4707-8B8E-6196B1544BE7}"/>
            </a:ext>
          </a:extLst>
        </xdr:cNvPr>
        <xdr:cNvPicPr/>
      </xdr:nvPicPr>
      <xdr:blipFill>
        <a:blip xmlns:r="http://schemas.openxmlformats.org/officeDocument/2006/relationships" r:embed="rId14"/>
        <a:stretch/>
      </xdr:blipFill>
      <xdr:spPr>
        <a:xfrm>
          <a:off x="2138530" y="81844310"/>
          <a:ext cx="2701620" cy="977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513</xdr:row>
      <xdr:rowOff>0</xdr:rowOff>
    </xdr:from>
    <xdr:to>
      <xdr:col>5</xdr:col>
      <xdr:colOff>445320</xdr:colOff>
      <xdr:row>518</xdr:row>
      <xdr:rowOff>68040</xdr:rowOff>
    </xdr:to>
    <xdr:pic>
      <xdr:nvPicPr>
        <xdr:cNvPr id="19" name="Imagen 43">
          <a:extLst>
            <a:ext uri="{FF2B5EF4-FFF2-40B4-BE49-F238E27FC236}">
              <a16:creationId xmlns:a16="http://schemas.microsoft.com/office/drawing/2014/main" id="{2985F8C8-92C5-4BEC-AA63-49CCDD379D1F}"/>
            </a:ext>
          </a:extLst>
        </xdr:cNvPr>
        <xdr:cNvPicPr/>
      </xdr:nvPicPr>
      <xdr:blipFill>
        <a:blip xmlns:r="http://schemas.openxmlformats.org/officeDocument/2006/relationships" r:embed="rId15"/>
        <a:stretch/>
      </xdr:blipFill>
      <xdr:spPr>
        <a:xfrm>
          <a:off x="2051050" y="86150450"/>
          <a:ext cx="2045520" cy="8935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538</xdr:row>
      <xdr:rowOff>0</xdr:rowOff>
    </xdr:from>
    <xdr:to>
      <xdr:col>5</xdr:col>
      <xdr:colOff>507600</xdr:colOff>
      <xdr:row>542</xdr:row>
      <xdr:rowOff>80640</xdr:rowOff>
    </xdr:to>
    <xdr:pic>
      <xdr:nvPicPr>
        <xdr:cNvPr id="20" name="Imagen 44">
          <a:extLst>
            <a:ext uri="{FF2B5EF4-FFF2-40B4-BE49-F238E27FC236}">
              <a16:creationId xmlns:a16="http://schemas.microsoft.com/office/drawing/2014/main" id="{9E51D24A-F43F-4E9C-B721-07E80020E3D4}"/>
            </a:ext>
          </a:extLst>
        </xdr:cNvPr>
        <xdr:cNvPicPr/>
      </xdr:nvPicPr>
      <xdr:blipFill>
        <a:blip xmlns:r="http://schemas.openxmlformats.org/officeDocument/2006/relationships" r:embed="rId16"/>
        <a:stretch/>
      </xdr:blipFill>
      <xdr:spPr>
        <a:xfrm>
          <a:off x="2051050" y="90277950"/>
          <a:ext cx="2107800" cy="741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562</xdr:row>
      <xdr:rowOff>0</xdr:rowOff>
    </xdr:from>
    <xdr:to>
      <xdr:col>5</xdr:col>
      <xdr:colOff>440640</xdr:colOff>
      <xdr:row>566</xdr:row>
      <xdr:rowOff>118440</xdr:rowOff>
    </xdr:to>
    <xdr:pic>
      <xdr:nvPicPr>
        <xdr:cNvPr id="21" name="Imagen 45">
          <a:extLst>
            <a:ext uri="{FF2B5EF4-FFF2-40B4-BE49-F238E27FC236}">
              <a16:creationId xmlns:a16="http://schemas.microsoft.com/office/drawing/2014/main" id="{C5E72197-F50F-4EA7-9C0E-ECA49C6D7057}"/>
            </a:ext>
          </a:extLst>
        </xdr:cNvPr>
        <xdr:cNvPicPr/>
      </xdr:nvPicPr>
      <xdr:blipFill>
        <a:blip xmlns:r="http://schemas.openxmlformats.org/officeDocument/2006/relationships" r:embed="rId17"/>
        <a:stretch/>
      </xdr:blipFill>
      <xdr:spPr>
        <a:xfrm>
          <a:off x="2051050" y="94240350"/>
          <a:ext cx="2040840" cy="778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586</xdr:row>
      <xdr:rowOff>0</xdr:rowOff>
    </xdr:from>
    <xdr:to>
      <xdr:col>6</xdr:col>
      <xdr:colOff>642240</xdr:colOff>
      <xdr:row>591</xdr:row>
      <xdr:rowOff>101160</xdr:rowOff>
    </xdr:to>
    <xdr:pic>
      <xdr:nvPicPr>
        <xdr:cNvPr id="22" name="Imagen 46">
          <a:extLst>
            <a:ext uri="{FF2B5EF4-FFF2-40B4-BE49-F238E27FC236}">
              <a16:creationId xmlns:a16="http://schemas.microsoft.com/office/drawing/2014/main" id="{2695B8B5-42F9-4035-8A42-3C4F930EB4C7}"/>
            </a:ext>
          </a:extLst>
        </xdr:cNvPr>
        <xdr:cNvPicPr/>
      </xdr:nvPicPr>
      <xdr:blipFill>
        <a:blip xmlns:r="http://schemas.openxmlformats.org/officeDocument/2006/relationships" r:embed="rId18"/>
        <a:stretch/>
      </xdr:blipFill>
      <xdr:spPr>
        <a:xfrm>
          <a:off x="2051050" y="98202750"/>
          <a:ext cx="3042540" cy="9266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0</xdr:colOff>
      <xdr:row>610</xdr:row>
      <xdr:rowOff>0</xdr:rowOff>
    </xdr:from>
    <xdr:to>
      <xdr:col>6</xdr:col>
      <xdr:colOff>1215720</xdr:colOff>
      <xdr:row>615</xdr:row>
      <xdr:rowOff>47880</xdr:rowOff>
    </xdr:to>
    <xdr:pic>
      <xdr:nvPicPr>
        <xdr:cNvPr id="23" name="Imagen 47">
          <a:extLst>
            <a:ext uri="{FF2B5EF4-FFF2-40B4-BE49-F238E27FC236}">
              <a16:creationId xmlns:a16="http://schemas.microsoft.com/office/drawing/2014/main" id="{0838037E-F0AB-4CD1-BCEE-EE599E3A5C7F}"/>
            </a:ext>
          </a:extLst>
        </xdr:cNvPr>
        <xdr:cNvPicPr/>
      </xdr:nvPicPr>
      <xdr:blipFill>
        <a:blip xmlns:r="http://schemas.openxmlformats.org/officeDocument/2006/relationships" r:embed="rId19"/>
        <a:stretch/>
      </xdr:blipFill>
      <xdr:spPr>
        <a:xfrm>
          <a:off x="2051050" y="102165150"/>
          <a:ext cx="3616020" cy="8733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307</xdr:row>
      <xdr:rowOff>360947</xdr:rowOff>
    </xdr:from>
    <xdr:to>
      <xdr:col>11</xdr:col>
      <xdr:colOff>2438754</xdr:colOff>
      <xdr:row>308</xdr:row>
      <xdr:rowOff>4748</xdr:rowOff>
    </xdr:to>
    <xdr:pic>
      <xdr:nvPicPr>
        <xdr:cNvPr id="24" name="Imagen 48">
          <a:extLst>
            <a:ext uri="{FF2B5EF4-FFF2-40B4-BE49-F238E27FC236}">
              <a16:creationId xmlns:a16="http://schemas.microsoft.com/office/drawing/2014/main" id="{A503F814-2A85-429C-AC47-B5012E85AF33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523039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335</xdr:row>
      <xdr:rowOff>360947</xdr:rowOff>
    </xdr:from>
    <xdr:to>
      <xdr:col>11</xdr:col>
      <xdr:colOff>2438754</xdr:colOff>
      <xdr:row>336</xdr:row>
      <xdr:rowOff>4748</xdr:rowOff>
    </xdr:to>
    <xdr:pic>
      <xdr:nvPicPr>
        <xdr:cNvPr id="25" name="Imagen 48">
          <a:extLst>
            <a:ext uri="{FF2B5EF4-FFF2-40B4-BE49-F238E27FC236}">
              <a16:creationId xmlns:a16="http://schemas.microsoft.com/office/drawing/2014/main" id="{7E02A60F-FE66-4349-8817-AE21E32B3A8C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569267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362</xdr:row>
      <xdr:rowOff>360947</xdr:rowOff>
    </xdr:from>
    <xdr:to>
      <xdr:col>11</xdr:col>
      <xdr:colOff>2438754</xdr:colOff>
      <xdr:row>363</xdr:row>
      <xdr:rowOff>4748</xdr:rowOff>
    </xdr:to>
    <xdr:pic>
      <xdr:nvPicPr>
        <xdr:cNvPr id="26" name="Imagen 48">
          <a:extLst>
            <a:ext uri="{FF2B5EF4-FFF2-40B4-BE49-F238E27FC236}">
              <a16:creationId xmlns:a16="http://schemas.microsoft.com/office/drawing/2014/main" id="{C1E7BA3A-1FD5-485C-8548-B6880A5CC7B7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613844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387</xdr:row>
      <xdr:rowOff>360947</xdr:rowOff>
    </xdr:from>
    <xdr:to>
      <xdr:col>11</xdr:col>
      <xdr:colOff>2438754</xdr:colOff>
      <xdr:row>388</xdr:row>
      <xdr:rowOff>4748</xdr:rowOff>
    </xdr:to>
    <xdr:pic>
      <xdr:nvPicPr>
        <xdr:cNvPr id="27" name="Imagen 48">
          <a:extLst>
            <a:ext uri="{FF2B5EF4-FFF2-40B4-BE49-F238E27FC236}">
              <a16:creationId xmlns:a16="http://schemas.microsoft.com/office/drawing/2014/main" id="{E0208CD3-B5D8-4242-8816-D7C134FC9DB1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655119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412</xdr:row>
      <xdr:rowOff>360947</xdr:rowOff>
    </xdr:from>
    <xdr:to>
      <xdr:col>11</xdr:col>
      <xdr:colOff>2438754</xdr:colOff>
      <xdr:row>413</xdr:row>
      <xdr:rowOff>4748</xdr:rowOff>
    </xdr:to>
    <xdr:pic>
      <xdr:nvPicPr>
        <xdr:cNvPr id="28" name="Imagen 48">
          <a:extLst>
            <a:ext uri="{FF2B5EF4-FFF2-40B4-BE49-F238E27FC236}">
              <a16:creationId xmlns:a16="http://schemas.microsoft.com/office/drawing/2014/main" id="{1490ACF5-EBF6-4D89-B9C2-1881F9FE4C4F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696394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437</xdr:row>
      <xdr:rowOff>360947</xdr:rowOff>
    </xdr:from>
    <xdr:to>
      <xdr:col>11</xdr:col>
      <xdr:colOff>2438754</xdr:colOff>
      <xdr:row>438</xdr:row>
      <xdr:rowOff>4748</xdr:rowOff>
    </xdr:to>
    <xdr:pic>
      <xdr:nvPicPr>
        <xdr:cNvPr id="29" name="Imagen 48">
          <a:extLst>
            <a:ext uri="{FF2B5EF4-FFF2-40B4-BE49-F238E27FC236}">
              <a16:creationId xmlns:a16="http://schemas.microsoft.com/office/drawing/2014/main" id="{D0BC0E33-D0F9-443A-BE09-79B90287D278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737669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462</xdr:row>
      <xdr:rowOff>360947</xdr:rowOff>
    </xdr:from>
    <xdr:to>
      <xdr:col>11</xdr:col>
      <xdr:colOff>2438754</xdr:colOff>
      <xdr:row>463</xdr:row>
      <xdr:rowOff>4748</xdr:rowOff>
    </xdr:to>
    <xdr:pic>
      <xdr:nvPicPr>
        <xdr:cNvPr id="30" name="Imagen 48">
          <a:extLst>
            <a:ext uri="{FF2B5EF4-FFF2-40B4-BE49-F238E27FC236}">
              <a16:creationId xmlns:a16="http://schemas.microsoft.com/office/drawing/2014/main" id="{BD902618-589A-4F0A-B796-0146BB2C5A28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778944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488</xdr:row>
      <xdr:rowOff>360947</xdr:rowOff>
    </xdr:from>
    <xdr:to>
      <xdr:col>11</xdr:col>
      <xdr:colOff>2438754</xdr:colOff>
      <xdr:row>489</xdr:row>
      <xdr:rowOff>4748</xdr:rowOff>
    </xdr:to>
    <xdr:pic>
      <xdr:nvPicPr>
        <xdr:cNvPr id="31" name="Imagen 48">
          <a:extLst>
            <a:ext uri="{FF2B5EF4-FFF2-40B4-BE49-F238E27FC236}">
              <a16:creationId xmlns:a16="http://schemas.microsoft.com/office/drawing/2014/main" id="{FD07FA03-39E4-496A-95AE-3C74E3100515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821870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514</xdr:row>
      <xdr:rowOff>360947</xdr:rowOff>
    </xdr:from>
    <xdr:to>
      <xdr:col>11</xdr:col>
      <xdr:colOff>2438754</xdr:colOff>
      <xdr:row>515</xdr:row>
      <xdr:rowOff>4748</xdr:rowOff>
    </xdr:to>
    <xdr:pic>
      <xdr:nvPicPr>
        <xdr:cNvPr id="32" name="Imagen 48">
          <a:extLst>
            <a:ext uri="{FF2B5EF4-FFF2-40B4-BE49-F238E27FC236}">
              <a16:creationId xmlns:a16="http://schemas.microsoft.com/office/drawing/2014/main" id="{824627B8-6A7A-4A07-A566-10F0011340A5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864796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539</xdr:row>
      <xdr:rowOff>360947</xdr:rowOff>
    </xdr:from>
    <xdr:to>
      <xdr:col>11</xdr:col>
      <xdr:colOff>2438754</xdr:colOff>
      <xdr:row>540</xdr:row>
      <xdr:rowOff>4748</xdr:rowOff>
    </xdr:to>
    <xdr:pic>
      <xdr:nvPicPr>
        <xdr:cNvPr id="33" name="Imagen 48">
          <a:extLst>
            <a:ext uri="{FF2B5EF4-FFF2-40B4-BE49-F238E27FC236}">
              <a16:creationId xmlns:a16="http://schemas.microsoft.com/office/drawing/2014/main" id="{F6F48F12-DE47-4E21-83AE-E28AF7D1BEF6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906071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563</xdr:row>
      <xdr:rowOff>360947</xdr:rowOff>
    </xdr:from>
    <xdr:to>
      <xdr:col>11</xdr:col>
      <xdr:colOff>2438754</xdr:colOff>
      <xdr:row>564</xdr:row>
      <xdr:rowOff>4748</xdr:rowOff>
    </xdr:to>
    <xdr:pic>
      <xdr:nvPicPr>
        <xdr:cNvPr id="34" name="Imagen 48">
          <a:extLst>
            <a:ext uri="{FF2B5EF4-FFF2-40B4-BE49-F238E27FC236}">
              <a16:creationId xmlns:a16="http://schemas.microsoft.com/office/drawing/2014/main" id="{9723C667-132E-4B14-A945-4310D5B33D64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945695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587</xdr:row>
      <xdr:rowOff>360947</xdr:rowOff>
    </xdr:from>
    <xdr:to>
      <xdr:col>11</xdr:col>
      <xdr:colOff>2438754</xdr:colOff>
      <xdr:row>588</xdr:row>
      <xdr:rowOff>4748</xdr:rowOff>
    </xdr:to>
    <xdr:pic>
      <xdr:nvPicPr>
        <xdr:cNvPr id="35" name="Imagen 48">
          <a:extLst>
            <a:ext uri="{FF2B5EF4-FFF2-40B4-BE49-F238E27FC236}">
              <a16:creationId xmlns:a16="http://schemas.microsoft.com/office/drawing/2014/main" id="{DE690940-0798-4687-B013-759FD9BE2165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985319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611</xdr:row>
      <xdr:rowOff>360947</xdr:rowOff>
    </xdr:from>
    <xdr:to>
      <xdr:col>11</xdr:col>
      <xdr:colOff>2438754</xdr:colOff>
      <xdr:row>612</xdr:row>
      <xdr:rowOff>4748</xdr:rowOff>
    </xdr:to>
    <xdr:pic>
      <xdr:nvPicPr>
        <xdr:cNvPr id="36" name="Imagen 48">
          <a:extLst>
            <a:ext uri="{FF2B5EF4-FFF2-40B4-BE49-F238E27FC236}">
              <a16:creationId xmlns:a16="http://schemas.microsoft.com/office/drawing/2014/main" id="{2C4AF23A-994F-432A-ACA6-3A7B18E71573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1024943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9</xdr:col>
      <xdr:colOff>762000</xdr:colOff>
      <xdr:row>281</xdr:row>
      <xdr:rowOff>360947</xdr:rowOff>
    </xdr:from>
    <xdr:ext cx="3321069" cy="451922"/>
    <xdr:pic>
      <xdr:nvPicPr>
        <xdr:cNvPr id="37" name="Imagen 48">
          <a:extLst>
            <a:ext uri="{FF2B5EF4-FFF2-40B4-BE49-F238E27FC236}">
              <a16:creationId xmlns:a16="http://schemas.microsoft.com/office/drawing/2014/main" id="{B278F508-1CDA-4BBB-86E6-3DBFB9144E75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480113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255</xdr:row>
      <xdr:rowOff>360947</xdr:rowOff>
    </xdr:from>
    <xdr:ext cx="3321069" cy="451922"/>
    <xdr:pic>
      <xdr:nvPicPr>
        <xdr:cNvPr id="38" name="Imagen 48">
          <a:extLst>
            <a:ext uri="{FF2B5EF4-FFF2-40B4-BE49-F238E27FC236}">
              <a16:creationId xmlns:a16="http://schemas.microsoft.com/office/drawing/2014/main" id="{52DEFA08-3E38-4B8A-A554-488C29A9CEAB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437187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229</xdr:row>
      <xdr:rowOff>360947</xdr:rowOff>
    </xdr:from>
    <xdr:ext cx="3321069" cy="451922"/>
    <xdr:pic>
      <xdr:nvPicPr>
        <xdr:cNvPr id="39" name="Imagen 48">
          <a:extLst>
            <a:ext uri="{FF2B5EF4-FFF2-40B4-BE49-F238E27FC236}">
              <a16:creationId xmlns:a16="http://schemas.microsoft.com/office/drawing/2014/main" id="{F75F79F0-1B18-47B2-9EEA-BC8AA5A6FA0E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394261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204</xdr:row>
      <xdr:rowOff>360947</xdr:rowOff>
    </xdr:from>
    <xdr:ext cx="3321069" cy="451922"/>
    <xdr:pic>
      <xdr:nvPicPr>
        <xdr:cNvPr id="40" name="Imagen 48">
          <a:extLst>
            <a:ext uri="{FF2B5EF4-FFF2-40B4-BE49-F238E27FC236}">
              <a16:creationId xmlns:a16="http://schemas.microsoft.com/office/drawing/2014/main" id="{DF95CA1A-2655-45A0-AC1F-D8FF651CD0D7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352986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179</xdr:row>
      <xdr:rowOff>360947</xdr:rowOff>
    </xdr:from>
    <xdr:ext cx="3321069" cy="451922"/>
    <xdr:pic>
      <xdr:nvPicPr>
        <xdr:cNvPr id="41" name="Imagen 48">
          <a:extLst>
            <a:ext uri="{FF2B5EF4-FFF2-40B4-BE49-F238E27FC236}">
              <a16:creationId xmlns:a16="http://schemas.microsoft.com/office/drawing/2014/main" id="{4EBE7276-D80F-4158-A894-3A48C3AD96FD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311711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152</xdr:row>
      <xdr:rowOff>360947</xdr:rowOff>
    </xdr:from>
    <xdr:ext cx="3321069" cy="451922"/>
    <xdr:pic>
      <xdr:nvPicPr>
        <xdr:cNvPr id="42" name="Imagen 48">
          <a:extLst>
            <a:ext uri="{FF2B5EF4-FFF2-40B4-BE49-F238E27FC236}">
              <a16:creationId xmlns:a16="http://schemas.microsoft.com/office/drawing/2014/main" id="{B9233265-A1FC-4BD4-9C98-B35598632A68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267134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127</xdr:row>
      <xdr:rowOff>360947</xdr:rowOff>
    </xdr:from>
    <xdr:ext cx="3321069" cy="451922"/>
    <xdr:pic>
      <xdr:nvPicPr>
        <xdr:cNvPr id="43" name="Imagen 48">
          <a:extLst>
            <a:ext uri="{FF2B5EF4-FFF2-40B4-BE49-F238E27FC236}">
              <a16:creationId xmlns:a16="http://schemas.microsoft.com/office/drawing/2014/main" id="{99589EA1-7A5C-471F-B5A8-DC88AD1C50AF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225859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101</xdr:row>
      <xdr:rowOff>360947</xdr:rowOff>
    </xdr:from>
    <xdr:ext cx="3321069" cy="451922"/>
    <xdr:pic>
      <xdr:nvPicPr>
        <xdr:cNvPr id="44" name="Imagen 48">
          <a:extLst>
            <a:ext uri="{FF2B5EF4-FFF2-40B4-BE49-F238E27FC236}">
              <a16:creationId xmlns:a16="http://schemas.microsoft.com/office/drawing/2014/main" id="{6111B91C-8E31-4D8F-8B39-267FDD1C8466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182933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oneCellAnchor>
    <xdr:from>
      <xdr:col>9</xdr:col>
      <xdr:colOff>762000</xdr:colOff>
      <xdr:row>74</xdr:row>
      <xdr:rowOff>360947</xdr:rowOff>
    </xdr:from>
    <xdr:ext cx="3321069" cy="451922"/>
    <xdr:pic>
      <xdr:nvPicPr>
        <xdr:cNvPr id="45" name="Imagen 48">
          <a:extLst>
            <a:ext uri="{FF2B5EF4-FFF2-40B4-BE49-F238E27FC236}">
              <a16:creationId xmlns:a16="http://schemas.microsoft.com/office/drawing/2014/main" id="{3A1463AD-64EC-48A5-8A02-38E5A9DB2499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13835647"/>
          <a:ext cx="3321069" cy="451922"/>
        </a:xfrm>
        <a:prstGeom prst="rect">
          <a:avLst/>
        </a:prstGeom>
        <a:ln w="0">
          <a:noFill/>
        </a:ln>
      </xdr:spPr>
    </xdr:pic>
    <xdr:clientData/>
  </xdr:oneCellAnchor>
  <xdr:twoCellAnchor editAs="oneCell">
    <xdr:from>
      <xdr:col>3</xdr:col>
      <xdr:colOff>0</xdr:colOff>
      <xdr:row>71</xdr:row>
      <xdr:rowOff>0</xdr:rowOff>
    </xdr:from>
    <xdr:to>
      <xdr:col>5</xdr:col>
      <xdr:colOff>650160</xdr:colOff>
      <xdr:row>75</xdr:row>
      <xdr:rowOff>5614</xdr:rowOff>
    </xdr:to>
    <xdr:pic>
      <xdr:nvPicPr>
        <xdr:cNvPr id="46" name="Imagen 18">
          <a:extLst>
            <a:ext uri="{FF2B5EF4-FFF2-40B4-BE49-F238E27FC236}">
              <a16:creationId xmlns:a16="http://schemas.microsoft.com/office/drawing/2014/main" id="{869AA4B9-4C1F-49FD-91F6-4E9838D85205}"/>
            </a:ext>
          </a:extLst>
        </xdr:cNvPr>
        <xdr:cNvPicPr/>
      </xdr:nvPicPr>
      <xdr:blipFill>
        <a:blip xmlns:r="http://schemas.openxmlformats.org/officeDocument/2006/relationships" r:embed="rId21"/>
        <a:stretch/>
      </xdr:blipFill>
      <xdr:spPr>
        <a:xfrm>
          <a:off x="2051050" y="13176250"/>
          <a:ext cx="2250360" cy="666014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72</xdr:row>
      <xdr:rowOff>360947</xdr:rowOff>
    </xdr:from>
    <xdr:to>
      <xdr:col>11</xdr:col>
      <xdr:colOff>2438754</xdr:colOff>
      <xdr:row>73</xdr:row>
      <xdr:rowOff>4748</xdr:rowOff>
    </xdr:to>
    <xdr:pic>
      <xdr:nvPicPr>
        <xdr:cNvPr id="47" name="Imagen 48">
          <a:extLst>
            <a:ext uri="{FF2B5EF4-FFF2-40B4-BE49-F238E27FC236}">
              <a16:creationId xmlns:a16="http://schemas.microsoft.com/office/drawing/2014/main" id="{C59D726F-DF7E-4CA3-849E-1A35B70BA326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135054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46</xdr:row>
      <xdr:rowOff>360947</xdr:rowOff>
    </xdr:from>
    <xdr:to>
      <xdr:col>11</xdr:col>
      <xdr:colOff>2438754</xdr:colOff>
      <xdr:row>47</xdr:row>
      <xdr:rowOff>4748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187B7C7-9116-4B8F-AE2A-2351262266C5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92128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45</xdr:row>
      <xdr:rowOff>360947</xdr:rowOff>
    </xdr:from>
    <xdr:to>
      <xdr:col>11</xdr:col>
      <xdr:colOff>2438754</xdr:colOff>
      <xdr:row>46</xdr:row>
      <xdr:rowOff>4748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ADE20503-C3C4-4205-AE95-C145F835470E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90477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582480</xdr:colOff>
      <xdr:row>67</xdr:row>
      <xdr:rowOff>76680</xdr:rowOff>
    </xdr:from>
    <xdr:to>
      <xdr:col>6</xdr:col>
      <xdr:colOff>1497600</xdr:colOff>
      <xdr:row>71</xdr:row>
      <xdr:rowOff>160405</xdr:rowOff>
    </xdr:to>
    <xdr:pic>
      <xdr:nvPicPr>
        <xdr:cNvPr id="50" name="Imagen 10">
          <a:extLst>
            <a:ext uri="{FF2B5EF4-FFF2-40B4-BE49-F238E27FC236}">
              <a16:creationId xmlns:a16="http://schemas.microsoft.com/office/drawing/2014/main" id="{F4C2B10E-19D6-4539-AA5E-BD0562AEEE22}"/>
            </a:ext>
          </a:extLst>
        </xdr:cNvPr>
        <xdr:cNvPicPr/>
      </xdr:nvPicPr>
      <xdr:blipFill>
        <a:blip xmlns:r="http://schemas.openxmlformats.org/officeDocument/2006/relationships" r:embed="rId22"/>
        <a:stretch/>
      </xdr:blipFill>
      <xdr:spPr>
        <a:xfrm>
          <a:off x="4233730" y="12592530"/>
          <a:ext cx="1715220" cy="7441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44</xdr:row>
      <xdr:rowOff>360947</xdr:rowOff>
    </xdr:from>
    <xdr:to>
      <xdr:col>11</xdr:col>
      <xdr:colOff>2438754</xdr:colOff>
      <xdr:row>45</xdr:row>
      <xdr:rowOff>4748</xdr:rowOff>
    </xdr:to>
    <xdr:pic>
      <xdr:nvPicPr>
        <xdr:cNvPr id="51" name="Imagen 48">
          <a:extLst>
            <a:ext uri="{FF2B5EF4-FFF2-40B4-BE49-F238E27FC236}">
              <a16:creationId xmlns:a16="http://schemas.microsoft.com/office/drawing/2014/main" id="{950CA962-B6EA-462E-ACEE-5D9F6C1849E0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88826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762000</xdr:colOff>
      <xdr:row>69</xdr:row>
      <xdr:rowOff>360947</xdr:rowOff>
    </xdr:from>
    <xdr:to>
      <xdr:col>11</xdr:col>
      <xdr:colOff>2438754</xdr:colOff>
      <xdr:row>70</xdr:row>
      <xdr:rowOff>4748</xdr:rowOff>
    </xdr:to>
    <xdr:pic>
      <xdr:nvPicPr>
        <xdr:cNvPr id="52" name="Imagen 48">
          <a:extLst>
            <a:ext uri="{FF2B5EF4-FFF2-40B4-BE49-F238E27FC236}">
              <a16:creationId xmlns:a16="http://schemas.microsoft.com/office/drawing/2014/main" id="{19C2FD0B-54BF-4A4C-8FE6-8ECB02454B68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8597900" y="13010147"/>
          <a:ext cx="3353154" cy="5751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10027</xdr:colOff>
      <xdr:row>20</xdr:row>
      <xdr:rowOff>40106</xdr:rowOff>
    </xdr:from>
    <xdr:to>
      <xdr:col>11</xdr:col>
      <xdr:colOff>2045368</xdr:colOff>
      <xdr:row>24</xdr:row>
      <xdr:rowOff>1158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6181BB42-D0CB-4183-BA2A-9CD0ECA86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6027" y="4561306"/>
          <a:ext cx="2911641" cy="7230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Usuario\Desktop\Alcaldia%20de%20Palestina\3.%20DISE&#209;OS%20Y%20OTROS\2024\5.%20Cancha%20sintetica%20y%20Patinaje%20Palestina\Cancha%20sintetica%20palestina\Gabriel\Desktop\0.%20PRESUPUESTO%20CONSTRUCCION%20CANCHA%20SINTETICA%20PALESTINA,%20CALDAS.%20V2%2011%20ABRIL.xlsx?3D700798" TargetMode="External"/><Relationship Id="rId1" Type="http://schemas.openxmlformats.org/officeDocument/2006/relationships/externalLinkPath" Target="file:///\\3D700798\0.%20PRESUPUESTO%20CONSTRUCCION%20CANCHA%20SINTETICA%20PALESTINA,%20CALDAS.%20V2%2011%20ABR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 Y PRESTAC"/>
      <sheetName val="MANO DE OBRA"/>
      <sheetName val="LISTA DE INSUMOS"/>
      <sheetName val="EQUIPOS"/>
      <sheetName val="ANALISIS DEL A.I.U. "/>
      <sheetName val="FACTOR MULT"/>
      <sheetName val="INTERVENTORÍA"/>
      <sheetName val="PRESUPUESTO"/>
      <sheetName val="CRONOG CON FLUJO"/>
      <sheetName val="MEMORIA  PRELIMINARES - 1"/>
      <sheetName val="MEMORIA INST HS - 2"/>
      <sheetName val="MEMORIAS  CUBIERTA - 3"/>
      <sheetName val="MEMORIAS ENCHAPES - 4"/>
      <sheetName val="MEMORIAS CIMENTACION - 5"/>
      <sheetName val="ESTRUCTURA -6"/>
      <sheetName val="EQUIPOS ESP - 7"/>
      <sheetName val="MAMPOSTERIA - 8"/>
      <sheetName val="CARPINTERIA METALICA - 9"/>
      <sheetName val="PINTURAS -10"/>
      <sheetName val="CERRAMIENTOS -11"/>
      <sheetName val="PISOS -12"/>
      <sheetName val="ELECTRICAS -13"/>
      <sheetName val="APUS PRIMARIOS"/>
      <sheetName val="APU - PRELIMINARES - 1"/>
      <sheetName val="APU- INST HS -2"/>
      <sheetName val="APU - CUBIERTA -3"/>
      <sheetName val="APU- ENCHAPES -4"/>
      <sheetName val="APU - CIMENTACION - 5"/>
      <sheetName val="APU-ESTRUCTURA -6"/>
      <sheetName val="APU-EQUIPOS ESP -7"/>
      <sheetName val="APU - MAMPOSTERIA -8"/>
      <sheetName val="APU- CARP METALICA -9"/>
      <sheetName val="APU - PINTURAS -10"/>
      <sheetName val="APU- CERRAMIENTO -11"/>
      <sheetName val="APU -PISOS -12"/>
      <sheetName val="APU -ELECTRICOS -13"/>
      <sheetName val="insumos"/>
    </sheetNames>
    <sheetDataSet>
      <sheetData sheetId="0"/>
      <sheetData sheetId="1">
        <row r="22">
          <cell r="C22">
            <v>1.85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2:T62"/>
  <sheetViews>
    <sheetView showGridLines="0" tabSelected="1" topLeftCell="A6" zoomScale="85" zoomScaleNormal="85" workbookViewId="0">
      <selection activeCell="C26" sqref="C26:C27"/>
    </sheetView>
  </sheetViews>
  <sheetFormatPr baseColWidth="10" defaultColWidth="11.42578125" defaultRowHeight="12" x14ac:dyDescent="0.2"/>
  <cols>
    <col min="1" max="1" width="2.42578125" style="53" customWidth="1"/>
    <col min="2" max="2" width="41.5703125" style="53" customWidth="1"/>
    <col min="3" max="3" width="25.140625" style="53" customWidth="1"/>
    <col min="4" max="4" width="14.42578125" style="53" customWidth="1"/>
    <col min="5" max="6" width="17.5703125" style="53" customWidth="1"/>
    <col min="7" max="7" width="19.140625" style="53" customWidth="1"/>
    <col min="8" max="16" width="18.42578125" style="53" customWidth="1"/>
    <col min="17" max="17" width="2" style="53" customWidth="1"/>
    <col min="18" max="18" width="15.140625" style="53" customWidth="1"/>
    <col min="19" max="16383" width="11.42578125" style="53"/>
    <col min="16384" max="16384" width="11.5703125" style="53" customWidth="1"/>
  </cols>
  <sheetData>
    <row r="2" spans="2:20" ht="18" customHeight="1" x14ac:dyDescent="0.3">
      <c r="B2" s="566" t="s">
        <v>0</v>
      </c>
      <c r="C2" s="566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2:20" ht="36.75" customHeight="1" thickBot="1" x14ac:dyDescent="0.25">
      <c r="B3" s="567" t="s">
        <v>22</v>
      </c>
      <c r="C3" s="567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2:20" ht="18" customHeight="1" thickBot="1" x14ac:dyDescent="0.25">
      <c r="B4" s="568" t="s">
        <v>23</v>
      </c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</row>
    <row r="5" spans="2:20" ht="12.75" customHeight="1" thickBot="1" x14ac:dyDescent="0.25">
      <c r="B5" s="569" t="s">
        <v>24</v>
      </c>
      <c r="C5" s="570" t="s">
        <v>25</v>
      </c>
      <c r="D5" s="56">
        <v>1</v>
      </c>
      <c r="E5" s="56">
        <v>2</v>
      </c>
      <c r="F5" s="56">
        <v>3</v>
      </c>
      <c r="G5" s="56">
        <v>4</v>
      </c>
      <c r="H5" s="56">
        <v>5</v>
      </c>
      <c r="I5" s="56">
        <v>6</v>
      </c>
      <c r="J5" s="56">
        <v>7</v>
      </c>
      <c r="K5" s="56">
        <v>8</v>
      </c>
      <c r="L5" s="56">
        <v>9</v>
      </c>
      <c r="M5" s="56">
        <v>10</v>
      </c>
      <c r="N5" s="56">
        <v>11</v>
      </c>
      <c r="O5" s="56">
        <v>12</v>
      </c>
      <c r="P5" s="56">
        <v>13</v>
      </c>
    </row>
    <row r="6" spans="2:20" ht="24" customHeight="1" thickBot="1" x14ac:dyDescent="0.25">
      <c r="B6" s="569"/>
      <c r="C6" s="570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1" t="s">
        <v>26</v>
      </c>
    </row>
    <row r="7" spans="2:20" ht="24" customHeight="1" thickBot="1" x14ac:dyDescent="0.25">
      <c r="B7" s="569"/>
      <c r="C7" s="570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1"/>
    </row>
    <row r="8" spans="2:20" ht="15.75" customHeight="1" thickBot="1" x14ac:dyDescent="0.25">
      <c r="B8" s="562" t="s">
        <v>260</v>
      </c>
      <c r="C8" s="565">
        <f>'PPTO '!G9</f>
        <v>6370608.3840000005</v>
      </c>
      <c r="D8" s="481"/>
      <c r="E8" s="481"/>
      <c r="F8" s="479"/>
      <c r="G8" s="479"/>
      <c r="H8" s="479"/>
      <c r="I8" s="479"/>
      <c r="J8" s="479"/>
      <c r="K8" s="479"/>
      <c r="L8" s="479"/>
      <c r="M8" s="479"/>
      <c r="N8" s="479"/>
      <c r="O8" s="479"/>
      <c r="P8" s="62"/>
    </row>
    <row r="9" spans="2:20" ht="12.75" thickBot="1" x14ac:dyDescent="0.25">
      <c r="B9" s="562"/>
      <c r="C9" s="565"/>
      <c r="D9" s="59">
        <f>+ROUND($C$8*0.8,2)</f>
        <v>5096486.71</v>
      </c>
      <c r="E9" s="59">
        <f>+ROUND($C$8*0.2,2)</f>
        <v>1274121.68</v>
      </c>
      <c r="F9" s="478"/>
      <c r="G9" s="478"/>
      <c r="H9" s="478"/>
      <c r="I9" s="478"/>
      <c r="J9" s="478"/>
      <c r="K9" s="478"/>
      <c r="L9" s="478"/>
      <c r="M9" s="478"/>
      <c r="N9" s="478"/>
      <c r="O9" s="478"/>
      <c r="P9" s="60"/>
      <c r="R9" s="61"/>
    </row>
    <row r="10" spans="2:20" ht="15.75" customHeight="1" thickBot="1" x14ac:dyDescent="0.25">
      <c r="B10" s="562" t="s">
        <v>261</v>
      </c>
      <c r="C10" s="563">
        <f>'PPTO '!G11</f>
        <v>39472993.9296</v>
      </c>
      <c r="D10" s="477"/>
      <c r="E10" s="58"/>
      <c r="F10" s="58"/>
      <c r="G10" s="477"/>
      <c r="H10" s="477"/>
      <c r="I10" s="477"/>
      <c r="J10" s="477"/>
      <c r="K10" s="477"/>
      <c r="L10" s="477"/>
      <c r="M10" s="477"/>
      <c r="N10" s="477"/>
      <c r="O10" s="477"/>
      <c r="P10" s="62"/>
      <c r="R10" s="61"/>
    </row>
    <row r="11" spans="2:20" ht="12.75" thickBot="1" x14ac:dyDescent="0.25">
      <c r="B11" s="562"/>
      <c r="C11" s="563"/>
      <c r="D11" s="478"/>
      <c r="E11" s="59">
        <f>+ROUND($C$10/2,2)</f>
        <v>19736496.960000001</v>
      </c>
      <c r="F11" s="59">
        <f>+ROUND($C$10/2,2)</f>
        <v>19736496.960000001</v>
      </c>
      <c r="G11" s="478"/>
      <c r="H11" s="478"/>
      <c r="I11" s="478"/>
      <c r="J11" s="478"/>
      <c r="K11" s="478"/>
      <c r="L11" s="478"/>
      <c r="M11" s="478"/>
      <c r="N11" s="478"/>
      <c r="O11" s="478"/>
      <c r="P11" s="60"/>
      <c r="R11" s="61"/>
      <c r="T11" s="61"/>
    </row>
    <row r="12" spans="2:20" ht="15.75" customHeight="1" thickBot="1" x14ac:dyDescent="0.25">
      <c r="B12" s="562" t="s">
        <v>326</v>
      </c>
      <c r="C12" s="563">
        <f>'PPTO '!G13</f>
        <v>180488000.04479998</v>
      </c>
      <c r="D12" s="479"/>
      <c r="E12" s="479"/>
      <c r="F12" s="479"/>
      <c r="G12" s="58"/>
      <c r="H12" s="58"/>
      <c r="I12" s="482"/>
      <c r="J12" s="477"/>
      <c r="K12" s="477"/>
      <c r="L12" s="480"/>
      <c r="M12" s="477"/>
      <c r="N12" s="477"/>
      <c r="O12" s="477"/>
      <c r="P12" s="62"/>
      <c r="R12" s="61"/>
      <c r="T12" s="61"/>
    </row>
    <row r="13" spans="2:20" ht="12.75" thickBot="1" x14ac:dyDescent="0.25">
      <c r="B13" s="562"/>
      <c r="C13" s="563"/>
      <c r="D13" s="478"/>
      <c r="E13" s="478"/>
      <c r="F13" s="478"/>
      <c r="G13" s="59">
        <f>+ROUND($C$12*0.33,2)</f>
        <v>59561040.009999998</v>
      </c>
      <c r="H13" s="59">
        <f>+ROUND($C$12*0.33,2)</f>
        <v>59561040.009999998</v>
      </c>
      <c r="I13" s="59">
        <f>+ROUND($C$12*0.34,2)</f>
        <v>61365920.020000003</v>
      </c>
      <c r="J13" s="478"/>
      <c r="K13" s="478"/>
      <c r="L13" s="478"/>
      <c r="M13" s="478"/>
      <c r="N13" s="478"/>
      <c r="O13" s="478"/>
      <c r="P13" s="60"/>
      <c r="R13" s="61"/>
      <c r="T13" s="61"/>
    </row>
    <row r="14" spans="2:20" ht="15.75" customHeight="1" thickBot="1" x14ac:dyDescent="0.25">
      <c r="B14" s="562" t="s">
        <v>276</v>
      </c>
      <c r="C14" s="563">
        <f>'PPTO '!G15</f>
        <v>29687277.600000005</v>
      </c>
      <c r="D14" s="479"/>
      <c r="E14" s="479"/>
      <c r="F14" s="479"/>
      <c r="G14" s="479"/>
      <c r="H14" s="479"/>
      <c r="I14" s="479"/>
      <c r="J14" s="58"/>
      <c r="K14" s="58"/>
      <c r="L14" s="477"/>
      <c r="M14" s="477"/>
      <c r="N14" s="477"/>
      <c r="O14" s="477"/>
      <c r="P14" s="62"/>
      <c r="R14" s="61"/>
      <c r="T14" s="61"/>
    </row>
    <row r="15" spans="2:20" ht="13.5" customHeight="1" thickBot="1" x14ac:dyDescent="0.25">
      <c r="B15" s="562"/>
      <c r="C15" s="563"/>
      <c r="D15" s="478"/>
      <c r="E15" s="478"/>
      <c r="F15" s="478"/>
      <c r="G15" s="478"/>
      <c r="H15" s="478"/>
      <c r="I15" s="478"/>
      <c r="J15" s="59">
        <f>+ROUND($C$14*0.85,2)</f>
        <v>25234185.960000001</v>
      </c>
      <c r="K15" s="59">
        <f>+ROUND($C$14*0.15,2)</f>
        <v>4453091.6399999997</v>
      </c>
      <c r="L15" s="478"/>
      <c r="M15" s="478"/>
      <c r="N15" s="478"/>
      <c r="O15" s="478"/>
      <c r="P15" s="63"/>
      <c r="R15" s="61"/>
      <c r="T15" s="61"/>
    </row>
    <row r="16" spans="2:20" ht="15.75" customHeight="1" thickBot="1" x14ac:dyDescent="0.25">
      <c r="B16" s="562" t="s">
        <v>285</v>
      </c>
      <c r="C16" s="563">
        <f>'PPTO '!G17</f>
        <v>201530753.00999999</v>
      </c>
      <c r="D16" s="479"/>
      <c r="E16" s="479"/>
      <c r="F16" s="479"/>
      <c r="G16" s="479"/>
      <c r="H16" s="58"/>
      <c r="I16" s="58"/>
      <c r="J16" s="58"/>
      <c r="K16" s="58"/>
      <c r="L16" s="58"/>
      <c r="M16" s="58"/>
      <c r="N16" s="58"/>
      <c r="O16" s="58"/>
      <c r="P16" s="62"/>
      <c r="R16" s="61"/>
      <c r="T16" s="61"/>
    </row>
    <row r="17" spans="2:20" ht="13.5" customHeight="1" thickBot="1" x14ac:dyDescent="0.25">
      <c r="B17" s="562"/>
      <c r="C17" s="563"/>
      <c r="D17" s="478"/>
      <c r="E17" s="478"/>
      <c r="F17" s="478"/>
      <c r="G17" s="478"/>
      <c r="H17" s="59">
        <f t="shared" ref="H17:L17" si="0">+ROUND($C$16/8,2)</f>
        <v>25191344.129999999</v>
      </c>
      <c r="I17" s="59">
        <f t="shared" si="0"/>
        <v>25191344.129999999</v>
      </c>
      <c r="J17" s="59">
        <f t="shared" si="0"/>
        <v>25191344.129999999</v>
      </c>
      <c r="K17" s="59">
        <f>+ROUND($C$16/8,0)</f>
        <v>25191344</v>
      </c>
      <c r="L17" s="59">
        <f t="shared" si="0"/>
        <v>25191344.129999999</v>
      </c>
      <c r="M17" s="59">
        <f>+ROUND($C$16/8,0)</f>
        <v>25191344</v>
      </c>
      <c r="N17" s="59">
        <f>+ROUND($C$16/8,0)</f>
        <v>25191344</v>
      </c>
      <c r="O17" s="59">
        <f>+ROUND($C$16/8,0)</f>
        <v>25191344</v>
      </c>
      <c r="P17" s="64"/>
      <c r="R17" s="61"/>
      <c r="T17" s="61"/>
    </row>
    <row r="18" spans="2:20" ht="13.5" customHeight="1" thickBot="1" x14ac:dyDescent="0.25">
      <c r="B18" s="562" t="s">
        <v>309</v>
      </c>
      <c r="C18" s="563">
        <f>'PPTO '!G19</f>
        <v>15018080.91</v>
      </c>
      <c r="D18" s="479"/>
      <c r="E18" s="479"/>
      <c r="F18" s="58"/>
      <c r="G18" s="58"/>
      <c r="H18" s="479"/>
      <c r="I18" s="479"/>
      <c r="J18" s="479"/>
      <c r="K18" s="479"/>
      <c r="L18" s="479"/>
      <c r="M18" s="479"/>
      <c r="N18" s="479"/>
      <c r="O18" s="479"/>
      <c r="P18" s="62"/>
      <c r="R18" s="61"/>
      <c r="T18" s="61"/>
    </row>
    <row r="19" spans="2:20" ht="13.5" customHeight="1" thickBot="1" x14ac:dyDescent="0.25">
      <c r="B19" s="562"/>
      <c r="C19" s="563"/>
      <c r="D19" s="478"/>
      <c r="E19" s="478"/>
      <c r="F19" s="59">
        <f>+ROUND($C$18/2,2)</f>
        <v>7509040.46</v>
      </c>
      <c r="G19" s="59">
        <f>+ROUND($C$18/2,2)</f>
        <v>7509040.46</v>
      </c>
      <c r="H19" s="478"/>
      <c r="I19" s="478"/>
      <c r="J19" s="478"/>
      <c r="K19" s="478"/>
      <c r="L19" s="478"/>
      <c r="M19" s="478"/>
      <c r="N19" s="478"/>
      <c r="O19" s="478"/>
      <c r="P19" s="64"/>
      <c r="R19" s="61"/>
      <c r="T19" s="61"/>
    </row>
    <row r="20" spans="2:20" ht="13.5" customHeight="1" thickBot="1" x14ac:dyDescent="0.25">
      <c r="B20" s="562" t="s">
        <v>327</v>
      </c>
      <c r="C20" s="563">
        <f>'PPTO '!G21</f>
        <v>10765250</v>
      </c>
      <c r="D20" s="479"/>
      <c r="E20" s="479"/>
      <c r="F20" s="58"/>
      <c r="G20" s="479"/>
      <c r="H20" s="479"/>
      <c r="I20" s="479"/>
      <c r="J20" s="479"/>
      <c r="K20" s="479"/>
      <c r="L20" s="479"/>
      <c r="M20" s="479"/>
      <c r="N20" s="479"/>
      <c r="O20" s="479"/>
      <c r="P20" s="62"/>
      <c r="R20" s="61"/>
      <c r="T20" s="61"/>
    </row>
    <row r="21" spans="2:20" ht="13.5" customHeight="1" thickBot="1" x14ac:dyDescent="0.25">
      <c r="B21" s="562"/>
      <c r="C21" s="563"/>
      <c r="D21" s="478"/>
      <c r="E21" s="478"/>
      <c r="F21" s="59">
        <f>+ROUND($C$20/1,2)</f>
        <v>10765250</v>
      </c>
      <c r="G21" s="478"/>
      <c r="H21" s="478"/>
      <c r="I21" s="478"/>
      <c r="J21" s="478"/>
      <c r="K21" s="478"/>
      <c r="L21" s="478"/>
      <c r="M21" s="478"/>
      <c r="N21" s="478"/>
      <c r="O21" s="478"/>
      <c r="P21" s="64"/>
      <c r="R21" s="61"/>
      <c r="T21" s="61"/>
    </row>
    <row r="22" spans="2:20" ht="13.5" customHeight="1" thickBot="1" x14ac:dyDescent="0.25">
      <c r="B22" s="562" t="s">
        <v>329</v>
      </c>
      <c r="C22" s="563">
        <f>'PPTO '!G23</f>
        <v>42383610.560000002</v>
      </c>
      <c r="D22" s="479"/>
      <c r="E22" s="479"/>
      <c r="F22" s="479"/>
      <c r="G22" s="479"/>
      <c r="H22" s="479"/>
      <c r="I22" s="479"/>
      <c r="J22" s="479"/>
      <c r="K22" s="479"/>
      <c r="L22" s="479"/>
      <c r="M22" s="479"/>
      <c r="N22" s="479"/>
      <c r="O22" s="58"/>
      <c r="P22" s="62"/>
      <c r="R22" s="61"/>
      <c r="T22" s="61"/>
    </row>
    <row r="23" spans="2:20" ht="13.5" customHeight="1" thickBot="1" x14ac:dyDescent="0.25">
      <c r="B23" s="562"/>
      <c r="C23" s="563"/>
      <c r="D23" s="478"/>
      <c r="E23" s="478"/>
      <c r="F23" s="478"/>
      <c r="G23" s="478"/>
      <c r="H23" s="478"/>
      <c r="I23" s="478"/>
      <c r="J23" s="478"/>
      <c r="K23" s="478"/>
      <c r="L23" s="478"/>
      <c r="M23" s="478"/>
      <c r="N23" s="478"/>
      <c r="O23" s="59">
        <f>+ROUND($C$22/1,2)</f>
        <v>42383610.560000002</v>
      </c>
      <c r="P23" s="64"/>
      <c r="R23" s="61"/>
      <c r="T23" s="61"/>
    </row>
    <row r="24" spans="2:20" ht="13.5" customHeight="1" thickBot="1" x14ac:dyDescent="0.25">
      <c r="B24" s="562" t="s">
        <v>370</v>
      </c>
      <c r="C24" s="563">
        <f>'PPTO '!G25</f>
        <v>797152.55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62"/>
      <c r="R24" s="61"/>
      <c r="T24" s="61"/>
    </row>
    <row r="25" spans="2:20" ht="13.5" customHeight="1" thickBot="1" x14ac:dyDescent="0.25">
      <c r="B25" s="562"/>
      <c r="C25" s="563"/>
      <c r="D25" s="59">
        <f t="shared" ref="D25:O25" si="1">+ROUND($C$24/12,2)</f>
        <v>66429.38</v>
      </c>
      <c r="E25" s="59">
        <f t="shared" si="1"/>
        <v>66429.38</v>
      </c>
      <c r="F25" s="59">
        <f t="shared" si="1"/>
        <v>66429.38</v>
      </c>
      <c r="G25" s="59">
        <f t="shared" si="1"/>
        <v>66429.38</v>
      </c>
      <c r="H25" s="59">
        <f t="shared" si="1"/>
        <v>66429.38</v>
      </c>
      <c r="I25" s="59">
        <f t="shared" si="1"/>
        <v>66429.38</v>
      </c>
      <c r="J25" s="59">
        <f t="shared" si="1"/>
        <v>66429.38</v>
      </c>
      <c r="K25" s="59">
        <f t="shared" si="1"/>
        <v>66429.38</v>
      </c>
      <c r="L25" s="59">
        <f t="shared" si="1"/>
        <v>66429.38</v>
      </c>
      <c r="M25" s="59">
        <f t="shared" si="1"/>
        <v>66429.38</v>
      </c>
      <c r="N25" s="59">
        <f t="shared" si="1"/>
        <v>66429.38</v>
      </c>
      <c r="O25" s="59">
        <f t="shared" si="1"/>
        <v>66429.38</v>
      </c>
      <c r="P25" s="64"/>
      <c r="R25" s="61"/>
      <c r="T25" s="61"/>
    </row>
    <row r="26" spans="2:20" ht="13.5" customHeight="1" thickBot="1" x14ac:dyDescent="0.25">
      <c r="B26" s="65"/>
      <c r="C26" s="564">
        <f>SUM(C8:C25)</f>
        <v>526513726.98840004</v>
      </c>
      <c r="D26" s="66">
        <f>ROUND(SUM(D8:D25),0)</f>
        <v>5162916</v>
      </c>
      <c r="E26" s="66">
        <f t="shared" ref="E26:O26" si="2">ROUND(SUM(E8:E25),0)</f>
        <v>21077048</v>
      </c>
      <c r="F26" s="66">
        <f t="shared" si="2"/>
        <v>38077217</v>
      </c>
      <c r="G26" s="66">
        <f t="shared" si="2"/>
        <v>67136510</v>
      </c>
      <c r="H26" s="66">
        <f t="shared" si="2"/>
        <v>84818814</v>
      </c>
      <c r="I26" s="66">
        <f t="shared" si="2"/>
        <v>86623694</v>
      </c>
      <c r="J26" s="66">
        <f t="shared" si="2"/>
        <v>50491959</v>
      </c>
      <c r="K26" s="66">
        <f t="shared" si="2"/>
        <v>29710865</v>
      </c>
      <c r="L26" s="66">
        <f t="shared" si="2"/>
        <v>25257774</v>
      </c>
      <c r="M26" s="66">
        <f t="shared" si="2"/>
        <v>25257773</v>
      </c>
      <c r="N26" s="66">
        <f t="shared" si="2"/>
        <v>25257773</v>
      </c>
      <c r="O26" s="66">
        <f t="shared" si="2"/>
        <v>67641384</v>
      </c>
      <c r="P26" s="67"/>
    </row>
    <row r="27" spans="2:20" ht="26.25" customHeight="1" x14ac:dyDescent="0.2">
      <c r="B27" s="68"/>
      <c r="C27" s="564"/>
      <c r="D27" s="69">
        <f>+D26</f>
        <v>5162916</v>
      </c>
      <c r="E27" s="70">
        <f t="shared" ref="E27:K27" si="3">+E26+D27</f>
        <v>26239964</v>
      </c>
      <c r="F27" s="70">
        <f t="shared" si="3"/>
        <v>64317181</v>
      </c>
      <c r="G27" s="70">
        <f t="shared" si="3"/>
        <v>131453691</v>
      </c>
      <c r="H27" s="70">
        <f t="shared" si="3"/>
        <v>216272505</v>
      </c>
      <c r="I27" s="70">
        <f t="shared" si="3"/>
        <v>302896199</v>
      </c>
      <c r="J27" s="70">
        <f t="shared" si="3"/>
        <v>353388158</v>
      </c>
      <c r="K27" s="70">
        <f t="shared" si="3"/>
        <v>383099023</v>
      </c>
      <c r="L27" s="70">
        <f t="shared" ref="L27" si="4">+L26+K27</f>
        <v>408356797</v>
      </c>
      <c r="M27" s="70">
        <f t="shared" ref="M27" si="5">+M26+L27</f>
        <v>433614570</v>
      </c>
      <c r="N27" s="70">
        <f t="shared" ref="N27" si="6">+N26+M27</f>
        <v>458872343</v>
      </c>
      <c r="O27" s="70">
        <f>ROUND(+O26+N27,0)</f>
        <v>526513727</v>
      </c>
      <c r="P27" s="71">
        <f>+O27</f>
        <v>526513727</v>
      </c>
    </row>
    <row r="28" spans="2:20" x14ac:dyDescent="0.2">
      <c r="B28" s="72"/>
    </row>
    <row r="29" spans="2:20" x14ac:dyDescent="0.2">
      <c r="B29" s="72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</row>
    <row r="30" spans="2:20" x14ac:dyDescent="0.2">
      <c r="B30" s="72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</row>
    <row r="31" spans="2:20" x14ac:dyDescent="0.2">
      <c r="B31" s="72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</row>
    <row r="32" spans="2:20" ht="12.75" x14ac:dyDescent="0.2">
      <c r="B32" s="72"/>
      <c r="C32" s="47" t="s">
        <v>330</v>
      </c>
      <c r="D32" s="4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</row>
    <row r="33" spans="2:17" ht="12.75" x14ac:dyDescent="0.2">
      <c r="B33" s="72"/>
      <c r="C33" s="561" t="s">
        <v>331</v>
      </c>
      <c r="D33" s="56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</row>
    <row r="34" spans="2:17" ht="12.75" x14ac:dyDescent="0.2">
      <c r="B34" s="72"/>
      <c r="C34" s="1" t="s">
        <v>332</v>
      </c>
      <c r="D34" s="4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</row>
    <row r="35" spans="2:17" x14ac:dyDescent="0.2">
      <c r="B35" s="74"/>
      <c r="C35" s="75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</row>
    <row r="36" spans="2:17" ht="12.75" x14ac:dyDescent="0.2">
      <c r="B36" s="76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</row>
    <row r="37" spans="2:17" ht="12.75" x14ac:dyDescent="0.2">
      <c r="B37" s="76"/>
      <c r="C37" s="76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</row>
    <row r="38" spans="2:17" ht="12.75" x14ac:dyDescent="0.2">
      <c r="B38" s="76"/>
      <c r="C38" s="76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</row>
    <row r="39" spans="2:17" ht="12.75" x14ac:dyDescent="0.2">
      <c r="B39" s="76"/>
      <c r="C39" s="76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</row>
    <row r="40" spans="2:17" x14ac:dyDescent="0.2"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</row>
    <row r="41" spans="2:17" x14ac:dyDescent="0.2"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</row>
    <row r="42" spans="2:17" x14ac:dyDescent="0.2"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3" spans="2:17" x14ac:dyDescent="0.2"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</row>
    <row r="44" spans="2:17" x14ac:dyDescent="0.2"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</row>
    <row r="45" spans="2:17" x14ac:dyDescent="0.2"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</row>
    <row r="46" spans="2:17" x14ac:dyDescent="0.2"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</row>
    <row r="47" spans="2:17" x14ac:dyDescent="0.2"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</row>
    <row r="48" spans="2:17" x14ac:dyDescent="0.2"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</row>
    <row r="49" spans="4:16" x14ac:dyDescent="0.2"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</row>
    <row r="50" spans="4:16" x14ac:dyDescent="0.2"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</row>
    <row r="51" spans="4:16" x14ac:dyDescent="0.2"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</row>
    <row r="52" spans="4:16" x14ac:dyDescent="0.2"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</row>
    <row r="53" spans="4:16" x14ac:dyDescent="0.2"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</row>
    <row r="54" spans="4:16" x14ac:dyDescent="0.2"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</row>
    <row r="55" spans="4:16" x14ac:dyDescent="0.2"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</row>
    <row r="56" spans="4:16" x14ac:dyDescent="0.2"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</row>
    <row r="57" spans="4:16" x14ac:dyDescent="0.2"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</row>
    <row r="58" spans="4:16" x14ac:dyDescent="0.2"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</row>
    <row r="59" spans="4:16" x14ac:dyDescent="0.2"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</row>
    <row r="60" spans="4:16" x14ac:dyDescent="0.2"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</row>
    <row r="61" spans="4:16" x14ac:dyDescent="0.2"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</row>
    <row r="62" spans="4:16" x14ac:dyDescent="0.2"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</row>
  </sheetData>
  <mergeCells count="26">
    <mergeCell ref="B2:C2"/>
    <mergeCell ref="B3:C3"/>
    <mergeCell ref="B4:P4"/>
    <mergeCell ref="B5:B7"/>
    <mergeCell ref="C5:C7"/>
    <mergeCell ref="P6:P7"/>
    <mergeCell ref="B8:B9"/>
    <mergeCell ref="C8:C9"/>
    <mergeCell ref="B10:B11"/>
    <mergeCell ref="C10:C11"/>
    <mergeCell ref="B12:B13"/>
    <mergeCell ref="C12:C13"/>
    <mergeCell ref="B14:B15"/>
    <mergeCell ref="C14:C15"/>
    <mergeCell ref="B16:B17"/>
    <mergeCell ref="C16:C17"/>
    <mergeCell ref="B18:B19"/>
    <mergeCell ref="C18:C19"/>
    <mergeCell ref="C33:D33"/>
    <mergeCell ref="B20:B21"/>
    <mergeCell ref="C20:C21"/>
    <mergeCell ref="B22:B23"/>
    <mergeCell ref="C22:C23"/>
    <mergeCell ref="C26:C27"/>
    <mergeCell ref="B24:B25"/>
    <mergeCell ref="C24:C25"/>
  </mergeCells>
  <hyperlinks>
    <hyperlink ref="B8" location="CAPITULOS!C5" display="CAPITULO 1 - PRELIMINARES" xr:uid="{00000000-0004-0000-0100-000000000000}"/>
    <hyperlink ref="B10" location="CAPITULOS!C19" display="CAPITULO 2 - EQUIPOS" xr:uid="{00000000-0004-0000-0100-000001000000}"/>
    <hyperlink ref="B12" location="CAPITULOS!C38" display="CAPITULO 3 - PISOS" xr:uid="{00000000-0004-0000-0100-000002000000}"/>
    <hyperlink ref="B14" location="CAPITULOS!C45" display="CAPITULO 4 - CERRAMIENTO" xr:uid="{00000000-0004-0000-0100-000003000000}"/>
    <hyperlink ref="B16" location="CAPITULOS!C52" display="CAPITULO 5 - RETIRO" xr:uid="{00000000-0004-0000-0100-000004000000}"/>
  </hyperlinks>
  <pageMargins left="0.31527777777777799" right="0.31527777777777799" top="1.53541666666667" bottom="0.74791666666666701" header="0.511811023622047" footer="0.511811023622047"/>
  <pageSetup scale="58" fitToWidth="0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1E1A-F215-434F-BAD5-8914919CE9F0}">
  <sheetPr>
    <tabColor rgb="FF99FF33"/>
  </sheetPr>
  <dimension ref="B1:AC43"/>
  <sheetViews>
    <sheetView zoomScaleNormal="100" workbookViewId="0">
      <selection activeCell="H40" sqref="H40"/>
    </sheetView>
  </sheetViews>
  <sheetFormatPr baseColWidth="10" defaultColWidth="11.42578125" defaultRowHeight="15" x14ac:dyDescent="0.25"/>
  <cols>
    <col min="1" max="1" width="1.42578125" customWidth="1"/>
    <col min="2" max="2" width="5.42578125" style="4" customWidth="1"/>
    <col min="3" max="3" width="62.7109375" customWidth="1"/>
    <col min="4" max="4" width="7.85546875" customWidth="1"/>
    <col min="5" max="5" width="11.42578125" style="5"/>
    <col min="6" max="6" width="16.28515625" style="5" bestFit="1" customWidth="1"/>
    <col min="7" max="7" width="19.85546875" style="5" customWidth="1"/>
    <col min="8" max="8" width="16.7109375" bestFit="1" customWidth="1"/>
    <col min="9" max="9" width="18.28515625" hidden="1" customWidth="1"/>
    <col min="10" max="10" width="16.140625" customWidth="1"/>
    <col min="11" max="11" width="17.140625" customWidth="1"/>
    <col min="12" max="12" width="17.42578125" bestFit="1" customWidth="1"/>
    <col min="13" max="13" width="17.140625" customWidth="1"/>
    <col min="14" max="14" width="19.7109375" customWidth="1"/>
    <col min="15" max="15" width="18.85546875" customWidth="1"/>
    <col min="16" max="16" width="17.28515625" customWidth="1"/>
    <col min="17" max="17" width="20.28515625" customWidth="1"/>
    <col min="18" max="18" width="24.140625" customWidth="1"/>
    <col min="19" max="19" width="21.85546875" customWidth="1"/>
    <col min="20" max="20" width="11.42578125" customWidth="1"/>
    <col min="21" max="21" width="21.28515625" customWidth="1"/>
    <col min="22" max="22" width="11.42578125" customWidth="1"/>
    <col min="23" max="23" width="1.140625" customWidth="1"/>
    <col min="24" max="24" width="19.28515625" customWidth="1"/>
    <col min="28" max="28" width="15.85546875" customWidth="1"/>
  </cols>
  <sheetData>
    <row r="1" spans="2:23" ht="7.5" customHeight="1" x14ac:dyDescent="0.25"/>
    <row r="2" spans="2:23" ht="14.25" customHeight="1" x14ac:dyDescent="0.25">
      <c r="B2" s="575" t="s">
        <v>257</v>
      </c>
      <c r="C2" s="575"/>
      <c r="D2" s="575"/>
      <c r="E2" s="575"/>
      <c r="F2" s="575"/>
      <c r="G2" s="575"/>
    </row>
    <row r="3" spans="2:23" ht="23.25" customHeight="1" x14ac:dyDescent="0.25">
      <c r="B3" s="575"/>
      <c r="C3" s="575"/>
      <c r="D3" s="575"/>
      <c r="E3" s="575"/>
      <c r="F3" s="575"/>
      <c r="G3" s="575"/>
    </row>
    <row r="4" spans="2:23" ht="25.5" customHeight="1" x14ac:dyDescent="0.25">
      <c r="B4" s="574" t="s">
        <v>0</v>
      </c>
      <c r="C4" s="574"/>
      <c r="D4" s="576" t="s">
        <v>325</v>
      </c>
      <c r="E4" s="576"/>
      <c r="F4" s="576"/>
      <c r="G4" s="576"/>
    </row>
    <row r="5" spans="2:23" ht="90.75" customHeight="1" x14ac:dyDescent="0.25">
      <c r="B5" s="574"/>
      <c r="C5" s="574"/>
      <c r="D5" s="577" t="s">
        <v>342</v>
      </c>
      <c r="E5" s="577"/>
      <c r="F5" s="577"/>
      <c r="G5" s="577"/>
    </row>
    <row r="6" spans="2:23" ht="14.25" customHeight="1" x14ac:dyDescent="0.25">
      <c r="B6" s="574" t="s">
        <v>1</v>
      </c>
      <c r="C6" s="574"/>
      <c r="D6" s="574"/>
      <c r="E6" s="574"/>
      <c r="F6" s="574"/>
      <c r="G6" s="574"/>
    </row>
    <row r="7" spans="2:23" ht="25.5" customHeight="1" x14ac:dyDescent="0.25">
      <c r="B7" s="6" t="s">
        <v>2</v>
      </c>
      <c r="C7" s="7" t="s">
        <v>3</v>
      </c>
      <c r="D7" s="7" t="s">
        <v>4</v>
      </c>
      <c r="E7" s="501" t="s">
        <v>5</v>
      </c>
      <c r="F7" s="9" t="s">
        <v>6</v>
      </c>
      <c r="G7" s="10" t="s">
        <v>7</v>
      </c>
      <c r="K7">
        <v>10</v>
      </c>
      <c r="L7">
        <v>11</v>
      </c>
      <c r="M7">
        <v>12</v>
      </c>
      <c r="N7">
        <v>13</v>
      </c>
      <c r="O7">
        <v>14</v>
      </c>
      <c r="P7">
        <v>15</v>
      </c>
      <c r="Q7">
        <v>16</v>
      </c>
      <c r="R7">
        <v>17</v>
      </c>
      <c r="S7" s="544">
        <v>18</v>
      </c>
    </row>
    <row r="8" spans="2:23" ht="14.25" customHeight="1" x14ac:dyDescent="0.25">
      <c r="B8" s="11"/>
      <c r="C8" s="12"/>
      <c r="D8" s="13"/>
      <c r="E8" s="14"/>
      <c r="F8" s="15"/>
      <c r="G8" s="15"/>
      <c r="K8" s="578" t="s">
        <v>8</v>
      </c>
      <c r="L8" s="578"/>
      <c r="M8" s="578" t="s">
        <v>9</v>
      </c>
      <c r="N8" s="578"/>
      <c r="O8" s="578" t="s">
        <v>10</v>
      </c>
      <c r="P8" s="578"/>
      <c r="Q8" s="578" t="s">
        <v>11</v>
      </c>
      <c r="R8" s="578"/>
      <c r="S8" s="16" t="s">
        <v>12</v>
      </c>
      <c r="T8" s="17"/>
      <c r="U8" s="16" t="s">
        <v>13</v>
      </c>
      <c r="V8" s="17"/>
      <c r="W8" s="17"/>
    </row>
    <row r="9" spans="2:23" x14ac:dyDescent="0.25">
      <c r="B9" s="547">
        <v>1</v>
      </c>
      <c r="C9" s="18" t="s">
        <v>245</v>
      </c>
      <c r="D9" s="19"/>
      <c r="E9" s="8"/>
      <c r="F9" s="20"/>
      <c r="G9" s="21">
        <f>SUM(G10:G10)</f>
        <v>6370608.3840000005</v>
      </c>
      <c r="I9" s="22">
        <f>G9+(G9*($F$31+$F$32+$F$33))</f>
        <v>8409203.0668800008</v>
      </c>
      <c r="K9" s="23"/>
      <c r="L9" s="24">
        <f>SUM(L10:L10)</f>
        <v>2471312</v>
      </c>
      <c r="M9" s="25"/>
      <c r="N9" s="24">
        <f>SUM(N10:N10)</f>
        <v>28570</v>
      </c>
      <c r="O9" s="25"/>
      <c r="P9" s="24">
        <f>SUM(P10:P10)</f>
        <v>395226.77350665606</v>
      </c>
      <c r="Q9" s="25"/>
      <c r="R9" s="24">
        <f>SUM(R10:R10)</f>
        <v>3476459</v>
      </c>
      <c r="S9" s="24">
        <f>SUM(S10:S10)</f>
        <v>2038902</v>
      </c>
      <c r="T9" s="26"/>
      <c r="U9" s="27">
        <f t="shared" ref="U9:U26" si="0">ROUND(R9+N9+L9+P9,0)</f>
        <v>6371568</v>
      </c>
      <c r="V9" s="26"/>
      <c r="W9" s="27">
        <f t="shared" ref="W9:W26" si="1">G9-U9</f>
        <v>-959.61599999945611</v>
      </c>
    </row>
    <row r="10" spans="2:23" x14ac:dyDescent="0.25">
      <c r="B10" s="28">
        <f>'MEMORIA  1 - DESTRONQUE Y LIJAD'!C10</f>
        <v>1.1000000000000001</v>
      </c>
      <c r="C10" s="29" t="str">
        <f>'MEMORIA  1 - DESTRONQUE Y LIJAD'!C9:J9</f>
        <v>Destronque y lijada de pista de velocidad para generar perfil de anclaje.</v>
      </c>
      <c r="D10" s="13" t="str">
        <f>'MEMORIA  1 - DESTRONQUE Y LIJAD'!L9</f>
        <v>M2</v>
      </c>
      <c r="E10" s="14">
        <v>1298.6400000000001</v>
      </c>
      <c r="F10" s="15">
        <f>APUS!G4</f>
        <v>4905.6000000000004</v>
      </c>
      <c r="G10" s="15">
        <f>E10*F10</f>
        <v>6370608.3840000005</v>
      </c>
      <c r="I10" t="s">
        <v>14</v>
      </c>
      <c r="J10" t="s">
        <v>14</v>
      </c>
      <c r="K10" s="30">
        <f>APUS!G26</f>
        <v>1903</v>
      </c>
      <c r="L10" s="31">
        <f>ROUND(K10*$E10,0)</f>
        <v>2471312</v>
      </c>
      <c r="M10" s="30">
        <f>APUS!G13</f>
        <v>22</v>
      </c>
      <c r="N10" s="31">
        <f>ROUND(M10*$E10,0)</f>
        <v>28570</v>
      </c>
      <c r="O10" s="30">
        <f>APUS!G29</f>
        <v>304.33898040000003</v>
      </c>
      <c r="P10" s="31">
        <f>O10*$E10</f>
        <v>395226.77350665606</v>
      </c>
      <c r="Q10" s="30">
        <f>APUS!G19</f>
        <v>2677</v>
      </c>
      <c r="R10" s="31">
        <f>ROUND(Q10*$E10,0)</f>
        <v>3476459</v>
      </c>
      <c r="S10" s="31">
        <f>ROUND((R10+P10+N10+L10)*($F$33+$F$32+$F$31),0)</f>
        <v>2038902</v>
      </c>
      <c r="U10" s="27">
        <f t="shared" si="0"/>
        <v>6371568</v>
      </c>
      <c r="W10" s="27">
        <f t="shared" si="1"/>
        <v>-959.61599999945611</v>
      </c>
    </row>
    <row r="11" spans="2:23" x14ac:dyDescent="0.25">
      <c r="B11" s="6">
        <v>2</v>
      </c>
      <c r="C11" s="18" t="s">
        <v>256</v>
      </c>
      <c r="D11" s="19"/>
      <c r="E11" s="8"/>
      <c r="F11" s="20"/>
      <c r="G11" s="21">
        <f>SUM(G12:G12)</f>
        <v>39472993.9296</v>
      </c>
      <c r="I11" s="22">
        <f>G11+(G11*($F$31+$F$32+$F$33))</f>
        <v>52104351.987071998</v>
      </c>
      <c r="K11" s="23"/>
      <c r="L11" s="24">
        <f>SUM(L12:L12)</f>
        <v>12750048</v>
      </c>
      <c r="M11" s="25"/>
      <c r="N11" s="24">
        <f>SUM(N12:N12)</f>
        <v>19870491</v>
      </c>
      <c r="O11" s="25"/>
      <c r="P11" s="24">
        <f>SUM(P12:P12)</f>
        <v>404350</v>
      </c>
      <c r="Q11" s="25"/>
      <c r="R11" s="24">
        <f>SUM(R12:R12)</f>
        <v>6447748</v>
      </c>
      <c r="S11" s="24">
        <f>SUM(S12:S12)</f>
        <v>12631244</v>
      </c>
      <c r="T11" s="26"/>
      <c r="U11" s="27">
        <f t="shared" si="0"/>
        <v>39472637</v>
      </c>
      <c r="V11" s="26"/>
      <c r="W11" s="27">
        <f t="shared" si="1"/>
        <v>356.92960000038147</v>
      </c>
    </row>
    <row r="12" spans="2:23" ht="45" customHeight="1" x14ac:dyDescent="0.25">
      <c r="B12" s="11">
        <f>'MEMORIA  2 - LAVADA Y DESCONTAM'!C10</f>
        <v>2.1</v>
      </c>
      <c r="C12" s="33" t="str">
        <f>'MEMORIA  2 - LAVADA Y DESCONTAM'!C9</f>
        <v>Lavada y descontaminada de pista. Incluye tratamiento de 825 ml de juntas de dilatación entre losas de concreto por medio de sello flexible, malla de refuerzo y polímero  y empozamientos menores a 3 mm.</v>
      </c>
      <c r="D12" s="13" t="str">
        <f>'MEMORIA  2 - LAVADA Y DESCONTAM'!L9</f>
        <v>M2</v>
      </c>
      <c r="E12" s="14">
        <f>'MEMORIA  2 - LAVADA Y DESCONTAM'!K18</f>
        <v>1298.6400000000001</v>
      </c>
      <c r="F12" s="15">
        <f>APUS!G37</f>
        <v>30395.64</v>
      </c>
      <c r="G12" s="15">
        <f>E12*F12</f>
        <v>39472993.9296</v>
      </c>
      <c r="K12" s="30">
        <f>APUS!G58</f>
        <v>9818</v>
      </c>
      <c r="L12" s="31">
        <f>ROUND(K12*$E12,0)</f>
        <v>12750048</v>
      </c>
      <c r="M12" s="30">
        <f>APUS!G45</f>
        <v>15301</v>
      </c>
      <c r="N12" s="31">
        <f>ROUND(M12*$E12,0)</f>
        <v>19870491</v>
      </c>
      <c r="O12" s="30">
        <f>APUS!G61</f>
        <v>311.36430000000001</v>
      </c>
      <c r="P12" s="31">
        <f>ROUND(O12*$E12,0)</f>
        <v>404350</v>
      </c>
      <c r="Q12" s="30">
        <f>APUS!G51</f>
        <v>4965</v>
      </c>
      <c r="R12" s="31">
        <f>ROUND(Q12*$E12,0)</f>
        <v>6447748</v>
      </c>
      <c r="S12" s="31">
        <f>ROUND((R12+P12+N12+L12)*($F$33+$F$32+$F$31),0)</f>
        <v>12631244</v>
      </c>
      <c r="U12" s="27">
        <f t="shared" si="0"/>
        <v>39472637</v>
      </c>
      <c r="W12" s="27">
        <f t="shared" si="1"/>
        <v>356.92960000038147</v>
      </c>
    </row>
    <row r="13" spans="2:23" x14ac:dyDescent="0.25">
      <c r="B13" s="6">
        <v>3</v>
      </c>
      <c r="C13" s="18" t="s">
        <v>280</v>
      </c>
      <c r="D13" s="19"/>
      <c r="E13" s="8"/>
      <c r="F13" s="20"/>
      <c r="G13" s="21">
        <f>SUM(G14:G14)</f>
        <v>180488000.04479998</v>
      </c>
      <c r="I13" s="22">
        <f>G13+(G13*($F$31+$F$32+$F$33))</f>
        <v>238244160.05913597</v>
      </c>
      <c r="K13" s="23"/>
      <c r="L13" s="24">
        <f>SUM(L14:L14)</f>
        <v>5907513</v>
      </c>
      <c r="M13" s="25"/>
      <c r="N13" s="24">
        <f>SUM(N14:N14)</f>
        <v>146107415.09280002</v>
      </c>
      <c r="O13" s="25"/>
      <c r="P13" s="24">
        <f>SUM(P14:P14)</f>
        <v>11861721</v>
      </c>
      <c r="Q13" s="25"/>
      <c r="R13" s="24">
        <f>SUM(R14:R14)</f>
        <v>16610904</v>
      </c>
      <c r="S13" s="24">
        <f>SUM(S14:S14)</f>
        <v>57756017</v>
      </c>
      <c r="T13" s="26"/>
      <c r="U13" s="27">
        <f t="shared" si="0"/>
        <v>180487553</v>
      </c>
      <c r="V13" s="26"/>
      <c r="W13" s="27">
        <f t="shared" si="1"/>
        <v>447.04479998350143</v>
      </c>
    </row>
    <row r="14" spans="2:23" ht="64.5" x14ac:dyDescent="0.25">
      <c r="B14" s="11">
        <f>'MEMORIA  3 - RECUBRIMIENTO SINT'!C10</f>
        <v>3.1</v>
      </c>
      <c r="C14" s="545" t="str">
        <f>'MEMORIA  3 - RECUBRIMIENTO SINT'!C9:J9</f>
        <v>Suministro, transporte y aplicación de recubrimiento sintético en cinco (5) capas para pista de velocidad: incluye una capa de autonivelante, una capa PACK LEVEL, tres capas de recubrimiento sintético LATEX AR, color azul. Demarcación de linea interna, meta y contra meta en color blanco. (Producto Avalado por FEDEPATIN COLOMBIA).</v>
      </c>
      <c r="D14" s="546" t="str">
        <f>'MEMORIA  3 - RECUBRIMIENTO SINT'!L9</f>
        <v>M2</v>
      </c>
      <c r="E14" s="14">
        <f>'MEMORIA  3 - RECUBRIMIENTO SINT'!K18</f>
        <v>1298.6400000000001</v>
      </c>
      <c r="F14" s="15">
        <f>APUS!G69</f>
        <v>138982.31999999998</v>
      </c>
      <c r="G14" s="15">
        <f>E14*F14</f>
        <v>180488000.04479998</v>
      </c>
      <c r="K14" s="114">
        <f>APUS!G90</f>
        <v>4549</v>
      </c>
      <c r="L14" s="31">
        <f>ROUND(K14*$E14,0)</f>
        <v>5907513</v>
      </c>
      <c r="M14" s="114">
        <f>APUS!G78</f>
        <v>112508.02</v>
      </c>
      <c r="N14" s="31">
        <f>M14*$E14</f>
        <v>146107415.09280002</v>
      </c>
      <c r="O14" s="114">
        <f>APUS!G93</f>
        <v>9133.9560000000001</v>
      </c>
      <c r="P14" s="31">
        <f>ROUND(O14*$E14,0)</f>
        <v>11861721</v>
      </c>
      <c r="Q14" s="114">
        <f>APUS!G84</f>
        <v>12790.9999985432</v>
      </c>
      <c r="R14" s="31">
        <f>ROUND(Q14*$E14,0)</f>
        <v>16610904</v>
      </c>
      <c r="S14" s="31">
        <f>ROUND((R14+P14+N14+L14)*($F$33+$F$32+$F$31),0)</f>
        <v>57756017</v>
      </c>
      <c r="U14" s="27">
        <f t="shared" si="0"/>
        <v>180487553</v>
      </c>
      <c r="W14" s="27">
        <f t="shared" si="1"/>
        <v>447.04479998350143</v>
      </c>
    </row>
    <row r="15" spans="2:23" x14ac:dyDescent="0.25">
      <c r="B15" s="6">
        <v>4</v>
      </c>
      <c r="C15" s="35" t="s">
        <v>277</v>
      </c>
      <c r="D15" s="19"/>
      <c r="E15" s="8"/>
      <c r="F15" s="20"/>
      <c r="G15" s="21">
        <f>SUM(G16:G16)</f>
        <v>29687277.600000005</v>
      </c>
      <c r="I15" s="22">
        <f>G15+(G15*($F$31+$F$32+$F$33))</f>
        <v>39187206.432000011</v>
      </c>
      <c r="K15" s="23"/>
      <c r="L15" s="24">
        <f>SUM(L16:L16)</f>
        <v>299700</v>
      </c>
      <c r="M15" s="25"/>
      <c r="N15" s="24">
        <f>SUM(N16:N16)</f>
        <v>29271780</v>
      </c>
      <c r="O15" s="25"/>
      <c r="P15" s="24">
        <f>SUM(P16:P16)</f>
        <v>39523</v>
      </c>
      <c r="Q15" s="25"/>
      <c r="R15" s="24">
        <f>SUM(R16:R16)</f>
        <v>75898</v>
      </c>
      <c r="S15" s="24">
        <f>SUM(S16:S16)</f>
        <v>9499808</v>
      </c>
      <c r="U15" s="27">
        <f t="shared" si="0"/>
        <v>29686901</v>
      </c>
      <c r="W15" s="27">
        <f t="shared" si="1"/>
        <v>376.60000000521541</v>
      </c>
    </row>
    <row r="16" spans="2:23" ht="44.25" customHeight="1" x14ac:dyDescent="0.25">
      <c r="B16" s="11">
        <f>'MEMORIA  4 - REDUCTORES DE VELO'!C10</f>
        <v>4.0999999999999996</v>
      </c>
      <c r="C16" s="34" t="str">
        <f>'MEMORIA  4 - REDUCTORES DE VELO'!C9:J9</f>
        <v>Suministro, transporte e instalación de reductores de velocidad. Garantia por instalación 6 meses. (Producto Avalado por FEDEPATIN COLOMBIA).</v>
      </c>
      <c r="D16" s="13" t="str">
        <f>'MEMORIA  4 - REDUCTORES DE VELO'!L9</f>
        <v>UND</v>
      </c>
      <c r="E16" s="14">
        <f>'MEMORIA  4 - REDUCTORES DE VELO'!K18</f>
        <v>810</v>
      </c>
      <c r="F16" s="15">
        <f>APUS!G101</f>
        <v>36650.960000000006</v>
      </c>
      <c r="G16" s="15">
        <f>E16*F16</f>
        <v>29687277.600000005</v>
      </c>
      <c r="K16" s="30">
        <f>APUS!G126</f>
        <v>370</v>
      </c>
      <c r="L16" s="31">
        <f>ROUND(K16*$E16,0)</f>
        <v>299700</v>
      </c>
      <c r="M16" s="30">
        <f>APUS!G113</f>
        <v>36138</v>
      </c>
      <c r="N16" s="31">
        <f>ROUND(M16*$E16,0)</f>
        <v>29271780</v>
      </c>
      <c r="O16" s="30">
        <f>+APUS!G129</f>
        <v>48.793772558714458</v>
      </c>
      <c r="P16" s="31">
        <f>ROUND(O16*$E16,0)</f>
        <v>39523</v>
      </c>
      <c r="Q16" s="30">
        <f>APUS!G119</f>
        <v>93.701227457841128</v>
      </c>
      <c r="R16" s="31">
        <f>ROUND(Q16*$E16,0)</f>
        <v>75898</v>
      </c>
      <c r="S16" s="31">
        <f>ROUND((R16+P16+N16+L16)*($F$33+$F$32+$F$31),0)</f>
        <v>9499808</v>
      </c>
      <c r="U16" s="27">
        <f t="shared" si="0"/>
        <v>29686901</v>
      </c>
      <c r="W16" s="27">
        <f t="shared" si="1"/>
        <v>376.60000000521541</v>
      </c>
    </row>
    <row r="17" spans="2:29" x14ac:dyDescent="0.25">
      <c r="B17" s="6">
        <v>5</v>
      </c>
      <c r="C17" s="35" t="s">
        <v>286</v>
      </c>
      <c r="D17" s="19"/>
      <c r="E17" s="8"/>
      <c r="F17" s="20"/>
      <c r="G17" s="21">
        <f>SUM(G18:G18)</f>
        <v>201530753.00999999</v>
      </c>
      <c r="I17" s="22">
        <f>G17+(G17*($F$31+$F$32+$F$33))</f>
        <v>266020593.97319999</v>
      </c>
      <c r="K17" s="23"/>
      <c r="L17" s="24">
        <f>SUM(L18)</f>
        <v>8840811</v>
      </c>
      <c r="M17" s="25"/>
      <c r="N17" s="24">
        <f>SUM(N18)</f>
        <v>176472570</v>
      </c>
      <c r="O17" s="25"/>
      <c r="P17" s="24">
        <f>SUM(P18)</f>
        <v>1495809</v>
      </c>
      <c r="Q17" s="25"/>
      <c r="R17" s="24">
        <f>SUM(R18)</f>
        <v>14721729</v>
      </c>
      <c r="S17" s="24">
        <f>SUM(S18)</f>
        <v>64489894</v>
      </c>
      <c r="U17" s="27">
        <f t="shared" si="0"/>
        <v>201530919</v>
      </c>
      <c r="W17" s="27">
        <f t="shared" si="1"/>
        <v>-165.99000000953674</v>
      </c>
      <c r="AB17" s="36"/>
      <c r="AC17" s="37"/>
    </row>
    <row r="18" spans="2:29" ht="209.25" customHeight="1" x14ac:dyDescent="0.25">
      <c r="B18" s="11">
        <f>'MEMORIA  5 - BARANDA DE PROTECC'!C10</f>
        <v>5.0999999999999996</v>
      </c>
      <c r="C18" s="32" t="str">
        <f>'MEMORIA  5 - BARANDA DE PROTECC'!C9:J9</f>
        <v>Suministro, transporte y colocación de pasamanos metálico de protección para pista de patinaje de VELOCIDAD, con policarbonato de 6 mm, fijado a estructura por medio de remaches POP  de 5/32 x 5/8" 5-8. Bolillo interior en tubería negra pesada de 2" x 1.5 mm. Con parales principales verticales en tuberia negra redonda de 2", de altura 1.20 metros separados cada 2.90 a 3,00 mt anclados a piso con platina en acero tipo ASTM A36 de 10 x 15 cm de 1/8" y cuatro chazos concreto expansivo de 3/8" x 1-7/8". Parales intermedios rectangulares de 2" x 1" calibre 20,  de altura 1.20 metros, anclados a piso con varilla de hierro de 3/8", separados cada 2.90 a 3,00 metros. Angulo de 1" x 1/8" para soporte de policarbonato. Bandeja inferior en lámina galvanizada de 22,5 cm calibre 22, con banda de protección en neopreno de 20 cm de alto y 6 mm de espesor, adherido a la lámina por medio de pegante sintético. Incluye: soldadura de acabado, pulida y masillada, una mano de anticorrosivo tipo 1 y dos manos de pintura esmalte tipo pintulux 3 en 1 y todo lo necesario para su correcta instalación y funcionamiento. (Producto Avalado por FEDEPATIN). Incluye aprovechamiento de bolillo superior e intermedio de la baranda actual.</v>
      </c>
      <c r="D18" s="13" t="str">
        <f>'MEMORIA  5 - BARANDA DE PROTECC'!$L$9</f>
        <v>ML</v>
      </c>
      <c r="E18" s="14">
        <f>'MEMORIA  5 - BARANDA DE PROTECC'!K18</f>
        <v>237</v>
      </c>
      <c r="F18" s="15">
        <f>APUS!G137</f>
        <v>850340.73</v>
      </c>
      <c r="G18" s="15">
        <f>E18*F18</f>
        <v>201530753.00999999</v>
      </c>
      <c r="K18" s="30">
        <f>APUS!G171</f>
        <v>37303</v>
      </c>
      <c r="L18" s="31">
        <f>ROUND(K18*$E18,0)</f>
        <v>8840811</v>
      </c>
      <c r="M18" s="30">
        <f>APUS!G157</f>
        <v>744610</v>
      </c>
      <c r="N18" s="31">
        <f>M18*$E18</f>
        <v>176472570</v>
      </c>
      <c r="O18" s="30">
        <f>+APUS!G174</f>
        <v>6311.4323999999997</v>
      </c>
      <c r="P18" s="31">
        <f>ROUND(O18*$E18,0)</f>
        <v>1495809</v>
      </c>
      <c r="Q18" s="30">
        <f>APUS!G163</f>
        <v>62117</v>
      </c>
      <c r="R18" s="31">
        <f>ROUND(Q18*$E18,0)</f>
        <v>14721729</v>
      </c>
      <c r="S18" s="31">
        <f>ROUND((R18+P18+N18+L18)*($F$33+$F$32+$F$31),0)</f>
        <v>64489894</v>
      </c>
      <c r="U18" s="27">
        <f t="shared" si="0"/>
        <v>201530919</v>
      </c>
      <c r="W18" s="27">
        <f t="shared" si="1"/>
        <v>-165.99000000953674</v>
      </c>
      <c r="AB18" s="36"/>
      <c r="AC18" s="38"/>
    </row>
    <row r="19" spans="2:29" x14ac:dyDescent="0.25">
      <c r="B19" s="6">
        <v>6</v>
      </c>
      <c r="C19" s="35" t="s">
        <v>310</v>
      </c>
      <c r="D19" s="19"/>
      <c r="E19" s="8"/>
      <c r="F19" s="20"/>
      <c r="G19" s="21">
        <f>SUM(G20:G20)</f>
        <v>15018080.91</v>
      </c>
      <c r="I19" s="22">
        <f>G19+(G19*($F$31+$F$32+$F$33))</f>
        <v>19823866.801200002</v>
      </c>
      <c r="K19" s="23"/>
      <c r="L19" s="39">
        <f>SUM(L20:L20)</f>
        <v>6570825</v>
      </c>
      <c r="M19" s="25"/>
      <c r="N19" s="24">
        <f>SUM(N20:N20)</f>
        <v>0</v>
      </c>
      <c r="O19" s="25"/>
      <c r="P19" s="24">
        <f>SUM(P20:P20)</f>
        <v>408588</v>
      </c>
      <c r="Q19" s="25"/>
      <c r="R19" s="24">
        <f>SUM(R20:R20)</f>
        <v>8038329</v>
      </c>
      <c r="S19" s="24">
        <f>SUM(S20:S20)</f>
        <v>4805677</v>
      </c>
      <c r="U19" s="27">
        <f t="shared" si="0"/>
        <v>15017742</v>
      </c>
      <c r="W19" s="27">
        <f t="shared" si="1"/>
        <v>338.91000000014901</v>
      </c>
      <c r="AB19" s="36"/>
      <c r="AC19" s="37"/>
    </row>
    <row r="20" spans="2:29" ht="57" customHeight="1" x14ac:dyDescent="0.25">
      <c r="B20" s="11">
        <f>'MEMORIA 6 - DESMONTE BARANDA EX'!$C$10</f>
        <v>6.1</v>
      </c>
      <c r="C20" s="32" t="str">
        <f>+'MEMORIA 6 - DESMONTE BARANDA EX'!C9</f>
        <v>Desmonte de baranda de protección existente con personal calificado para recuperación de la misma y su futura utilización por parte de la Administración en otros escenarios y acopio en situ del material resultante. No incluye botada ni transporte.</v>
      </c>
      <c r="D20" s="13" t="str">
        <f>'MEMORIA 6 - DESMONTE BARANDA EX'!$L$9</f>
        <v>ML</v>
      </c>
      <c r="E20" s="14">
        <f>+'MEMORIA 6 - DESMONTE BARANDA EX'!K18</f>
        <v>237</v>
      </c>
      <c r="F20" s="15">
        <f>+APUS!G182</f>
        <v>63367.43</v>
      </c>
      <c r="G20" s="15">
        <f>E20*F20</f>
        <v>15018080.91</v>
      </c>
      <c r="K20" s="30">
        <f>+APUS!G201</f>
        <v>27725</v>
      </c>
      <c r="L20" s="31">
        <f>ROUND(K20*$E20,0)</f>
        <v>6570825</v>
      </c>
      <c r="M20" s="30">
        <f>+APUS!G189</f>
        <v>0</v>
      </c>
      <c r="N20" s="31">
        <f>ROUND(M20*$E20,0)</f>
        <v>0</v>
      </c>
      <c r="O20" s="30">
        <f>+APUS!G204</f>
        <v>1724</v>
      </c>
      <c r="P20" s="31">
        <f>ROUND(O20*$E20,0)</f>
        <v>408588</v>
      </c>
      <c r="Q20" s="30">
        <f>+APUS!G195</f>
        <v>33917</v>
      </c>
      <c r="R20" s="31">
        <f>ROUND(Q20*$E20,0)</f>
        <v>8038329</v>
      </c>
      <c r="S20" s="31">
        <f>ROUND((R20+P20+N20+L20)*($F$33+$F$32+$F$31),0)</f>
        <v>4805677</v>
      </c>
      <c r="U20" s="27">
        <f t="shared" si="0"/>
        <v>15017742</v>
      </c>
      <c r="W20" s="27">
        <f t="shared" si="1"/>
        <v>338.91000000014901</v>
      </c>
      <c r="AB20" s="36"/>
      <c r="AC20" s="38"/>
    </row>
    <row r="21" spans="2:29" x14ac:dyDescent="0.25">
      <c r="B21" s="6">
        <v>7</v>
      </c>
      <c r="C21" s="35" t="s">
        <v>313</v>
      </c>
      <c r="D21" s="19"/>
      <c r="E21" s="8"/>
      <c r="F21" s="20"/>
      <c r="G21" s="21">
        <f>SUM(G22:G22)</f>
        <v>10765250</v>
      </c>
      <c r="I21" s="22">
        <f>G21+(G21*($F$31+$F$32+$F$33))</f>
        <v>14210130</v>
      </c>
      <c r="K21" s="23"/>
      <c r="L21" s="24">
        <f>SUM(L22:L22)</f>
        <v>1615400</v>
      </c>
      <c r="M21" s="25"/>
      <c r="N21" s="24">
        <f>SUM(N22:N22)</f>
        <v>7660800</v>
      </c>
      <c r="O21" s="25"/>
      <c r="P21" s="24">
        <f>SUM(P22:P22)</f>
        <v>407200</v>
      </c>
      <c r="Q21" s="25"/>
      <c r="R21" s="24">
        <f>SUM(R22:R22)</f>
        <v>1081732</v>
      </c>
      <c r="S21" s="24">
        <f>SUM(S22:S22)</f>
        <v>3444842</v>
      </c>
      <c r="U21" s="27">
        <f t="shared" si="0"/>
        <v>10765132</v>
      </c>
      <c r="W21" s="27">
        <f t="shared" si="1"/>
        <v>118</v>
      </c>
      <c r="AB21" s="36"/>
      <c r="AC21" s="37"/>
    </row>
    <row r="22" spans="2:29" ht="51" x14ac:dyDescent="0.25">
      <c r="B22" s="11">
        <f>'MEMORIA 7 - LAV Y DESCON CARCAM'!C10</f>
        <v>7.1</v>
      </c>
      <c r="C22" s="32" t="str">
        <f>+'MEMORIA 7 - LAV Y DESCON CARCAM'!C9</f>
        <v>Lavada y descontaminación de cárcamo. Incluye lavado apresión con hidrolavadarora de 4000 psi de paredes internas y tapas externas. Recuperación de tapas por medio de aplicación de pintura acrílica base agua para exteriores de alta resistencia</v>
      </c>
      <c r="D22" s="13" t="str">
        <f>'MEMORIA 7 - LAV Y DESCON CARCAM'!L9</f>
        <v>ML</v>
      </c>
      <c r="E22" s="14">
        <f>+'MEMORIA 7 - LAV Y DESCON CARCAM'!K18</f>
        <v>200</v>
      </c>
      <c r="F22" s="15">
        <f>APUS!G212</f>
        <v>53826.25</v>
      </c>
      <c r="G22" s="15">
        <f>E22*F22</f>
        <v>10765250</v>
      </c>
      <c r="K22" s="30">
        <f>+APUS!G232</f>
        <v>8077</v>
      </c>
      <c r="L22" s="31">
        <f>ROUND(K22*$E22,0)</f>
        <v>1615400</v>
      </c>
      <c r="M22" s="30">
        <f>+APUS!G220</f>
        <v>38304</v>
      </c>
      <c r="N22" s="31">
        <f>ROUND(M22*$E22,0)</f>
        <v>7660800</v>
      </c>
      <c r="O22" s="30">
        <f>+APUS!G236</f>
        <v>2035.99992877008</v>
      </c>
      <c r="P22" s="31">
        <f>ROUND(O22*$E22,0)</f>
        <v>407200</v>
      </c>
      <c r="Q22" s="30">
        <f>+APUS!G226</f>
        <v>5408.6599839999999</v>
      </c>
      <c r="R22" s="31">
        <f>ROUND(Q22*$E22,0)</f>
        <v>1081732</v>
      </c>
      <c r="S22" s="31">
        <f>ROUND((R22+P22+N22+L22)*($F$33+$F$32+$F$31),0)</f>
        <v>3444842</v>
      </c>
      <c r="U22" s="27">
        <f t="shared" si="0"/>
        <v>10765132</v>
      </c>
      <c r="W22" s="27">
        <f t="shared" si="1"/>
        <v>118</v>
      </c>
      <c r="AB22" s="36"/>
      <c r="AC22" s="38"/>
    </row>
    <row r="23" spans="2:29" x14ac:dyDescent="0.25">
      <c r="B23" s="6">
        <v>8</v>
      </c>
      <c r="C23" s="35" t="s">
        <v>328</v>
      </c>
      <c r="D23" s="19"/>
      <c r="E23" s="8"/>
      <c r="F23" s="20"/>
      <c r="G23" s="21">
        <f>SUM(G24:G24)</f>
        <v>42383610.560000002</v>
      </c>
      <c r="I23" s="22">
        <f>G23+((G23*$F$31)+(G23*$F$33)+($G$33*$F$34))</f>
        <v>60524410.239815004</v>
      </c>
      <c r="K23" s="23"/>
      <c r="L23" s="24">
        <f>SUM(L24:L24)</f>
        <v>0</v>
      </c>
      <c r="M23" s="25"/>
      <c r="N23" s="24">
        <f>SUM(N24:N24)</f>
        <v>42383610</v>
      </c>
      <c r="O23" s="25"/>
      <c r="P23" s="24">
        <f>SUM(P24:P24)</f>
        <v>0</v>
      </c>
      <c r="Q23" s="25"/>
      <c r="R23" s="24">
        <f>SUM(R24:R24)</f>
        <v>0</v>
      </c>
      <c r="S23" s="24">
        <f>SUM(S24:S24)</f>
        <v>13562755</v>
      </c>
      <c r="U23" s="27">
        <f t="shared" si="0"/>
        <v>42383610</v>
      </c>
      <c r="W23" s="27">
        <f t="shared" si="1"/>
        <v>0.56000000238418579</v>
      </c>
      <c r="AB23" s="36"/>
      <c r="AC23" s="37"/>
    </row>
    <row r="24" spans="2:29" ht="63.75" x14ac:dyDescent="0.25">
      <c r="B24" s="11">
        <v>8.1</v>
      </c>
      <c r="C24" s="32" t="str">
        <f>+'MEMORIA 8 - HOMOLOGACION FEDEPA'!C9</f>
        <v>Aval de la pista de velocidad, tramitado y otorgado bajo responsabilidad del contratista, por la FEDEPATIN Colombia según normativa - Escenarios de patinaje - 2024 "Normativa oficial para el diseño de escenarios de patinaje - vigencia 2024". Incluye hasta tres desplazamientos del personal técnico de FEDEPATIN.</v>
      </c>
      <c r="D24" s="13" t="s">
        <v>215</v>
      </c>
      <c r="E24" s="14">
        <f>+'MEMORIA 8 - HOMOLOGACION FEDEPA'!K18</f>
        <v>1</v>
      </c>
      <c r="F24" s="15">
        <f>APUS!G245</f>
        <v>42383610.560000002</v>
      </c>
      <c r="G24" s="15">
        <f>E24*F24</f>
        <v>42383610.560000002</v>
      </c>
      <c r="K24" s="30">
        <f>+APUS!G266</f>
        <v>0</v>
      </c>
      <c r="L24" s="31">
        <f t="shared" ref="L24" si="2">ROUND(K24*$E24,0)</f>
        <v>0</v>
      </c>
      <c r="M24" s="30">
        <f>+APUS!G255</f>
        <v>42383610</v>
      </c>
      <c r="N24" s="31">
        <f t="shared" ref="N24" si="3">ROUND(M24*$E24,0)</f>
        <v>42383610</v>
      </c>
      <c r="O24" s="30">
        <f>+APUS!G270</f>
        <v>0</v>
      </c>
      <c r="P24" s="31">
        <f t="shared" ref="P24" si="4">ROUND(O24*$E24,0)</f>
        <v>0</v>
      </c>
      <c r="Q24" s="30">
        <f>+APUS!G259</f>
        <v>0</v>
      </c>
      <c r="R24" s="31">
        <f t="shared" ref="R24" si="5">ROUND(Q24*$E24,0)</f>
        <v>0</v>
      </c>
      <c r="S24" s="31">
        <f>ROUND((R24+P24+N24+L24)*($F$33+$F$32+$F$31),0)</f>
        <v>13562755</v>
      </c>
      <c r="U24" s="27">
        <f t="shared" si="0"/>
        <v>42383610</v>
      </c>
      <c r="W24" s="27">
        <f t="shared" si="1"/>
        <v>0.56000000238418579</v>
      </c>
      <c r="AB24" s="36"/>
      <c r="AC24" s="38"/>
    </row>
    <row r="25" spans="2:29" x14ac:dyDescent="0.25">
      <c r="B25" s="6">
        <v>9</v>
      </c>
      <c r="C25" s="35" t="s">
        <v>369</v>
      </c>
      <c r="D25" s="19"/>
      <c r="E25" s="8"/>
      <c r="F25" s="20"/>
      <c r="G25" s="21">
        <f>SUM(G26:G26)</f>
        <v>797152.55</v>
      </c>
      <c r="H25" s="502"/>
      <c r="I25" s="22">
        <f>G25+((G25*$F$31)+(G25*$F$33)+($G$33*$F$34))</f>
        <v>6046150.2467150008</v>
      </c>
      <c r="K25" s="23"/>
      <c r="L25" s="24">
        <f>SUM(L26:L26)</f>
        <v>0</v>
      </c>
      <c r="M25" s="25"/>
      <c r="N25" s="24">
        <f>SUM(N26:N26)</f>
        <v>797153</v>
      </c>
      <c r="O25" s="25"/>
      <c r="P25" s="24">
        <f>SUM(P26:P26)</f>
        <v>0</v>
      </c>
      <c r="Q25" s="25"/>
      <c r="R25" s="24">
        <f>SUM(R26:R26)</f>
        <v>0</v>
      </c>
      <c r="S25" s="24">
        <f>SUM(S26:S26)</f>
        <v>255054.36</v>
      </c>
      <c r="U25" s="27">
        <f t="shared" si="0"/>
        <v>797153</v>
      </c>
      <c r="W25" s="27">
        <f t="shared" si="1"/>
        <v>-0.44999999995343387</v>
      </c>
      <c r="AB25" s="36"/>
      <c r="AC25" s="37"/>
    </row>
    <row r="26" spans="2:29" ht="25.5" x14ac:dyDescent="0.25">
      <c r="B26" s="11">
        <v>9.1</v>
      </c>
      <c r="C26" s="32" t="s">
        <v>347</v>
      </c>
      <c r="D26" s="13" t="str">
        <f>'MEMORIA 9 - VALLA INFORMATIVA'!L9</f>
        <v>M2</v>
      </c>
      <c r="E26" s="14">
        <v>5</v>
      </c>
      <c r="F26" s="15">
        <f>APUS!G281</f>
        <v>159430.51</v>
      </c>
      <c r="G26" s="15">
        <f>E26*F26</f>
        <v>797152.55</v>
      </c>
      <c r="K26" s="30">
        <f>+APUS!G268</f>
        <v>0</v>
      </c>
      <c r="L26" s="31">
        <f t="shared" ref="L26" si="6">ROUND(K26*$E26,0)</f>
        <v>0</v>
      </c>
      <c r="M26" s="30">
        <f>+APUS!G281</f>
        <v>159430.51</v>
      </c>
      <c r="N26" s="31">
        <f t="shared" ref="N26" si="7">ROUND(M26*$E26,0)</f>
        <v>797153</v>
      </c>
      <c r="O26" s="30">
        <f>+APUS!G272</f>
        <v>0</v>
      </c>
      <c r="P26" s="31">
        <f t="shared" ref="P26" si="8">ROUND(O26*$E26,0)</f>
        <v>0</v>
      </c>
      <c r="Q26" s="30">
        <f>+APUS!G261</f>
        <v>0</v>
      </c>
      <c r="R26" s="31">
        <f t="shared" ref="R26" si="9">ROUND(Q26*$E26,0)</f>
        <v>0</v>
      </c>
      <c r="S26" s="31">
        <f>ROUND((R26+P26+N26+L26)*($F$33+$F$32+$F$31),0)-34.64</f>
        <v>255054.36</v>
      </c>
      <c r="U26" s="27">
        <f t="shared" si="0"/>
        <v>797153</v>
      </c>
      <c r="W26" s="27">
        <f t="shared" si="1"/>
        <v>-0.44999999995343387</v>
      </c>
      <c r="AB26" s="36"/>
      <c r="AC26" s="38"/>
    </row>
    <row r="27" spans="2:29" x14ac:dyDescent="0.25">
      <c r="B27" s="40"/>
      <c r="C27" s="41"/>
      <c r="D27" s="41"/>
      <c r="E27" s="506"/>
      <c r="F27" s="31"/>
      <c r="G27" s="488"/>
      <c r="K27" s="30">
        <f>APUS!G299</f>
        <v>4967</v>
      </c>
    </row>
    <row r="28" spans="2:29" x14ac:dyDescent="0.25">
      <c r="B28" s="40"/>
      <c r="C28" s="41"/>
      <c r="D28" s="41"/>
      <c r="E28" s="31"/>
      <c r="F28" s="31"/>
      <c r="G28" s="31"/>
    </row>
    <row r="29" spans="2:29" x14ac:dyDescent="0.25">
      <c r="B29" s="40"/>
      <c r="C29" s="41"/>
      <c r="D29" s="579" t="s">
        <v>17</v>
      </c>
      <c r="E29" s="579"/>
      <c r="F29" s="579"/>
      <c r="G29" s="548">
        <f>ROUND(G9+G11+G13+G15+G17+G19+G21+G25+G23,0)-0.03</f>
        <v>526513726.97000003</v>
      </c>
      <c r="H29" s="502"/>
      <c r="I29" s="42"/>
      <c r="J29" s="560"/>
      <c r="X29" s="43"/>
    </row>
    <row r="30" spans="2:29" x14ac:dyDescent="0.25">
      <c r="B30" s="40"/>
      <c r="C30" s="41"/>
      <c r="D30" s="44"/>
      <c r="E30" s="44"/>
      <c r="F30" s="44"/>
      <c r="G30" s="44"/>
    </row>
    <row r="31" spans="2:29" x14ac:dyDescent="0.25">
      <c r="B31" s="40"/>
      <c r="C31" s="41"/>
      <c r="D31" s="572" t="s">
        <v>18</v>
      </c>
      <c r="E31" s="572"/>
      <c r="F31" s="557">
        <v>0.26</v>
      </c>
      <c r="G31" s="549">
        <f>(G29*F31)</f>
        <v>136893569.0122</v>
      </c>
      <c r="H31" s="507"/>
      <c r="J31" s="560"/>
      <c r="X31" s="508"/>
    </row>
    <row r="32" spans="2:29" x14ac:dyDescent="0.25">
      <c r="B32" s="45"/>
      <c r="C32" s="46"/>
      <c r="D32" s="572" t="s">
        <v>371</v>
      </c>
      <c r="E32" s="572"/>
      <c r="F32" s="557">
        <v>0.01</v>
      </c>
      <c r="G32" s="549">
        <f>(G29*F32)</f>
        <v>5265137.2697000001</v>
      </c>
      <c r="H32" s="502"/>
      <c r="J32" s="560"/>
    </row>
    <row r="33" spans="2:24" x14ac:dyDescent="0.25">
      <c r="B33" s="47" t="s">
        <v>330</v>
      </c>
      <c r="C33" s="41"/>
      <c r="D33" s="573" t="s">
        <v>19</v>
      </c>
      <c r="E33" s="573"/>
      <c r="F33" s="48">
        <v>0.05</v>
      </c>
      <c r="G33" s="549">
        <f>(G29*F33)</f>
        <v>26325686.348500002</v>
      </c>
      <c r="H33" s="487"/>
    </row>
    <row r="34" spans="2:24" x14ac:dyDescent="0.25">
      <c r="B34" s="561" t="s">
        <v>331</v>
      </c>
      <c r="C34" s="561"/>
      <c r="D34" s="573" t="s">
        <v>324</v>
      </c>
      <c r="E34" s="573"/>
      <c r="F34" s="48">
        <v>0.19</v>
      </c>
      <c r="G34" s="549">
        <f>(G33*F34)</f>
        <v>5001880.4062150009</v>
      </c>
      <c r="H34" s="36"/>
      <c r="I34" s="36"/>
    </row>
    <row r="35" spans="2:24" x14ac:dyDescent="0.25">
      <c r="B35" s="1" t="s">
        <v>332</v>
      </c>
      <c r="C35" s="41"/>
      <c r="D35" s="573"/>
      <c r="E35" s="573"/>
      <c r="F35" s="509"/>
      <c r="G35" s="549"/>
      <c r="H35" s="36"/>
      <c r="I35" s="36"/>
    </row>
    <row r="36" spans="2:24" x14ac:dyDescent="0.25">
      <c r="B36" s="1"/>
      <c r="C36" s="41"/>
      <c r="D36" s="2"/>
      <c r="E36" s="2"/>
      <c r="F36" s="49"/>
      <c r="G36" s="550"/>
      <c r="H36" s="36"/>
      <c r="I36" s="36"/>
    </row>
    <row r="37" spans="2:24" x14ac:dyDescent="0.25">
      <c r="B37" s="40"/>
      <c r="C37" s="41"/>
      <c r="D37" s="579" t="s">
        <v>20</v>
      </c>
      <c r="E37" s="579"/>
      <c r="F37" s="579"/>
      <c r="G37" s="548">
        <f>(G29+G31+G33+G34+G35+G32)</f>
        <v>700000000.00661504</v>
      </c>
      <c r="H37" s="36"/>
      <c r="I37" s="50"/>
      <c r="X37" s="507"/>
    </row>
    <row r="38" spans="2:24" x14ac:dyDescent="0.25">
      <c r="H38" s="36"/>
      <c r="I38" s="51"/>
    </row>
    <row r="39" spans="2:24" x14ac:dyDescent="0.25">
      <c r="C39" t="s">
        <v>335</v>
      </c>
    </row>
    <row r="40" spans="2:24" x14ac:dyDescent="0.25">
      <c r="F40" s="52"/>
    </row>
    <row r="41" spans="2:24" x14ac:dyDescent="0.25">
      <c r="C41" t="s">
        <v>21</v>
      </c>
      <c r="D41" s="580">
        <v>450000000</v>
      </c>
      <c r="E41" s="580"/>
      <c r="F41" s="580"/>
    </row>
    <row r="43" spans="2:24" x14ac:dyDescent="0.25">
      <c r="C43" t="s">
        <v>336</v>
      </c>
      <c r="D43" s="580">
        <f>+G37-D41</f>
        <v>250000000.00661504</v>
      </c>
      <c r="E43" s="580"/>
      <c r="F43" s="580"/>
    </row>
  </sheetData>
  <mergeCells count="20">
    <mergeCell ref="B34:C34"/>
    <mergeCell ref="D34:E34"/>
    <mergeCell ref="D37:F37"/>
    <mergeCell ref="D41:F41"/>
    <mergeCell ref="D43:F43"/>
    <mergeCell ref="D35:E35"/>
    <mergeCell ref="K8:L8"/>
    <mergeCell ref="M8:N8"/>
    <mergeCell ref="O8:P8"/>
    <mergeCell ref="Q8:R8"/>
    <mergeCell ref="D29:F29"/>
    <mergeCell ref="D31:E31"/>
    <mergeCell ref="D33:E33"/>
    <mergeCell ref="B6:G6"/>
    <mergeCell ref="B2:G3"/>
    <mergeCell ref="B4:C4"/>
    <mergeCell ref="D4:G4"/>
    <mergeCell ref="B5:C5"/>
    <mergeCell ref="D5:G5"/>
    <mergeCell ref="D32:E32"/>
  </mergeCells>
  <hyperlinks>
    <hyperlink ref="C9" location="'MEMORIA  1 - PRELIMINAR'!Área_de_impresión" display="PRELIMINARES" xr:uid="{D5AB15CE-7A09-4553-A3C6-65332F251BE0}"/>
    <hyperlink ref="C11" location="'MEMORIA  2 - EQUIPOS'!Área_de_impresión" display="EQUIPOS" xr:uid="{DC2B27BD-A6C5-47A5-B475-DEC8A728358F}"/>
    <hyperlink ref="C13" location="'MEMORIA  3 - PISOS'!Área_de_impresión" display="PISOS" xr:uid="{DAB9579B-C6F7-4733-86A5-608E854AAA28}"/>
    <hyperlink ref="C15" location="'MEMORIA  4 - CERRAMIENTO'!A1" display="CERRAMIENTO" xr:uid="{D8278859-1D64-44B6-A69D-229A1EE59C5E}"/>
    <hyperlink ref="C17" location="'MEMORIA  4 - RETIRO'!Área_de_impresión" display="RETIRO " xr:uid="{27DA315E-60A1-4786-9D9C-4BEEF7DECD06}"/>
    <hyperlink ref="D31" location="'ANALISIS DEL A,I,U  '!A1" display="ADMINISTRACION:" xr:uid="{31CA485E-D8BD-40E3-B082-FF0396F25F60}"/>
    <hyperlink ref="D32" location="'ANALISIS DEL A,I,U  '!A1" display="ADMINISTRACION:" xr:uid="{9155F376-A7F2-4F10-B57A-D5AD9ACEA9D9}"/>
  </hyperlinks>
  <pageMargins left="0.7" right="0.7" top="0.75" bottom="0.75" header="0.511811023622047" footer="0.511811023622047"/>
  <pageSetup scale="80" fitToWidth="0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A9AC3-FF23-4852-B729-56805C3139B8}">
  <sheetPr>
    <tabColor rgb="FF92D050"/>
    <pageSetUpPr fitToPage="1"/>
  </sheetPr>
  <dimension ref="A1:AMJ55"/>
  <sheetViews>
    <sheetView topLeftCell="A25" zoomScale="70" zoomScaleNormal="70" workbookViewId="0">
      <selection activeCell="J51" sqref="J51"/>
    </sheetView>
  </sheetViews>
  <sheetFormatPr baseColWidth="10" defaultColWidth="11.42578125" defaultRowHeight="18.75" x14ac:dyDescent="0.25"/>
  <cols>
    <col min="1" max="1" width="10.42578125" style="77" customWidth="1"/>
    <col min="2" max="2" width="34.140625" style="78" customWidth="1"/>
    <col min="3" max="3" width="26.28515625" style="78" bestFit="1" customWidth="1"/>
    <col min="4" max="4" width="22" style="79" customWidth="1"/>
    <col min="5" max="5" width="16.140625" style="80" customWidth="1"/>
    <col min="6" max="6" width="23" style="80" customWidth="1"/>
    <col min="7" max="7" width="22.42578125" style="78" customWidth="1"/>
    <col min="8" max="8" width="26.5703125" style="78" customWidth="1"/>
    <col min="9" max="9" width="31.5703125" style="78" customWidth="1"/>
    <col min="10" max="10" width="27.42578125" style="78" bestFit="1" customWidth="1"/>
    <col min="11" max="11" width="22.85546875" style="78" customWidth="1"/>
    <col min="12" max="12" width="11.42578125" style="78"/>
    <col min="13" max="13" width="19.85546875" style="78" bestFit="1" customWidth="1"/>
    <col min="14" max="14" width="15.140625" style="78" bestFit="1" customWidth="1"/>
    <col min="15" max="1024" width="11.42578125" style="78"/>
  </cols>
  <sheetData>
    <row r="1" spans="1:1024" s="81" customFormat="1" ht="27.75" customHeight="1" thickBot="1" x14ac:dyDescent="0.35">
      <c r="A1" s="589"/>
      <c r="B1" s="589"/>
      <c r="C1" s="590" t="s">
        <v>319</v>
      </c>
      <c r="D1" s="590"/>
      <c r="E1" s="590"/>
      <c r="F1" s="590"/>
      <c r="G1" s="590"/>
      <c r="H1" s="590"/>
      <c r="I1" s="590"/>
    </row>
    <row r="2" spans="1:1024" ht="35.25" customHeight="1" thickBot="1" x14ac:dyDescent="0.35">
      <c r="A2" s="589"/>
      <c r="B2" s="589"/>
      <c r="C2" s="591"/>
      <c r="D2" s="591"/>
      <c r="E2" s="591"/>
      <c r="F2" s="591"/>
      <c r="G2" s="591"/>
      <c r="H2" s="591"/>
      <c r="I2" s="59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  <c r="DL2" s="81"/>
      <c r="DM2" s="81"/>
      <c r="DN2" s="81"/>
      <c r="DO2" s="81"/>
      <c r="DP2" s="81"/>
      <c r="DQ2" s="81"/>
      <c r="DR2" s="81"/>
      <c r="DS2" s="81"/>
      <c r="DT2" s="81"/>
      <c r="DU2" s="81"/>
      <c r="DV2" s="81"/>
      <c r="DW2" s="81"/>
      <c r="DX2" s="81"/>
      <c r="DY2" s="81"/>
      <c r="DZ2" s="81"/>
      <c r="EA2" s="81"/>
      <c r="EB2" s="81"/>
      <c r="EC2" s="81"/>
      <c r="ED2" s="81"/>
      <c r="EE2" s="81"/>
      <c r="EF2" s="81"/>
      <c r="EG2" s="81"/>
      <c r="EH2" s="81"/>
      <c r="EI2" s="81"/>
      <c r="EJ2" s="81"/>
      <c r="EK2" s="81"/>
      <c r="EL2" s="81"/>
      <c r="EM2" s="81"/>
      <c r="EN2" s="81"/>
      <c r="EO2" s="81"/>
      <c r="EP2" s="81"/>
      <c r="EQ2" s="81"/>
      <c r="ER2" s="81"/>
      <c r="ES2" s="81"/>
      <c r="ET2" s="81"/>
      <c r="EU2" s="81"/>
      <c r="EV2" s="81"/>
      <c r="EW2" s="81"/>
      <c r="EX2" s="81"/>
      <c r="EY2" s="81"/>
      <c r="EZ2" s="81"/>
      <c r="FA2" s="81"/>
      <c r="FB2" s="81"/>
      <c r="FC2" s="81"/>
      <c r="FD2" s="81"/>
      <c r="FE2" s="81"/>
      <c r="FF2" s="81"/>
      <c r="FG2" s="81"/>
      <c r="FH2" s="81"/>
      <c r="FI2" s="81"/>
      <c r="FJ2" s="81"/>
      <c r="FK2" s="81"/>
      <c r="FL2" s="81"/>
      <c r="FM2" s="81"/>
      <c r="FN2" s="81"/>
      <c r="FO2" s="81"/>
      <c r="FP2" s="81"/>
      <c r="FQ2" s="81"/>
      <c r="FR2" s="81"/>
      <c r="FS2" s="81"/>
      <c r="FT2" s="81"/>
      <c r="FU2" s="81"/>
      <c r="FV2" s="81"/>
      <c r="FW2" s="81"/>
      <c r="FX2" s="81"/>
      <c r="FY2" s="81"/>
      <c r="FZ2" s="81"/>
      <c r="GA2" s="81"/>
      <c r="GB2" s="81"/>
      <c r="GC2" s="81"/>
      <c r="GD2" s="81"/>
      <c r="GE2" s="81"/>
      <c r="GF2" s="81"/>
      <c r="GG2" s="81"/>
      <c r="GH2" s="81"/>
      <c r="GI2" s="81"/>
      <c r="GJ2" s="81"/>
      <c r="GK2" s="81"/>
      <c r="GL2" s="81"/>
      <c r="GM2" s="81"/>
      <c r="GN2" s="81"/>
      <c r="GO2" s="81"/>
      <c r="GP2" s="81"/>
      <c r="GQ2" s="81"/>
      <c r="GR2" s="81"/>
      <c r="GS2" s="81"/>
      <c r="GT2" s="81"/>
      <c r="GU2" s="81"/>
      <c r="GV2" s="81"/>
      <c r="GW2" s="81"/>
      <c r="GX2" s="81"/>
      <c r="GY2" s="81"/>
      <c r="GZ2" s="81"/>
      <c r="HA2" s="81"/>
      <c r="HB2" s="81"/>
      <c r="HC2" s="81"/>
      <c r="HD2" s="81"/>
      <c r="HE2" s="81"/>
      <c r="HF2" s="81"/>
      <c r="HG2" s="81"/>
      <c r="HH2" s="81"/>
      <c r="HI2" s="81"/>
      <c r="HJ2" s="81"/>
      <c r="HK2" s="81"/>
      <c r="HL2" s="81"/>
      <c r="HM2" s="81"/>
      <c r="HN2" s="81"/>
      <c r="HO2" s="81"/>
      <c r="HP2" s="81"/>
      <c r="HQ2" s="81"/>
      <c r="HR2" s="81"/>
      <c r="HS2" s="81"/>
      <c r="HT2" s="81"/>
      <c r="HU2" s="81"/>
      <c r="HV2" s="81"/>
      <c r="HW2" s="81"/>
      <c r="HX2" s="81"/>
      <c r="HY2" s="81"/>
      <c r="HZ2" s="81"/>
      <c r="IA2" s="81"/>
      <c r="IB2" s="81"/>
      <c r="IC2" s="81"/>
      <c r="ID2" s="81"/>
      <c r="IE2" s="81"/>
      <c r="IF2" s="81"/>
      <c r="IG2" s="81"/>
      <c r="IH2" s="81"/>
      <c r="II2" s="81"/>
      <c r="IJ2" s="81"/>
      <c r="IK2" s="81"/>
      <c r="IL2" s="81"/>
      <c r="IM2" s="81"/>
      <c r="IN2" s="81"/>
      <c r="IO2" s="81"/>
      <c r="IP2" s="81"/>
      <c r="IQ2" s="81"/>
      <c r="IR2" s="81"/>
      <c r="IS2" s="81"/>
      <c r="IT2" s="81"/>
      <c r="IU2" s="81"/>
      <c r="IV2" s="81"/>
      <c r="IW2" s="81"/>
      <c r="IX2" s="81"/>
      <c r="IY2" s="81"/>
      <c r="IZ2" s="81"/>
      <c r="JA2" s="81"/>
      <c r="JB2" s="81"/>
      <c r="JC2" s="81"/>
      <c r="JD2" s="81"/>
      <c r="JE2" s="81"/>
      <c r="JF2" s="81"/>
      <c r="JG2" s="81"/>
      <c r="JH2" s="81"/>
      <c r="JI2" s="81"/>
      <c r="JJ2" s="81"/>
      <c r="JK2" s="81"/>
      <c r="JL2" s="81"/>
      <c r="JM2" s="81"/>
      <c r="JN2" s="81"/>
      <c r="JO2" s="81"/>
      <c r="JP2" s="81"/>
      <c r="JQ2" s="81"/>
      <c r="JR2" s="81"/>
      <c r="JS2" s="81"/>
      <c r="JT2" s="81"/>
      <c r="JU2" s="81"/>
      <c r="JV2" s="81"/>
      <c r="JW2" s="81"/>
      <c r="JX2" s="81"/>
      <c r="JY2" s="81"/>
      <c r="JZ2" s="81"/>
      <c r="KA2" s="81"/>
      <c r="KB2" s="81"/>
      <c r="KC2" s="81"/>
      <c r="KD2" s="81"/>
      <c r="KE2" s="81"/>
      <c r="KF2" s="81"/>
      <c r="KG2" s="81"/>
      <c r="KH2" s="81"/>
      <c r="KI2" s="81"/>
      <c r="KJ2" s="81"/>
      <c r="KK2" s="81"/>
      <c r="KL2" s="81"/>
      <c r="KM2" s="81"/>
      <c r="KN2" s="81"/>
      <c r="KO2" s="81"/>
      <c r="KP2" s="81"/>
      <c r="KQ2" s="81"/>
      <c r="KR2" s="81"/>
      <c r="KS2" s="81"/>
      <c r="KT2" s="81"/>
      <c r="KU2" s="81"/>
      <c r="KV2" s="81"/>
      <c r="KW2" s="81"/>
      <c r="KX2" s="81"/>
      <c r="KY2" s="81"/>
      <c r="KZ2" s="81"/>
      <c r="LA2" s="81"/>
      <c r="LB2" s="81"/>
      <c r="LC2" s="81"/>
      <c r="LD2" s="81"/>
      <c r="LE2" s="81"/>
      <c r="LF2" s="81"/>
      <c r="LG2" s="81"/>
      <c r="LH2" s="81"/>
      <c r="LI2" s="81"/>
      <c r="LJ2" s="81"/>
      <c r="LK2" s="81"/>
      <c r="LL2" s="81"/>
      <c r="LM2" s="81"/>
      <c r="LN2" s="81"/>
      <c r="LO2" s="81"/>
      <c r="LP2" s="81"/>
      <c r="LQ2" s="81"/>
      <c r="LR2" s="81"/>
      <c r="LS2" s="81"/>
      <c r="LT2" s="81"/>
      <c r="LU2" s="81"/>
      <c r="LV2" s="81"/>
      <c r="LW2" s="81"/>
      <c r="LX2" s="81"/>
      <c r="LY2" s="81"/>
      <c r="LZ2" s="81"/>
      <c r="MA2" s="81"/>
      <c r="MB2" s="81"/>
      <c r="MC2" s="81"/>
      <c r="MD2" s="81"/>
      <c r="ME2" s="81"/>
      <c r="MF2" s="81"/>
      <c r="MG2" s="81"/>
      <c r="MH2" s="81"/>
      <c r="MI2" s="81"/>
      <c r="MJ2" s="81"/>
      <c r="MK2" s="81"/>
      <c r="ML2" s="81"/>
      <c r="MM2" s="81"/>
      <c r="MN2" s="81"/>
      <c r="MO2" s="81"/>
      <c r="MP2" s="81"/>
      <c r="MQ2" s="81"/>
      <c r="MR2" s="81"/>
      <c r="MS2" s="81"/>
      <c r="MT2" s="81"/>
      <c r="MU2" s="81"/>
      <c r="MV2" s="81"/>
      <c r="MW2" s="81"/>
      <c r="MX2" s="81"/>
      <c r="MY2" s="81"/>
      <c r="MZ2" s="81"/>
      <c r="NA2" s="81"/>
      <c r="NB2" s="81"/>
      <c r="NC2" s="81"/>
      <c r="ND2" s="81"/>
      <c r="NE2" s="81"/>
      <c r="NF2" s="81"/>
      <c r="NG2" s="81"/>
      <c r="NH2" s="81"/>
      <c r="NI2" s="81"/>
      <c r="NJ2" s="81"/>
      <c r="NK2" s="81"/>
      <c r="NL2" s="81"/>
      <c r="NM2" s="81"/>
      <c r="NN2" s="81"/>
      <c r="NO2" s="81"/>
      <c r="NP2" s="81"/>
      <c r="NQ2" s="81"/>
      <c r="NR2" s="81"/>
      <c r="NS2" s="81"/>
      <c r="NT2" s="81"/>
      <c r="NU2" s="81"/>
      <c r="NV2" s="81"/>
      <c r="NW2" s="81"/>
      <c r="NX2" s="81"/>
      <c r="NY2" s="81"/>
      <c r="NZ2" s="81"/>
      <c r="OA2" s="81"/>
      <c r="OB2" s="81"/>
      <c r="OC2" s="81"/>
      <c r="OD2" s="81"/>
      <c r="OE2" s="81"/>
      <c r="OF2" s="81"/>
      <c r="OG2" s="81"/>
      <c r="OH2" s="81"/>
      <c r="OI2" s="81"/>
      <c r="OJ2" s="81"/>
      <c r="OK2" s="81"/>
      <c r="OL2" s="81"/>
      <c r="OM2" s="81"/>
      <c r="ON2" s="81"/>
      <c r="OO2" s="81"/>
      <c r="OP2" s="81"/>
      <c r="OQ2" s="81"/>
      <c r="OR2" s="81"/>
      <c r="OS2" s="81"/>
      <c r="OT2" s="81"/>
      <c r="OU2" s="81"/>
      <c r="OV2" s="81"/>
      <c r="OW2" s="81"/>
      <c r="OX2" s="81"/>
      <c r="OY2" s="81"/>
      <c r="OZ2" s="81"/>
      <c r="PA2" s="81"/>
      <c r="PB2" s="81"/>
      <c r="PC2" s="81"/>
      <c r="PD2" s="81"/>
      <c r="PE2" s="81"/>
      <c r="PF2" s="81"/>
      <c r="PG2" s="81"/>
      <c r="PH2" s="81"/>
      <c r="PI2" s="81"/>
      <c r="PJ2" s="81"/>
      <c r="PK2" s="81"/>
      <c r="PL2" s="81"/>
      <c r="PM2" s="81"/>
      <c r="PN2" s="81"/>
      <c r="PO2" s="81"/>
      <c r="PP2" s="81"/>
      <c r="PQ2" s="81"/>
      <c r="PR2" s="81"/>
      <c r="PS2" s="81"/>
      <c r="PT2" s="81"/>
      <c r="PU2" s="81"/>
      <c r="PV2" s="81"/>
      <c r="PW2" s="81"/>
      <c r="PX2" s="81"/>
      <c r="PY2" s="81"/>
      <c r="PZ2" s="81"/>
      <c r="QA2" s="81"/>
      <c r="QB2" s="81"/>
      <c r="QC2" s="81"/>
      <c r="QD2" s="81"/>
      <c r="QE2" s="81"/>
      <c r="QF2" s="81"/>
      <c r="QG2" s="81"/>
      <c r="QH2" s="81"/>
      <c r="QI2" s="81"/>
      <c r="QJ2" s="81"/>
      <c r="QK2" s="81"/>
      <c r="QL2" s="81"/>
      <c r="QM2" s="81"/>
      <c r="QN2" s="81"/>
      <c r="QO2" s="81"/>
      <c r="QP2" s="81"/>
      <c r="QQ2" s="81"/>
      <c r="QR2" s="81"/>
      <c r="QS2" s="81"/>
      <c r="QT2" s="81"/>
      <c r="QU2" s="81"/>
      <c r="QV2" s="81"/>
      <c r="QW2" s="81"/>
      <c r="QX2" s="81"/>
      <c r="QY2" s="81"/>
      <c r="QZ2" s="81"/>
      <c r="RA2" s="81"/>
      <c r="RB2" s="81"/>
      <c r="RC2" s="81"/>
      <c r="RD2" s="81"/>
      <c r="RE2" s="81"/>
      <c r="RF2" s="81"/>
      <c r="RG2" s="81"/>
      <c r="RH2" s="81"/>
      <c r="RI2" s="81"/>
      <c r="RJ2" s="81"/>
      <c r="RK2" s="81"/>
      <c r="RL2" s="81"/>
      <c r="RM2" s="81"/>
      <c r="RN2" s="81"/>
      <c r="RO2" s="81"/>
      <c r="RP2" s="81"/>
      <c r="RQ2" s="81"/>
      <c r="RR2" s="81"/>
      <c r="RS2" s="81"/>
      <c r="RT2" s="81"/>
      <c r="RU2" s="81"/>
      <c r="RV2" s="81"/>
      <c r="RW2" s="81"/>
      <c r="RX2" s="81"/>
      <c r="RY2" s="81"/>
      <c r="RZ2" s="81"/>
      <c r="SA2" s="81"/>
      <c r="SB2" s="81"/>
      <c r="SC2" s="81"/>
      <c r="SD2" s="81"/>
      <c r="SE2" s="81"/>
      <c r="SF2" s="81"/>
      <c r="SG2" s="81"/>
      <c r="SH2" s="81"/>
      <c r="SI2" s="81"/>
      <c r="SJ2" s="81"/>
      <c r="SK2" s="81"/>
      <c r="SL2" s="81"/>
      <c r="SM2" s="81"/>
      <c r="SN2" s="81"/>
      <c r="SO2" s="81"/>
      <c r="SP2" s="81"/>
      <c r="SQ2" s="81"/>
      <c r="SR2" s="81"/>
      <c r="SS2" s="81"/>
      <c r="ST2" s="81"/>
      <c r="SU2" s="81"/>
      <c r="SV2" s="81"/>
      <c r="SW2" s="81"/>
      <c r="SX2" s="81"/>
      <c r="SY2" s="81"/>
      <c r="SZ2" s="81"/>
      <c r="TA2" s="81"/>
      <c r="TB2" s="81"/>
      <c r="TC2" s="81"/>
      <c r="TD2" s="81"/>
      <c r="TE2" s="81"/>
      <c r="TF2" s="81"/>
      <c r="TG2" s="81"/>
      <c r="TH2" s="81"/>
      <c r="TI2" s="81"/>
      <c r="TJ2" s="81"/>
      <c r="TK2" s="81"/>
      <c r="TL2" s="81"/>
      <c r="TM2" s="81"/>
      <c r="TN2" s="81"/>
      <c r="TO2" s="81"/>
      <c r="TP2" s="81"/>
      <c r="TQ2" s="81"/>
      <c r="TR2" s="81"/>
      <c r="TS2" s="81"/>
      <c r="TT2" s="81"/>
      <c r="TU2" s="81"/>
      <c r="TV2" s="81"/>
      <c r="TW2" s="81"/>
      <c r="TX2" s="81"/>
      <c r="TY2" s="81"/>
      <c r="TZ2" s="81"/>
      <c r="UA2" s="81"/>
      <c r="UB2" s="81"/>
      <c r="UC2" s="81"/>
      <c r="UD2" s="81"/>
      <c r="UE2" s="81"/>
      <c r="UF2" s="81"/>
      <c r="UG2" s="81"/>
      <c r="UH2" s="81"/>
      <c r="UI2" s="81"/>
      <c r="UJ2" s="81"/>
      <c r="UK2" s="81"/>
      <c r="UL2" s="81"/>
      <c r="UM2" s="81"/>
      <c r="UN2" s="81"/>
      <c r="UO2" s="81"/>
      <c r="UP2" s="81"/>
      <c r="UQ2" s="81"/>
      <c r="UR2" s="81"/>
      <c r="US2" s="81"/>
      <c r="UT2" s="81"/>
      <c r="UU2" s="81"/>
      <c r="UV2" s="81"/>
      <c r="UW2" s="81"/>
      <c r="UX2" s="81"/>
      <c r="UY2" s="81"/>
      <c r="UZ2" s="81"/>
      <c r="VA2" s="81"/>
      <c r="VB2" s="81"/>
      <c r="VC2" s="81"/>
      <c r="VD2" s="81"/>
      <c r="VE2" s="81"/>
      <c r="VF2" s="81"/>
      <c r="VG2" s="81"/>
      <c r="VH2" s="81"/>
      <c r="VI2" s="81"/>
      <c r="VJ2" s="81"/>
      <c r="VK2" s="81"/>
      <c r="VL2" s="81"/>
      <c r="VM2" s="81"/>
      <c r="VN2" s="81"/>
      <c r="VO2" s="81"/>
      <c r="VP2" s="81"/>
      <c r="VQ2" s="81"/>
      <c r="VR2" s="81"/>
      <c r="VS2" s="81"/>
      <c r="VT2" s="81"/>
      <c r="VU2" s="81"/>
      <c r="VV2" s="81"/>
      <c r="VW2" s="81"/>
      <c r="VX2" s="81"/>
      <c r="VY2" s="81"/>
      <c r="VZ2" s="81"/>
      <c r="WA2" s="81"/>
      <c r="WB2" s="81"/>
      <c r="WC2" s="81"/>
      <c r="WD2" s="81"/>
      <c r="WE2" s="81"/>
      <c r="WF2" s="81"/>
      <c r="WG2" s="81"/>
      <c r="WH2" s="81"/>
      <c r="WI2" s="81"/>
      <c r="WJ2" s="81"/>
      <c r="WK2" s="81"/>
      <c r="WL2" s="81"/>
      <c r="WM2" s="81"/>
      <c r="WN2" s="81"/>
      <c r="WO2" s="81"/>
      <c r="WP2" s="81"/>
      <c r="WQ2" s="81"/>
      <c r="WR2" s="81"/>
      <c r="WS2" s="81"/>
      <c r="WT2" s="81"/>
      <c r="WU2" s="81"/>
      <c r="WV2" s="81"/>
      <c r="WW2" s="81"/>
      <c r="WX2" s="81"/>
      <c r="WY2" s="81"/>
      <c r="WZ2" s="81"/>
      <c r="XA2" s="81"/>
      <c r="XB2" s="81"/>
      <c r="XC2" s="81"/>
      <c r="XD2" s="81"/>
      <c r="XE2" s="81"/>
      <c r="XF2" s="81"/>
      <c r="XG2" s="81"/>
      <c r="XH2" s="81"/>
      <c r="XI2" s="81"/>
      <c r="XJ2" s="81"/>
      <c r="XK2" s="81"/>
      <c r="XL2" s="81"/>
      <c r="XM2" s="81"/>
      <c r="XN2" s="81"/>
      <c r="XO2" s="81"/>
      <c r="XP2" s="81"/>
      <c r="XQ2" s="81"/>
      <c r="XR2" s="81"/>
      <c r="XS2" s="81"/>
      <c r="XT2" s="81"/>
      <c r="XU2" s="81"/>
      <c r="XV2" s="81"/>
      <c r="XW2" s="81"/>
      <c r="XX2" s="81"/>
      <c r="XY2" s="81"/>
      <c r="XZ2" s="81"/>
      <c r="YA2" s="81"/>
      <c r="YB2" s="81"/>
      <c r="YC2" s="81"/>
      <c r="YD2" s="81"/>
      <c r="YE2" s="81"/>
      <c r="YF2" s="81"/>
      <c r="YG2" s="81"/>
      <c r="YH2" s="81"/>
      <c r="YI2" s="81"/>
      <c r="YJ2" s="81"/>
      <c r="YK2" s="81"/>
      <c r="YL2" s="81"/>
      <c r="YM2" s="81"/>
      <c r="YN2" s="81"/>
      <c r="YO2" s="81"/>
      <c r="YP2" s="81"/>
      <c r="YQ2" s="81"/>
      <c r="YR2" s="81"/>
      <c r="YS2" s="81"/>
      <c r="YT2" s="81"/>
      <c r="YU2" s="81"/>
      <c r="YV2" s="81"/>
      <c r="YW2" s="81"/>
      <c r="YX2" s="81"/>
      <c r="YY2" s="81"/>
      <c r="YZ2" s="81"/>
      <c r="ZA2" s="81"/>
      <c r="ZB2" s="81"/>
      <c r="ZC2" s="81"/>
      <c r="ZD2" s="81"/>
      <c r="ZE2" s="81"/>
      <c r="ZF2" s="81"/>
      <c r="ZG2" s="81"/>
      <c r="ZH2" s="81"/>
      <c r="ZI2" s="81"/>
      <c r="ZJ2" s="81"/>
      <c r="ZK2" s="81"/>
      <c r="ZL2" s="81"/>
      <c r="ZM2" s="81"/>
      <c r="ZN2" s="81"/>
      <c r="ZO2" s="81"/>
      <c r="ZP2" s="81"/>
      <c r="ZQ2" s="81"/>
      <c r="ZR2" s="81"/>
      <c r="ZS2" s="81"/>
      <c r="ZT2" s="81"/>
      <c r="ZU2" s="81"/>
      <c r="ZV2" s="81"/>
      <c r="ZW2" s="81"/>
      <c r="ZX2" s="81"/>
      <c r="ZY2" s="81"/>
      <c r="ZZ2" s="81"/>
      <c r="AAA2" s="81"/>
      <c r="AAB2" s="81"/>
      <c r="AAC2" s="81"/>
      <c r="AAD2" s="81"/>
      <c r="AAE2" s="81"/>
      <c r="AAF2" s="81"/>
      <c r="AAG2" s="81"/>
      <c r="AAH2" s="81"/>
      <c r="AAI2" s="81"/>
      <c r="AAJ2" s="81"/>
      <c r="AAK2" s="81"/>
      <c r="AAL2" s="81"/>
      <c r="AAM2" s="81"/>
      <c r="AAN2" s="81"/>
      <c r="AAO2" s="81"/>
      <c r="AAP2" s="81"/>
      <c r="AAQ2" s="81"/>
      <c r="AAR2" s="81"/>
      <c r="AAS2" s="81"/>
      <c r="AAT2" s="81"/>
      <c r="AAU2" s="81"/>
      <c r="AAV2" s="81"/>
      <c r="AAW2" s="81"/>
      <c r="AAX2" s="81"/>
      <c r="AAY2" s="81"/>
      <c r="AAZ2" s="81"/>
      <c r="ABA2" s="81"/>
      <c r="ABB2" s="81"/>
      <c r="ABC2" s="81"/>
      <c r="ABD2" s="81"/>
      <c r="ABE2" s="81"/>
      <c r="ABF2" s="81"/>
      <c r="ABG2" s="81"/>
      <c r="ABH2" s="81"/>
      <c r="ABI2" s="81"/>
      <c r="ABJ2" s="81"/>
      <c r="ABK2" s="81"/>
      <c r="ABL2" s="81"/>
      <c r="ABM2" s="81"/>
      <c r="ABN2" s="81"/>
      <c r="ABO2" s="81"/>
      <c r="ABP2" s="81"/>
      <c r="ABQ2" s="81"/>
      <c r="ABR2" s="81"/>
      <c r="ABS2" s="81"/>
      <c r="ABT2" s="81"/>
      <c r="ABU2" s="81"/>
      <c r="ABV2" s="81"/>
      <c r="ABW2" s="81"/>
      <c r="ABX2" s="81"/>
      <c r="ABY2" s="81"/>
      <c r="ABZ2" s="81"/>
      <c r="ACA2" s="81"/>
      <c r="ACB2" s="81"/>
      <c r="ACC2" s="81"/>
      <c r="ACD2" s="81"/>
      <c r="ACE2" s="81"/>
      <c r="ACF2" s="81"/>
      <c r="ACG2" s="81"/>
      <c r="ACH2" s="81"/>
      <c r="ACI2" s="81"/>
      <c r="ACJ2" s="81"/>
      <c r="ACK2" s="81"/>
      <c r="ACL2" s="81"/>
      <c r="ACM2" s="81"/>
      <c r="ACN2" s="81"/>
      <c r="ACO2" s="81"/>
      <c r="ACP2" s="81"/>
      <c r="ACQ2" s="81"/>
      <c r="ACR2" s="81"/>
      <c r="ACS2" s="81"/>
      <c r="ACT2" s="81"/>
      <c r="ACU2" s="81"/>
      <c r="ACV2" s="81"/>
      <c r="ACW2" s="81"/>
      <c r="ACX2" s="81"/>
      <c r="ACY2" s="81"/>
      <c r="ACZ2" s="81"/>
      <c r="ADA2" s="81"/>
      <c r="ADB2" s="81"/>
      <c r="ADC2" s="81"/>
      <c r="ADD2" s="81"/>
      <c r="ADE2" s="81"/>
      <c r="ADF2" s="81"/>
      <c r="ADG2" s="81"/>
      <c r="ADH2" s="81"/>
      <c r="ADI2" s="81"/>
      <c r="ADJ2" s="81"/>
      <c r="ADK2" s="81"/>
      <c r="ADL2" s="81"/>
      <c r="ADM2" s="81"/>
      <c r="ADN2" s="81"/>
      <c r="ADO2" s="81"/>
      <c r="ADP2" s="81"/>
      <c r="ADQ2" s="81"/>
      <c r="ADR2" s="81"/>
      <c r="ADS2" s="81"/>
      <c r="ADT2" s="81"/>
      <c r="ADU2" s="81"/>
      <c r="ADV2" s="81"/>
      <c r="ADW2" s="81"/>
      <c r="ADX2" s="81"/>
      <c r="ADY2" s="81"/>
      <c r="ADZ2" s="81"/>
      <c r="AEA2" s="81"/>
      <c r="AEB2" s="81"/>
      <c r="AEC2" s="81"/>
      <c r="AED2" s="81"/>
      <c r="AEE2" s="81"/>
      <c r="AEF2" s="81"/>
      <c r="AEG2" s="81"/>
      <c r="AEH2" s="81"/>
      <c r="AEI2" s="81"/>
      <c r="AEJ2" s="81"/>
      <c r="AEK2" s="81"/>
      <c r="AEL2" s="81"/>
      <c r="AEM2" s="81"/>
      <c r="AEN2" s="81"/>
      <c r="AEO2" s="81"/>
      <c r="AEP2" s="81"/>
      <c r="AEQ2" s="81"/>
      <c r="AER2" s="81"/>
      <c r="AES2" s="81"/>
      <c r="AET2" s="81"/>
      <c r="AEU2" s="81"/>
      <c r="AEV2" s="81"/>
      <c r="AEW2" s="81"/>
      <c r="AEX2" s="81"/>
      <c r="AEY2" s="81"/>
      <c r="AEZ2" s="81"/>
      <c r="AFA2" s="81"/>
      <c r="AFB2" s="81"/>
      <c r="AFC2" s="81"/>
      <c r="AFD2" s="81"/>
      <c r="AFE2" s="81"/>
      <c r="AFF2" s="81"/>
      <c r="AFG2" s="81"/>
      <c r="AFH2" s="81"/>
      <c r="AFI2" s="81"/>
      <c r="AFJ2" s="81"/>
      <c r="AFK2" s="81"/>
      <c r="AFL2" s="81"/>
      <c r="AFM2" s="81"/>
      <c r="AFN2" s="81"/>
      <c r="AFO2" s="81"/>
      <c r="AFP2" s="81"/>
      <c r="AFQ2" s="81"/>
      <c r="AFR2" s="81"/>
      <c r="AFS2" s="81"/>
      <c r="AFT2" s="81"/>
      <c r="AFU2" s="81"/>
      <c r="AFV2" s="81"/>
      <c r="AFW2" s="81"/>
      <c r="AFX2" s="81"/>
      <c r="AFY2" s="81"/>
      <c r="AFZ2" s="81"/>
      <c r="AGA2" s="81"/>
      <c r="AGB2" s="81"/>
      <c r="AGC2" s="81"/>
      <c r="AGD2" s="81"/>
      <c r="AGE2" s="81"/>
      <c r="AGF2" s="81"/>
      <c r="AGG2" s="81"/>
      <c r="AGH2" s="81"/>
      <c r="AGI2" s="81"/>
      <c r="AGJ2" s="81"/>
      <c r="AGK2" s="81"/>
      <c r="AGL2" s="81"/>
      <c r="AGM2" s="81"/>
      <c r="AGN2" s="81"/>
      <c r="AGO2" s="81"/>
      <c r="AGP2" s="81"/>
      <c r="AGQ2" s="81"/>
      <c r="AGR2" s="81"/>
      <c r="AGS2" s="81"/>
      <c r="AGT2" s="81"/>
      <c r="AGU2" s="81"/>
      <c r="AGV2" s="81"/>
      <c r="AGW2" s="81"/>
      <c r="AGX2" s="81"/>
      <c r="AGY2" s="81"/>
      <c r="AGZ2" s="81"/>
      <c r="AHA2" s="81"/>
      <c r="AHB2" s="81"/>
      <c r="AHC2" s="81"/>
      <c r="AHD2" s="81"/>
      <c r="AHE2" s="81"/>
      <c r="AHF2" s="81"/>
      <c r="AHG2" s="81"/>
      <c r="AHH2" s="81"/>
      <c r="AHI2" s="81"/>
      <c r="AHJ2" s="81"/>
      <c r="AHK2" s="81"/>
      <c r="AHL2" s="81"/>
      <c r="AHM2" s="81"/>
      <c r="AHN2" s="81"/>
      <c r="AHO2" s="81"/>
      <c r="AHP2" s="81"/>
      <c r="AHQ2" s="81"/>
      <c r="AHR2" s="81"/>
      <c r="AHS2" s="81"/>
      <c r="AHT2" s="81"/>
      <c r="AHU2" s="81"/>
      <c r="AHV2" s="81"/>
      <c r="AHW2" s="81"/>
      <c r="AHX2" s="81"/>
      <c r="AHY2" s="81"/>
      <c r="AHZ2" s="81"/>
      <c r="AIA2" s="81"/>
      <c r="AIB2" s="81"/>
      <c r="AIC2" s="81"/>
      <c r="AID2" s="81"/>
      <c r="AIE2" s="81"/>
      <c r="AIF2" s="81"/>
      <c r="AIG2" s="81"/>
      <c r="AIH2" s="81"/>
      <c r="AII2" s="81"/>
      <c r="AIJ2" s="81"/>
      <c r="AIK2" s="81"/>
      <c r="AIL2" s="81"/>
      <c r="AIM2" s="81"/>
      <c r="AIN2" s="81"/>
      <c r="AIO2" s="81"/>
      <c r="AIP2" s="81"/>
      <c r="AIQ2" s="81"/>
      <c r="AIR2" s="81"/>
      <c r="AIS2" s="81"/>
      <c r="AIT2" s="81"/>
      <c r="AIU2" s="81"/>
      <c r="AIV2" s="81"/>
      <c r="AIW2" s="81"/>
      <c r="AIX2" s="81"/>
      <c r="AIY2" s="81"/>
      <c r="AIZ2" s="81"/>
      <c r="AJA2" s="81"/>
      <c r="AJB2" s="81"/>
      <c r="AJC2" s="81"/>
      <c r="AJD2" s="81"/>
      <c r="AJE2" s="81"/>
      <c r="AJF2" s="81"/>
      <c r="AJG2" s="81"/>
      <c r="AJH2" s="81"/>
      <c r="AJI2" s="81"/>
      <c r="AJJ2" s="81"/>
      <c r="AJK2" s="81"/>
      <c r="AJL2" s="81"/>
      <c r="AJM2" s="81"/>
      <c r="AJN2" s="81"/>
      <c r="AJO2" s="81"/>
      <c r="AJP2" s="81"/>
      <c r="AJQ2" s="81"/>
      <c r="AJR2" s="81"/>
      <c r="AJS2" s="81"/>
      <c r="AJT2" s="81"/>
      <c r="AJU2" s="81"/>
      <c r="AJV2" s="81"/>
      <c r="AJW2" s="81"/>
      <c r="AJX2" s="81"/>
      <c r="AJY2" s="81"/>
      <c r="AJZ2" s="81"/>
      <c r="AKA2" s="81"/>
      <c r="AKB2" s="81"/>
      <c r="AKC2" s="81"/>
      <c r="AKD2" s="81"/>
      <c r="AKE2" s="81"/>
      <c r="AKF2" s="81"/>
      <c r="AKG2" s="81"/>
      <c r="AKH2" s="81"/>
      <c r="AKI2" s="81"/>
      <c r="AKJ2" s="81"/>
      <c r="AKK2" s="81"/>
      <c r="AKL2" s="81"/>
      <c r="AKM2" s="81"/>
      <c r="AKN2" s="81"/>
      <c r="AKO2" s="81"/>
      <c r="AKP2" s="81"/>
      <c r="AKQ2" s="81"/>
      <c r="AKR2" s="81"/>
      <c r="AKS2" s="81"/>
      <c r="AKT2" s="81"/>
      <c r="AKU2" s="81"/>
      <c r="AKV2" s="81"/>
      <c r="AKW2" s="81"/>
      <c r="AKX2" s="81"/>
      <c r="AKY2" s="81"/>
      <c r="AKZ2" s="81"/>
      <c r="ALA2" s="81"/>
      <c r="ALB2" s="81"/>
      <c r="ALC2" s="81"/>
      <c r="ALD2" s="81"/>
      <c r="ALE2" s="81"/>
      <c r="ALF2" s="81"/>
      <c r="ALG2" s="81"/>
      <c r="ALH2" s="81"/>
      <c r="ALI2" s="81"/>
      <c r="ALJ2" s="81"/>
      <c r="ALK2" s="81"/>
      <c r="ALL2" s="81"/>
      <c r="ALM2" s="81"/>
      <c r="ALN2" s="81"/>
      <c r="ALO2" s="81"/>
      <c r="ALP2" s="81"/>
      <c r="ALQ2" s="81"/>
      <c r="ALR2" s="81"/>
      <c r="ALS2" s="81"/>
      <c r="ALT2" s="81"/>
      <c r="ALU2" s="81"/>
      <c r="ALV2" s="81"/>
      <c r="ALW2" s="81"/>
      <c r="ALX2" s="81"/>
      <c r="ALY2" s="81"/>
      <c r="ALZ2" s="81"/>
      <c r="AMA2" s="81"/>
      <c r="AMB2" s="81"/>
      <c r="AMC2" s="81"/>
      <c r="AMD2" s="81"/>
      <c r="AME2" s="81"/>
      <c r="AMF2" s="81"/>
      <c r="AMG2" s="81"/>
      <c r="AMH2" s="81"/>
      <c r="AMI2" s="81"/>
      <c r="AMJ2" s="81"/>
    </row>
    <row r="3" spans="1:1024" ht="102" customHeight="1" thickBot="1" x14ac:dyDescent="0.35">
      <c r="A3" s="589"/>
      <c r="B3" s="589"/>
      <c r="C3" s="592" t="e">
        <f>#REF!</f>
        <v>#REF!</v>
      </c>
      <c r="D3" s="592"/>
      <c r="E3" s="592"/>
      <c r="F3" s="592"/>
      <c r="G3" s="592"/>
      <c r="H3" s="592"/>
      <c r="I3" s="592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1"/>
      <c r="DQ3" s="81"/>
      <c r="DR3" s="81"/>
      <c r="DS3" s="81"/>
      <c r="DT3" s="81"/>
      <c r="DU3" s="81"/>
      <c r="DV3" s="81"/>
      <c r="DW3" s="81"/>
      <c r="DX3" s="81"/>
      <c r="DY3" s="81"/>
      <c r="DZ3" s="81"/>
      <c r="EA3" s="81"/>
      <c r="EB3" s="81"/>
      <c r="EC3" s="81"/>
      <c r="ED3" s="81"/>
      <c r="EE3" s="81"/>
      <c r="EF3" s="81"/>
      <c r="EG3" s="81"/>
      <c r="EH3" s="81"/>
      <c r="EI3" s="81"/>
      <c r="EJ3" s="81"/>
      <c r="EK3" s="81"/>
      <c r="EL3" s="81"/>
      <c r="EM3" s="81"/>
      <c r="EN3" s="81"/>
      <c r="EO3" s="81"/>
      <c r="EP3" s="81"/>
      <c r="EQ3" s="81"/>
      <c r="ER3" s="81"/>
      <c r="ES3" s="81"/>
      <c r="ET3" s="81"/>
      <c r="EU3" s="81"/>
      <c r="EV3" s="81"/>
      <c r="EW3" s="81"/>
      <c r="EX3" s="81"/>
      <c r="EY3" s="81"/>
      <c r="EZ3" s="81"/>
      <c r="FA3" s="81"/>
      <c r="FB3" s="81"/>
      <c r="FC3" s="81"/>
      <c r="FD3" s="81"/>
      <c r="FE3" s="81"/>
      <c r="FF3" s="81"/>
      <c r="FG3" s="81"/>
      <c r="FH3" s="81"/>
      <c r="FI3" s="81"/>
      <c r="FJ3" s="81"/>
      <c r="FK3" s="81"/>
      <c r="FL3" s="81"/>
      <c r="FM3" s="81"/>
      <c r="FN3" s="81"/>
      <c r="FO3" s="81"/>
      <c r="FP3" s="81"/>
      <c r="FQ3" s="81"/>
      <c r="FR3" s="81"/>
      <c r="FS3" s="81"/>
      <c r="FT3" s="81"/>
      <c r="FU3" s="81"/>
      <c r="FV3" s="81"/>
      <c r="FW3" s="81"/>
      <c r="FX3" s="81"/>
      <c r="FY3" s="81"/>
      <c r="FZ3" s="81"/>
      <c r="GA3" s="81"/>
      <c r="GB3" s="81"/>
      <c r="GC3" s="81"/>
      <c r="GD3" s="81"/>
      <c r="GE3" s="81"/>
      <c r="GF3" s="81"/>
      <c r="GG3" s="81"/>
      <c r="GH3" s="81"/>
      <c r="GI3" s="81"/>
      <c r="GJ3" s="81"/>
      <c r="GK3" s="81"/>
      <c r="GL3" s="81"/>
      <c r="GM3" s="81"/>
      <c r="GN3" s="81"/>
      <c r="GO3" s="81"/>
      <c r="GP3" s="81"/>
      <c r="GQ3" s="81"/>
      <c r="GR3" s="81"/>
      <c r="GS3" s="81"/>
      <c r="GT3" s="81"/>
      <c r="GU3" s="81"/>
      <c r="GV3" s="81"/>
      <c r="GW3" s="81"/>
      <c r="GX3" s="81"/>
      <c r="GY3" s="81"/>
      <c r="GZ3" s="81"/>
      <c r="HA3" s="81"/>
      <c r="HB3" s="81"/>
      <c r="HC3" s="81"/>
      <c r="HD3" s="81"/>
      <c r="HE3" s="81"/>
      <c r="HF3" s="81"/>
      <c r="HG3" s="81"/>
      <c r="HH3" s="81"/>
      <c r="HI3" s="81"/>
      <c r="HJ3" s="81"/>
      <c r="HK3" s="81"/>
      <c r="HL3" s="81"/>
      <c r="HM3" s="81"/>
      <c r="HN3" s="81"/>
      <c r="HO3" s="81"/>
      <c r="HP3" s="81"/>
      <c r="HQ3" s="81"/>
      <c r="HR3" s="81"/>
      <c r="HS3" s="81"/>
      <c r="HT3" s="81"/>
      <c r="HU3" s="81"/>
      <c r="HV3" s="81"/>
      <c r="HW3" s="81"/>
      <c r="HX3" s="81"/>
      <c r="HY3" s="81"/>
      <c r="HZ3" s="81"/>
      <c r="IA3" s="81"/>
      <c r="IB3" s="81"/>
      <c r="IC3" s="81"/>
      <c r="ID3" s="81"/>
      <c r="IE3" s="81"/>
      <c r="IF3" s="81"/>
      <c r="IG3" s="81"/>
      <c r="IH3" s="81"/>
      <c r="II3" s="81"/>
      <c r="IJ3" s="81"/>
      <c r="IK3" s="81"/>
      <c r="IL3" s="81"/>
      <c r="IM3" s="81"/>
      <c r="IN3" s="81"/>
      <c r="IO3" s="81"/>
      <c r="IP3" s="81"/>
      <c r="IQ3" s="81"/>
      <c r="IR3" s="81"/>
      <c r="IS3" s="81"/>
      <c r="IT3" s="81"/>
      <c r="IU3" s="81"/>
      <c r="IV3" s="81"/>
      <c r="IW3" s="81"/>
      <c r="IX3" s="81"/>
      <c r="IY3" s="81"/>
      <c r="IZ3" s="81"/>
      <c r="JA3" s="81"/>
      <c r="JB3" s="81"/>
      <c r="JC3" s="81"/>
      <c r="JD3" s="81"/>
      <c r="JE3" s="81"/>
      <c r="JF3" s="81"/>
      <c r="JG3" s="81"/>
      <c r="JH3" s="81"/>
      <c r="JI3" s="81"/>
      <c r="JJ3" s="81"/>
      <c r="JK3" s="81"/>
      <c r="JL3" s="81"/>
      <c r="JM3" s="81"/>
      <c r="JN3" s="81"/>
      <c r="JO3" s="81"/>
      <c r="JP3" s="81"/>
      <c r="JQ3" s="81"/>
      <c r="JR3" s="81"/>
      <c r="JS3" s="81"/>
      <c r="JT3" s="81"/>
      <c r="JU3" s="81"/>
      <c r="JV3" s="81"/>
      <c r="JW3" s="81"/>
      <c r="JX3" s="81"/>
      <c r="JY3" s="81"/>
      <c r="JZ3" s="81"/>
      <c r="KA3" s="81"/>
      <c r="KB3" s="81"/>
      <c r="KC3" s="81"/>
      <c r="KD3" s="81"/>
      <c r="KE3" s="81"/>
      <c r="KF3" s="81"/>
      <c r="KG3" s="81"/>
      <c r="KH3" s="81"/>
      <c r="KI3" s="81"/>
      <c r="KJ3" s="81"/>
      <c r="KK3" s="81"/>
      <c r="KL3" s="81"/>
      <c r="KM3" s="81"/>
      <c r="KN3" s="81"/>
      <c r="KO3" s="81"/>
      <c r="KP3" s="81"/>
      <c r="KQ3" s="81"/>
      <c r="KR3" s="81"/>
      <c r="KS3" s="81"/>
      <c r="KT3" s="81"/>
      <c r="KU3" s="81"/>
      <c r="KV3" s="81"/>
      <c r="KW3" s="81"/>
      <c r="KX3" s="81"/>
      <c r="KY3" s="81"/>
      <c r="KZ3" s="81"/>
      <c r="LA3" s="81"/>
      <c r="LB3" s="81"/>
      <c r="LC3" s="81"/>
      <c r="LD3" s="81"/>
      <c r="LE3" s="81"/>
      <c r="LF3" s="81"/>
      <c r="LG3" s="81"/>
      <c r="LH3" s="81"/>
      <c r="LI3" s="81"/>
      <c r="LJ3" s="81"/>
      <c r="LK3" s="81"/>
      <c r="LL3" s="81"/>
      <c r="LM3" s="81"/>
      <c r="LN3" s="81"/>
      <c r="LO3" s="81"/>
      <c r="LP3" s="81"/>
      <c r="LQ3" s="81"/>
      <c r="LR3" s="81"/>
      <c r="LS3" s="81"/>
      <c r="LT3" s="81"/>
      <c r="LU3" s="81"/>
      <c r="LV3" s="81"/>
      <c r="LW3" s="81"/>
      <c r="LX3" s="81"/>
      <c r="LY3" s="81"/>
      <c r="LZ3" s="81"/>
      <c r="MA3" s="81"/>
      <c r="MB3" s="81"/>
      <c r="MC3" s="81"/>
      <c r="MD3" s="81"/>
      <c r="ME3" s="81"/>
      <c r="MF3" s="81"/>
      <c r="MG3" s="81"/>
      <c r="MH3" s="81"/>
      <c r="MI3" s="81"/>
      <c r="MJ3" s="81"/>
      <c r="MK3" s="81"/>
      <c r="ML3" s="81"/>
      <c r="MM3" s="81"/>
      <c r="MN3" s="81"/>
      <c r="MO3" s="81"/>
      <c r="MP3" s="81"/>
      <c r="MQ3" s="81"/>
      <c r="MR3" s="81"/>
      <c r="MS3" s="81"/>
      <c r="MT3" s="81"/>
      <c r="MU3" s="81"/>
      <c r="MV3" s="81"/>
      <c r="MW3" s="81"/>
      <c r="MX3" s="81"/>
      <c r="MY3" s="81"/>
      <c r="MZ3" s="81"/>
      <c r="NA3" s="81"/>
      <c r="NB3" s="81"/>
      <c r="NC3" s="81"/>
      <c r="ND3" s="81"/>
      <c r="NE3" s="81"/>
      <c r="NF3" s="81"/>
      <c r="NG3" s="81"/>
      <c r="NH3" s="81"/>
      <c r="NI3" s="81"/>
      <c r="NJ3" s="81"/>
      <c r="NK3" s="81"/>
      <c r="NL3" s="81"/>
      <c r="NM3" s="81"/>
      <c r="NN3" s="81"/>
      <c r="NO3" s="81"/>
      <c r="NP3" s="81"/>
      <c r="NQ3" s="81"/>
      <c r="NR3" s="81"/>
      <c r="NS3" s="81"/>
      <c r="NT3" s="81"/>
      <c r="NU3" s="81"/>
      <c r="NV3" s="81"/>
      <c r="NW3" s="81"/>
      <c r="NX3" s="81"/>
      <c r="NY3" s="81"/>
      <c r="NZ3" s="81"/>
      <c r="OA3" s="81"/>
      <c r="OB3" s="81"/>
      <c r="OC3" s="81"/>
      <c r="OD3" s="81"/>
      <c r="OE3" s="81"/>
      <c r="OF3" s="81"/>
      <c r="OG3" s="81"/>
      <c r="OH3" s="81"/>
      <c r="OI3" s="81"/>
      <c r="OJ3" s="81"/>
      <c r="OK3" s="81"/>
      <c r="OL3" s="81"/>
      <c r="OM3" s="81"/>
      <c r="ON3" s="81"/>
      <c r="OO3" s="81"/>
      <c r="OP3" s="81"/>
      <c r="OQ3" s="81"/>
      <c r="OR3" s="81"/>
      <c r="OS3" s="81"/>
      <c r="OT3" s="81"/>
      <c r="OU3" s="81"/>
      <c r="OV3" s="81"/>
      <c r="OW3" s="81"/>
      <c r="OX3" s="81"/>
      <c r="OY3" s="81"/>
      <c r="OZ3" s="81"/>
      <c r="PA3" s="81"/>
      <c r="PB3" s="81"/>
      <c r="PC3" s="81"/>
      <c r="PD3" s="81"/>
      <c r="PE3" s="81"/>
      <c r="PF3" s="81"/>
      <c r="PG3" s="81"/>
      <c r="PH3" s="81"/>
      <c r="PI3" s="81"/>
      <c r="PJ3" s="81"/>
      <c r="PK3" s="81"/>
      <c r="PL3" s="81"/>
      <c r="PM3" s="81"/>
      <c r="PN3" s="81"/>
      <c r="PO3" s="81"/>
      <c r="PP3" s="81"/>
      <c r="PQ3" s="81"/>
      <c r="PR3" s="81"/>
      <c r="PS3" s="81"/>
      <c r="PT3" s="81"/>
      <c r="PU3" s="81"/>
      <c r="PV3" s="81"/>
      <c r="PW3" s="81"/>
      <c r="PX3" s="81"/>
      <c r="PY3" s="81"/>
      <c r="PZ3" s="81"/>
      <c r="QA3" s="81"/>
      <c r="QB3" s="81"/>
      <c r="QC3" s="81"/>
      <c r="QD3" s="81"/>
      <c r="QE3" s="81"/>
      <c r="QF3" s="81"/>
      <c r="QG3" s="81"/>
      <c r="QH3" s="81"/>
      <c r="QI3" s="81"/>
      <c r="QJ3" s="81"/>
      <c r="QK3" s="81"/>
      <c r="QL3" s="81"/>
      <c r="QM3" s="81"/>
      <c r="QN3" s="81"/>
      <c r="QO3" s="81"/>
      <c r="QP3" s="81"/>
      <c r="QQ3" s="81"/>
      <c r="QR3" s="81"/>
      <c r="QS3" s="81"/>
      <c r="QT3" s="81"/>
      <c r="QU3" s="81"/>
      <c r="QV3" s="81"/>
      <c r="QW3" s="81"/>
      <c r="QX3" s="81"/>
      <c r="QY3" s="81"/>
      <c r="QZ3" s="81"/>
      <c r="RA3" s="81"/>
      <c r="RB3" s="81"/>
      <c r="RC3" s="81"/>
      <c r="RD3" s="81"/>
      <c r="RE3" s="81"/>
      <c r="RF3" s="81"/>
      <c r="RG3" s="81"/>
      <c r="RH3" s="81"/>
      <c r="RI3" s="81"/>
      <c r="RJ3" s="81"/>
      <c r="RK3" s="81"/>
      <c r="RL3" s="81"/>
      <c r="RM3" s="81"/>
      <c r="RN3" s="81"/>
      <c r="RO3" s="81"/>
      <c r="RP3" s="81"/>
      <c r="RQ3" s="81"/>
      <c r="RR3" s="81"/>
      <c r="RS3" s="81"/>
      <c r="RT3" s="81"/>
      <c r="RU3" s="81"/>
      <c r="RV3" s="81"/>
      <c r="RW3" s="81"/>
      <c r="RX3" s="81"/>
      <c r="RY3" s="81"/>
      <c r="RZ3" s="81"/>
      <c r="SA3" s="81"/>
      <c r="SB3" s="81"/>
      <c r="SC3" s="81"/>
      <c r="SD3" s="81"/>
      <c r="SE3" s="81"/>
      <c r="SF3" s="81"/>
      <c r="SG3" s="81"/>
      <c r="SH3" s="81"/>
      <c r="SI3" s="81"/>
      <c r="SJ3" s="81"/>
      <c r="SK3" s="81"/>
      <c r="SL3" s="81"/>
      <c r="SM3" s="81"/>
      <c r="SN3" s="81"/>
      <c r="SO3" s="81"/>
      <c r="SP3" s="81"/>
      <c r="SQ3" s="81"/>
      <c r="SR3" s="81"/>
      <c r="SS3" s="81"/>
      <c r="ST3" s="81"/>
      <c r="SU3" s="81"/>
      <c r="SV3" s="81"/>
      <c r="SW3" s="81"/>
      <c r="SX3" s="81"/>
      <c r="SY3" s="81"/>
      <c r="SZ3" s="81"/>
      <c r="TA3" s="81"/>
      <c r="TB3" s="81"/>
      <c r="TC3" s="81"/>
      <c r="TD3" s="81"/>
      <c r="TE3" s="81"/>
      <c r="TF3" s="81"/>
      <c r="TG3" s="81"/>
      <c r="TH3" s="81"/>
      <c r="TI3" s="81"/>
      <c r="TJ3" s="81"/>
      <c r="TK3" s="81"/>
      <c r="TL3" s="81"/>
      <c r="TM3" s="81"/>
      <c r="TN3" s="81"/>
      <c r="TO3" s="81"/>
      <c r="TP3" s="81"/>
      <c r="TQ3" s="81"/>
      <c r="TR3" s="81"/>
      <c r="TS3" s="81"/>
      <c r="TT3" s="81"/>
      <c r="TU3" s="81"/>
      <c r="TV3" s="81"/>
      <c r="TW3" s="81"/>
      <c r="TX3" s="81"/>
      <c r="TY3" s="81"/>
      <c r="TZ3" s="81"/>
      <c r="UA3" s="81"/>
      <c r="UB3" s="81"/>
      <c r="UC3" s="81"/>
      <c r="UD3" s="81"/>
      <c r="UE3" s="81"/>
      <c r="UF3" s="81"/>
      <c r="UG3" s="81"/>
      <c r="UH3" s="81"/>
      <c r="UI3" s="81"/>
      <c r="UJ3" s="81"/>
      <c r="UK3" s="81"/>
      <c r="UL3" s="81"/>
      <c r="UM3" s="81"/>
      <c r="UN3" s="81"/>
      <c r="UO3" s="81"/>
      <c r="UP3" s="81"/>
      <c r="UQ3" s="81"/>
      <c r="UR3" s="81"/>
      <c r="US3" s="81"/>
      <c r="UT3" s="81"/>
      <c r="UU3" s="81"/>
      <c r="UV3" s="81"/>
      <c r="UW3" s="81"/>
      <c r="UX3" s="81"/>
      <c r="UY3" s="81"/>
      <c r="UZ3" s="81"/>
      <c r="VA3" s="81"/>
      <c r="VB3" s="81"/>
      <c r="VC3" s="81"/>
      <c r="VD3" s="81"/>
      <c r="VE3" s="81"/>
      <c r="VF3" s="81"/>
      <c r="VG3" s="81"/>
      <c r="VH3" s="81"/>
      <c r="VI3" s="81"/>
      <c r="VJ3" s="81"/>
      <c r="VK3" s="81"/>
      <c r="VL3" s="81"/>
      <c r="VM3" s="81"/>
      <c r="VN3" s="81"/>
      <c r="VO3" s="81"/>
      <c r="VP3" s="81"/>
      <c r="VQ3" s="81"/>
      <c r="VR3" s="81"/>
      <c r="VS3" s="81"/>
      <c r="VT3" s="81"/>
      <c r="VU3" s="81"/>
      <c r="VV3" s="81"/>
      <c r="VW3" s="81"/>
      <c r="VX3" s="81"/>
      <c r="VY3" s="81"/>
      <c r="VZ3" s="81"/>
      <c r="WA3" s="81"/>
      <c r="WB3" s="81"/>
      <c r="WC3" s="81"/>
      <c r="WD3" s="81"/>
      <c r="WE3" s="81"/>
      <c r="WF3" s="81"/>
      <c r="WG3" s="81"/>
      <c r="WH3" s="81"/>
      <c r="WI3" s="81"/>
      <c r="WJ3" s="81"/>
      <c r="WK3" s="81"/>
      <c r="WL3" s="81"/>
      <c r="WM3" s="81"/>
      <c r="WN3" s="81"/>
      <c r="WO3" s="81"/>
      <c r="WP3" s="81"/>
      <c r="WQ3" s="81"/>
      <c r="WR3" s="81"/>
      <c r="WS3" s="81"/>
      <c r="WT3" s="81"/>
      <c r="WU3" s="81"/>
      <c r="WV3" s="81"/>
      <c r="WW3" s="81"/>
      <c r="WX3" s="81"/>
      <c r="WY3" s="81"/>
      <c r="WZ3" s="81"/>
      <c r="XA3" s="81"/>
      <c r="XB3" s="81"/>
      <c r="XC3" s="81"/>
      <c r="XD3" s="81"/>
      <c r="XE3" s="81"/>
      <c r="XF3" s="81"/>
      <c r="XG3" s="81"/>
      <c r="XH3" s="81"/>
      <c r="XI3" s="81"/>
      <c r="XJ3" s="81"/>
      <c r="XK3" s="81"/>
      <c r="XL3" s="81"/>
      <c r="XM3" s="81"/>
      <c r="XN3" s="81"/>
      <c r="XO3" s="81"/>
      <c r="XP3" s="81"/>
      <c r="XQ3" s="81"/>
      <c r="XR3" s="81"/>
      <c r="XS3" s="81"/>
      <c r="XT3" s="81"/>
      <c r="XU3" s="81"/>
      <c r="XV3" s="81"/>
      <c r="XW3" s="81"/>
      <c r="XX3" s="81"/>
      <c r="XY3" s="81"/>
      <c r="XZ3" s="81"/>
      <c r="YA3" s="81"/>
      <c r="YB3" s="81"/>
      <c r="YC3" s="81"/>
      <c r="YD3" s="81"/>
      <c r="YE3" s="81"/>
      <c r="YF3" s="81"/>
      <c r="YG3" s="81"/>
      <c r="YH3" s="81"/>
      <c r="YI3" s="81"/>
      <c r="YJ3" s="81"/>
      <c r="YK3" s="81"/>
      <c r="YL3" s="81"/>
      <c r="YM3" s="81"/>
      <c r="YN3" s="81"/>
      <c r="YO3" s="81"/>
      <c r="YP3" s="81"/>
      <c r="YQ3" s="81"/>
      <c r="YR3" s="81"/>
      <c r="YS3" s="81"/>
      <c r="YT3" s="81"/>
      <c r="YU3" s="81"/>
      <c r="YV3" s="81"/>
      <c r="YW3" s="81"/>
      <c r="YX3" s="81"/>
      <c r="YY3" s="81"/>
      <c r="YZ3" s="81"/>
      <c r="ZA3" s="81"/>
      <c r="ZB3" s="81"/>
      <c r="ZC3" s="81"/>
      <c r="ZD3" s="81"/>
      <c r="ZE3" s="81"/>
      <c r="ZF3" s="81"/>
      <c r="ZG3" s="81"/>
      <c r="ZH3" s="81"/>
      <c r="ZI3" s="81"/>
      <c r="ZJ3" s="81"/>
      <c r="ZK3" s="81"/>
      <c r="ZL3" s="81"/>
      <c r="ZM3" s="81"/>
      <c r="ZN3" s="81"/>
      <c r="ZO3" s="81"/>
      <c r="ZP3" s="81"/>
      <c r="ZQ3" s="81"/>
      <c r="ZR3" s="81"/>
      <c r="ZS3" s="81"/>
      <c r="ZT3" s="81"/>
      <c r="ZU3" s="81"/>
      <c r="ZV3" s="81"/>
      <c r="ZW3" s="81"/>
      <c r="ZX3" s="81"/>
      <c r="ZY3" s="81"/>
      <c r="ZZ3" s="81"/>
      <c r="AAA3" s="81"/>
      <c r="AAB3" s="81"/>
      <c r="AAC3" s="81"/>
      <c r="AAD3" s="81"/>
      <c r="AAE3" s="81"/>
      <c r="AAF3" s="81"/>
      <c r="AAG3" s="81"/>
      <c r="AAH3" s="81"/>
      <c r="AAI3" s="81"/>
      <c r="AAJ3" s="81"/>
      <c r="AAK3" s="81"/>
      <c r="AAL3" s="81"/>
      <c r="AAM3" s="81"/>
      <c r="AAN3" s="81"/>
      <c r="AAO3" s="81"/>
      <c r="AAP3" s="81"/>
      <c r="AAQ3" s="81"/>
      <c r="AAR3" s="81"/>
      <c r="AAS3" s="81"/>
      <c r="AAT3" s="81"/>
      <c r="AAU3" s="81"/>
      <c r="AAV3" s="81"/>
      <c r="AAW3" s="81"/>
      <c r="AAX3" s="81"/>
      <c r="AAY3" s="81"/>
      <c r="AAZ3" s="81"/>
      <c r="ABA3" s="81"/>
      <c r="ABB3" s="81"/>
      <c r="ABC3" s="81"/>
      <c r="ABD3" s="81"/>
      <c r="ABE3" s="81"/>
      <c r="ABF3" s="81"/>
      <c r="ABG3" s="81"/>
      <c r="ABH3" s="81"/>
      <c r="ABI3" s="81"/>
      <c r="ABJ3" s="81"/>
      <c r="ABK3" s="81"/>
      <c r="ABL3" s="81"/>
      <c r="ABM3" s="81"/>
      <c r="ABN3" s="81"/>
      <c r="ABO3" s="81"/>
      <c r="ABP3" s="81"/>
      <c r="ABQ3" s="81"/>
      <c r="ABR3" s="81"/>
      <c r="ABS3" s="81"/>
      <c r="ABT3" s="81"/>
      <c r="ABU3" s="81"/>
      <c r="ABV3" s="81"/>
      <c r="ABW3" s="81"/>
      <c r="ABX3" s="81"/>
      <c r="ABY3" s="81"/>
      <c r="ABZ3" s="81"/>
      <c r="ACA3" s="81"/>
      <c r="ACB3" s="81"/>
      <c r="ACC3" s="81"/>
      <c r="ACD3" s="81"/>
      <c r="ACE3" s="81"/>
      <c r="ACF3" s="81"/>
      <c r="ACG3" s="81"/>
      <c r="ACH3" s="81"/>
      <c r="ACI3" s="81"/>
      <c r="ACJ3" s="81"/>
      <c r="ACK3" s="81"/>
      <c r="ACL3" s="81"/>
      <c r="ACM3" s="81"/>
      <c r="ACN3" s="81"/>
      <c r="ACO3" s="81"/>
      <c r="ACP3" s="81"/>
      <c r="ACQ3" s="81"/>
      <c r="ACR3" s="81"/>
      <c r="ACS3" s="81"/>
      <c r="ACT3" s="81"/>
      <c r="ACU3" s="81"/>
      <c r="ACV3" s="81"/>
      <c r="ACW3" s="81"/>
      <c r="ACX3" s="81"/>
      <c r="ACY3" s="81"/>
      <c r="ACZ3" s="81"/>
      <c r="ADA3" s="81"/>
      <c r="ADB3" s="81"/>
      <c r="ADC3" s="81"/>
      <c r="ADD3" s="81"/>
      <c r="ADE3" s="81"/>
      <c r="ADF3" s="81"/>
      <c r="ADG3" s="81"/>
      <c r="ADH3" s="81"/>
      <c r="ADI3" s="81"/>
      <c r="ADJ3" s="81"/>
      <c r="ADK3" s="81"/>
      <c r="ADL3" s="81"/>
      <c r="ADM3" s="81"/>
      <c r="ADN3" s="81"/>
      <c r="ADO3" s="81"/>
      <c r="ADP3" s="81"/>
      <c r="ADQ3" s="81"/>
      <c r="ADR3" s="81"/>
      <c r="ADS3" s="81"/>
      <c r="ADT3" s="81"/>
      <c r="ADU3" s="81"/>
      <c r="ADV3" s="81"/>
      <c r="ADW3" s="81"/>
      <c r="ADX3" s="81"/>
      <c r="ADY3" s="81"/>
      <c r="ADZ3" s="81"/>
      <c r="AEA3" s="81"/>
      <c r="AEB3" s="81"/>
      <c r="AEC3" s="81"/>
      <c r="AED3" s="81"/>
      <c r="AEE3" s="81"/>
      <c r="AEF3" s="81"/>
      <c r="AEG3" s="81"/>
      <c r="AEH3" s="81"/>
      <c r="AEI3" s="81"/>
      <c r="AEJ3" s="81"/>
      <c r="AEK3" s="81"/>
      <c r="AEL3" s="81"/>
      <c r="AEM3" s="81"/>
      <c r="AEN3" s="81"/>
      <c r="AEO3" s="81"/>
      <c r="AEP3" s="81"/>
      <c r="AEQ3" s="81"/>
      <c r="AER3" s="81"/>
      <c r="AES3" s="81"/>
      <c r="AET3" s="81"/>
      <c r="AEU3" s="81"/>
      <c r="AEV3" s="81"/>
      <c r="AEW3" s="81"/>
      <c r="AEX3" s="81"/>
      <c r="AEY3" s="81"/>
      <c r="AEZ3" s="81"/>
      <c r="AFA3" s="81"/>
      <c r="AFB3" s="81"/>
      <c r="AFC3" s="81"/>
      <c r="AFD3" s="81"/>
      <c r="AFE3" s="81"/>
      <c r="AFF3" s="81"/>
      <c r="AFG3" s="81"/>
      <c r="AFH3" s="81"/>
      <c r="AFI3" s="81"/>
      <c r="AFJ3" s="81"/>
      <c r="AFK3" s="81"/>
      <c r="AFL3" s="81"/>
      <c r="AFM3" s="81"/>
      <c r="AFN3" s="81"/>
      <c r="AFO3" s="81"/>
      <c r="AFP3" s="81"/>
      <c r="AFQ3" s="81"/>
      <c r="AFR3" s="81"/>
      <c r="AFS3" s="81"/>
      <c r="AFT3" s="81"/>
      <c r="AFU3" s="81"/>
      <c r="AFV3" s="81"/>
      <c r="AFW3" s="81"/>
      <c r="AFX3" s="81"/>
      <c r="AFY3" s="81"/>
      <c r="AFZ3" s="81"/>
      <c r="AGA3" s="81"/>
      <c r="AGB3" s="81"/>
      <c r="AGC3" s="81"/>
      <c r="AGD3" s="81"/>
      <c r="AGE3" s="81"/>
      <c r="AGF3" s="81"/>
      <c r="AGG3" s="81"/>
      <c r="AGH3" s="81"/>
      <c r="AGI3" s="81"/>
      <c r="AGJ3" s="81"/>
      <c r="AGK3" s="81"/>
      <c r="AGL3" s="81"/>
      <c r="AGM3" s="81"/>
      <c r="AGN3" s="81"/>
      <c r="AGO3" s="81"/>
      <c r="AGP3" s="81"/>
      <c r="AGQ3" s="81"/>
      <c r="AGR3" s="81"/>
      <c r="AGS3" s="81"/>
      <c r="AGT3" s="81"/>
      <c r="AGU3" s="81"/>
      <c r="AGV3" s="81"/>
      <c r="AGW3" s="81"/>
      <c r="AGX3" s="81"/>
      <c r="AGY3" s="81"/>
      <c r="AGZ3" s="81"/>
      <c r="AHA3" s="81"/>
      <c r="AHB3" s="81"/>
      <c r="AHC3" s="81"/>
      <c r="AHD3" s="81"/>
      <c r="AHE3" s="81"/>
      <c r="AHF3" s="81"/>
      <c r="AHG3" s="81"/>
      <c r="AHH3" s="81"/>
      <c r="AHI3" s="81"/>
      <c r="AHJ3" s="81"/>
      <c r="AHK3" s="81"/>
      <c r="AHL3" s="81"/>
      <c r="AHM3" s="81"/>
      <c r="AHN3" s="81"/>
      <c r="AHO3" s="81"/>
      <c r="AHP3" s="81"/>
      <c r="AHQ3" s="81"/>
      <c r="AHR3" s="81"/>
      <c r="AHS3" s="81"/>
      <c r="AHT3" s="81"/>
      <c r="AHU3" s="81"/>
      <c r="AHV3" s="81"/>
      <c r="AHW3" s="81"/>
      <c r="AHX3" s="81"/>
      <c r="AHY3" s="81"/>
      <c r="AHZ3" s="81"/>
      <c r="AIA3" s="81"/>
      <c r="AIB3" s="81"/>
      <c r="AIC3" s="81"/>
      <c r="AID3" s="81"/>
      <c r="AIE3" s="81"/>
      <c r="AIF3" s="81"/>
      <c r="AIG3" s="81"/>
      <c r="AIH3" s="81"/>
      <c r="AII3" s="81"/>
      <c r="AIJ3" s="81"/>
      <c r="AIK3" s="81"/>
      <c r="AIL3" s="81"/>
      <c r="AIM3" s="81"/>
      <c r="AIN3" s="81"/>
      <c r="AIO3" s="81"/>
      <c r="AIP3" s="81"/>
      <c r="AIQ3" s="81"/>
      <c r="AIR3" s="81"/>
      <c r="AIS3" s="81"/>
      <c r="AIT3" s="81"/>
      <c r="AIU3" s="81"/>
      <c r="AIV3" s="81"/>
      <c r="AIW3" s="81"/>
      <c r="AIX3" s="81"/>
      <c r="AIY3" s="81"/>
      <c r="AIZ3" s="81"/>
      <c r="AJA3" s="81"/>
      <c r="AJB3" s="81"/>
      <c r="AJC3" s="81"/>
      <c r="AJD3" s="81"/>
      <c r="AJE3" s="81"/>
      <c r="AJF3" s="81"/>
      <c r="AJG3" s="81"/>
      <c r="AJH3" s="81"/>
      <c r="AJI3" s="81"/>
      <c r="AJJ3" s="81"/>
      <c r="AJK3" s="81"/>
      <c r="AJL3" s="81"/>
      <c r="AJM3" s="81"/>
      <c r="AJN3" s="81"/>
      <c r="AJO3" s="81"/>
      <c r="AJP3" s="81"/>
      <c r="AJQ3" s="81"/>
      <c r="AJR3" s="81"/>
      <c r="AJS3" s="81"/>
      <c r="AJT3" s="81"/>
      <c r="AJU3" s="81"/>
      <c r="AJV3" s="81"/>
      <c r="AJW3" s="81"/>
      <c r="AJX3" s="81"/>
      <c r="AJY3" s="81"/>
      <c r="AJZ3" s="81"/>
      <c r="AKA3" s="81"/>
      <c r="AKB3" s="81"/>
      <c r="AKC3" s="81"/>
      <c r="AKD3" s="81"/>
      <c r="AKE3" s="81"/>
      <c r="AKF3" s="81"/>
      <c r="AKG3" s="81"/>
      <c r="AKH3" s="81"/>
      <c r="AKI3" s="81"/>
      <c r="AKJ3" s="81"/>
      <c r="AKK3" s="81"/>
      <c r="AKL3" s="81"/>
      <c r="AKM3" s="81"/>
      <c r="AKN3" s="81"/>
      <c r="AKO3" s="81"/>
      <c r="AKP3" s="81"/>
      <c r="AKQ3" s="81"/>
      <c r="AKR3" s="81"/>
      <c r="AKS3" s="81"/>
      <c r="AKT3" s="81"/>
      <c r="AKU3" s="81"/>
      <c r="AKV3" s="81"/>
      <c r="AKW3" s="81"/>
      <c r="AKX3" s="81"/>
      <c r="AKY3" s="81"/>
      <c r="AKZ3" s="81"/>
      <c r="ALA3" s="81"/>
      <c r="ALB3" s="81"/>
      <c r="ALC3" s="81"/>
      <c r="ALD3" s="81"/>
      <c r="ALE3" s="81"/>
      <c r="ALF3" s="81"/>
      <c r="ALG3" s="81"/>
      <c r="ALH3" s="81"/>
      <c r="ALI3" s="81"/>
      <c r="ALJ3" s="81"/>
      <c r="ALK3" s="81"/>
      <c r="ALL3" s="81"/>
      <c r="ALM3" s="81"/>
      <c r="ALN3" s="81"/>
      <c r="ALO3" s="81"/>
      <c r="ALP3" s="81"/>
      <c r="ALQ3" s="81"/>
      <c r="ALR3" s="81"/>
      <c r="ALS3" s="81"/>
      <c r="ALT3" s="81"/>
      <c r="ALU3" s="81"/>
      <c r="ALV3" s="81"/>
      <c r="ALW3" s="81"/>
      <c r="ALX3" s="81"/>
      <c r="ALY3" s="81"/>
      <c r="ALZ3" s="81"/>
      <c r="AMA3" s="81"/>
      <c r="AMB3" s="81"/>
      <c r="AMC3" s="81"/>
      <c r="AMD3" s="81"/>
      <c r="AME3" s="81"/>
      <c r="AMF3" s="81"/>
      <c r="AMG3" s="81"/>
      <c r="AMH3" s="81"/>
      <c r="AMI3" s="81"/>
      <c r="AMJ3" s="81"/>
    </row>
    <row r="4" spans="1:1024" ht="39" customHeight="1" thickBot="1" x14ac:dyDescent="0.35">
      <c r="A4" s="589"/>
      <c r="B4" s="589"/>
      <c r="C4" s="593" t="s">
        <v>28</v>
      </c>
      <c r="D4" s="593"/>
      <c r="E4" s="593"/>
      <c r="F4" s="593"/>
      <c r="G4" s="593"/>
      <c r="H4" s="593"/>
      <c r="I4" s="593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  <c r="CT4" s="81"/>
      <c r="CU4" s="81"/>
      <c r="CV4" s="81"/>
      <c r="CW4" s="81"/>
      <c r="CX4" s="81"/>
      <c r="CY4" s="81"/>
      <c r="CZ4" s="81"/>
      <c r="DA4" s="81"/>
      <c r="DB4" s="81"/>
      <c r="DC4" s="81"/>
      <c r="DD4" s="81"/>
      <c r="DE4" s="81"/>
      <c r="DF4" s="81"/>
      <c r="DG4" s="81"/>
      <c r="DH4" s="81"/>
      <c r="DI4" s="81"/>
      <c r="DJ4" s="81"/>
      <c r="DK4" s="81"/>
      <c r="DL4" s="81"/>
      <c r="DM4" s="81"/>
      <c r="DN4" s="81"/>
      <c r="DO4" s="81"/>
      <c r="DP4" s="81"/>
      <c r="DQ4" s="81"/>
      <c r="DR4" s="81"/>
      <c r="DS4" s="81"/>
      <c r="DT4" s="81"/>
      <c r="DU4" s="81"/>
      <c r="DV4" s="81"/>
      <c r="DW4" s="81"/>
      <c r="DX4" s="81"/>
      <c r="DY4" s="81"/>
      <c r="DZ4" s="81"/>
      <c r="EA4" s="81"/>
      <c r="EB4" s="81"/>
      <c r="EC4" s="81"/>
      <c r="ED4" s="81"/>
      <c r="EE4" s="81"/>
      <c r="EF4" s="81"/>
      <c r="EG4" s="81"/>
      <c r="EH4" s="81"/>
      <c r="EI4" s="81"/>
      <c r="EJ4" s="81"/>
      <c r="EK4" s="81"/>
      <c r="EL4" s="81"/>
      <c r="EM4" s="81"/>
      <c r="EN4" s="81"/>
      <c r="EO4" s="81"/>
      <c r="EP4" s="81"/>
      <c r="EQ4" s="81"/>
      <c r="ER4" s="81"/>
      <c r="ES4" s="81"/>
      <c r="ET4" s="81"/>
      <c r="EU4" s="81"/>
      <c r="EV4" s="81"/>
      <c r="EW4" s="81"/>
      <c r="EX4" s="81"/>
      <c r="EY4" s="81"/>
      <c r="EZ4" s="81"/>
      <c r="FA4" s="81"/>
      <c r="FB4" s="81"/>
      <c r="FC4" s="81"/>
      <c r="FD4" s="81"/>
      <c r="FE4" s="81"/>
      <c r="FF4" s="81"/>
      <c r="FG4" s="81"/>
      <c r="FH4" s="81"/>
      <c r="FI4" s="81"/>
      <c r="FJ4" s="81"/>
      <c r="FK4" s="81"/>
      <c r="FL4" s="81"/>
      <c r="FM4" s="81"/>
      <c r="FN4" s="81"/>
      <c r="FO4" s="81"/>
      <c r="FP4" s="81"/>
      <c r="FQ4" s="81"/>
      <c r="FR4" s="81"/>
      <c r="FS4" s="81"/>
      <c r="FT4" s="81"/>
      <c r="FU4" s="81"/>
      <c r="FV4" s="81"/>
      <c r="FW4" s="81"/>
      <c r="FX4" s="81"/>
      <c r="FY4" s="81"/>
      <c r="FZ4" s="81"/>
      <c r="GA4" s="81"/>
      <c r="GB4" s="81"/>
      <c r="GC4" s="81"/>
      <c r="GD4" s="81"/>
      <c r="GE4" s="81"/>
      <c r="GF4" s="81"/>
      <c r="GG4" s="81"/>
      <c r="GH4" s="81"/>
      <c r="GI4" s="81"/>
      <c r="GJ4" s="81"/>
      <c r="GK4" s="81"/>
      <c r="GL4" s="81"/>
      <c r="GM4" s="81"/>
      <c r="GN4" s="81"/>
      <c r="GO4" s="81"/>
      <c r="GP4" s="81"/>
      <c r="GQ4" s="81"/>
      <c r="GR4" s="81"/>
      <c r="GS4" s="81"/>
      <c r="GT4" s="81"/>
      <c r="GU4" s="81"/>
      <c r="GV4" s="81"/>
      <c r="GW4" s="81"/>
      <c r="GX4" s="81"/>
      <c r="GY4" s="81"/>
      <c r="GZ4" s="81"/>
      <c r="HA4" s="81"/>
      <c r="HB4" s="81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P4" s="81"/>
      <c r="HQ4" s="81"/>
      <c r="HR4" s="81"/>
      <c r="HS4" s="81"/>
      <c r="HT4" s="81"/>
      <c r="HU4" s="81"/>
      <c r="HV4" s="81"/>
      <c r="HW4" s="81"/>
      <c r="HX4" s="81"/>
      <c r="HY4" s="81"/>
      <c r="HZ4" s="81"/>
      <c r="IA4" s="81"/>
      <c r="IB4" s="81"/>
      <c r="IC4" s="81"/>
      <c r="ID4" s="81"/>
      <c r="IE4" s="81"/>
      <c r="IF4" s="81"/>
      <c r="IG4" s="81"/>
      <c r="IH4" s="81"/>
      <c r="II4" s="81"/>
      <c r="IJ4" s="81"/>
      <c r="IK4" s="81"/>
      <c r="IL4" s="81"/>
      <c r="IM4" s="81"/>
      <c r="IN4" s="81"/>
      <c r="IO4" s="81"/>
      <c r="IP4" s="81"/>
      <c r="IQ4" s="81"/>
      <c r="IR4" s="81"/>
      <c r="IS4" s="81"/>
      <c r="IT4" s="81"/>
      <c r="IU4" s="81"/>
      <c r="IV4" s="81"/>
      <c r="IW4" s="81"/>
      <c r="IX4" s="81"/>
      <c r="IY4" s="81"/>
      <c r="IZ4" s="81"/>
      <c r="JA4" s="81"/>
      <c r="JB4" s="81"/>
      <c r="JC4" s="81"/>
      <c r="JD4" s="81"/>
      <c r="JE4" s="81"/>
      <c r="JF4" s="81"/>
      <c r="JG4" s="81"/>
      <c r="JH4" s="81"/>
      <c r="JI4" s="81"/>
      <c r="JJ4" s="81"/>
      <c r="JK4" s="81"/>
      <c r="JL4" s="81"/>
      <c r="JM4" s="81"/>
      <c r="JN4" s="81"/>
      <c r="JO4" s="81"/>
      <c r="JP4" s="81"/>
      <c r="JQ4" s="81"/>
      <c r="JR4" s="81"/>
      <c r="JS4" s="81"/>
      <c r="JT4" s="81"/>
      <c r="JU4" s="81"/>
      <c r="JV4" s="81"/>
      <c r="JW4" s="81"/>
      <c r="JX4" s="81"/>
      <c r="JY4" s="81"/>
      <c r="JZ4" s="81"/>
      <c r="KA4" s="81"/>
      <c r="KB4" s="81"/>
      <c r="KC4" s="81"/>
      <c r="KD4" s="81"/>
      <c r="KE4" s="81"/>
      <c r="KF4" s="81"/>
      <c r="KG4" s="81"/>
      <c r="KH4" s="81"/>
      <c r="KI4" s="81"/>
      <c r="KJ4" s="81"/>
      <c r="KK4" s="81"/>
      <c r="KL4" s="81"/>
      <c r="KM4" s="81"/>
      <c r="KN4" s="81"/>
      <c r="KO4" s="81"/>
      <c r="KP4" s="81"/>
      <c r="KQ4" s="81"/>
      <c r="KR4" s="81"/>
      <c r="KS4" s="81"/>
      <c r="KT4" s="81"/>
      <c r="KU4" s="81"/>
      <c r="KV4" s="81"/>
      <c r="KW4" s="81"/>
      <c r="KX4" s="81"/>
      <c r="KY4" s="81"/>
      <c r="KZ4" s="81"/>
      <c r="LA4" s="81"/>
      <c r="LB4" s="81"/>
      <c r="LC4" s="81"/>
      <c r="LD4" s="81"/>
      <c r="LE4" s="81"/>
      <c r="LF4" s="81"/>
      <c r="LG4" s="81"/>
      <c r="LH4" s="81"/>
      <c r="LI4" s="81"/>
      <c r="LJ4" s="81"/>
      <c r="LK4" s="81"/>
      <c r="LL4" s="81"/>
      <c r="LM4" s="81"/>
      <c r="LN4" s="81"/>
      <c r="LO4" s="81"/>
      <c r="LP4" s="81"/>
      <c r="LQ4" s="81"/>
      <c r="LR4" s="81"/>
      <c r="LS4" s="81"/>
      <c r="LT4" s="81"/>
      <c r="LU4" s="81"/>
      <c r="LV4" s="81"/>
      <c r="LW4" s="81"/>
      <c r="LX4" s="81"/>
      <c r="LY4" s="81"/>
      <c r="LZ4" s="81"/>
      <c r="MA4" s="81"/>
      <c r="MB4" s="81"/>
      <c r="MC4" s="81"/>
      <c r="MD4" s="81"/>
      <c r="ME4" s="81"/>
      <c r="MF4" s="81"/>
      <c r="MG4" s="81"/>
      <c r="MH4" s="81"/>
      <c r="MI4" s="81"/>
      <c r="MJ4" s="81"/>
      <c r="MK4" s="81"/>
      <c r="ML4" s="81"/>
      <c r="MM4" s="81"/>
      <c r="MN4" s="81"/>
      <c r="MO4" s="81"/>
      <c r="MP4" s="81"/>
      <c r="MQ4" s="81"/>
      <c r="MR4" s="81"/>
      <c r="MS4" s="81"/>
      <c r="MT4" s="81"/>
      <c r="MU4" s="81"/>
      <c r="MV4" s="81"/>
      <c r="MW4" s="81"/>
      <c r="MX4" s="81"/>
      <c r="MY4" s="81"/>
      <c r="MZ4" s="81"/>
      <c r="NA4" s="81"/>
      <c r="NB4" s="81"/>
      <c r="NC4" s="81"/>
      <c r="ND4" s="81"/>
      <c r="NE4" s="81"/>
      <c r="NF4" s="81"/>
      <c r="NG4" s="81"/>
      <c r="NH4" s="81"/>
      <c r="NI4" s="81"/>
      <c r="NJ4" s="81"/>
      <c r="NK4" s="81"/>
      <c r="NL4" s="81"/>
      <c r="NM4" s="81"/>
      <c r="NN4" s="81"/>
      <c r="NO4" s="81"/>
      <c r="NP4" s="81"/>
      <c r="NQ4" s="81"/>
      <c r="NR4" s="81"/>
      <c r="NS4" s="81"/>
      <c r="NT4" s="81"/>
      <c r="NU4" s="81"/>
      <c r="NV4" s="81"/>
      <c r="NW4" s="81"/>
      <c r="NX4" s="81"/>
      <c r="NY4" s="81"/>
      <c r="NZ4" s="81"/>
      <c r="OA4" s="81"/>
      <c r="OB4" s="81"/>
      <c r="OC4" s="81"/>
      <c r="OD4" s="81"/>
      <c r="OE4" s="81"/>
      <c r="OF4" s="81"/>
      <c r="OG4" s="81"/>
      <c r="OH4" s="81"/>
      <c r="OI4" s="81"/>
      <c r="OJ4" s="81"/>
      <c r="OK4" s="81"/>
      <c r="OL4" s="81"/>
      <c r="OM4" s="81"/>
      <c r="ON4" s="81"/>
      <c r="OO4" s="81"/>
      <c r="OP4" s="81"/>
      <c r="OQ4" s="81"/>
      <c r="OR4" s="81"/>
      <c r="OS4" s="81"/>
      <c r="OT4" s="81"/>
      <c r="OU4" s="81"/>
      <c r="OV4" s="81"/>
      <c r="OW4" s="81"/>
      <c r="OX4" s="81"/>
      <c r="OY4" s="81"/>
      <c r="OZ4" s="81"/>
      <c r="PA4" s="81"/>
      <c r="PB4" s="81"/>
      <c r="PC4" s="81"/>
      <c r="PD4" s="81"/>
      <c r="PE4" s="81"/>
      <c r="PF4" s="81"/>
      <c r="PG4" s="81"/>
      <c r="PH4" s="81"/>
      <c r="PI4" s="81"/>
      <c r="PJ4" s="81"/>
      <c r="PK4" s="81"/>
      <c r="PL4" s="81"/>
      <c r="PM4" s="81"/>
      <c r="PN4" s="81"/>
      <c r="PO4" s="81"/>
      <c r="PP4" s="81"/>
      <c r="PQ4" s="81"/>
      <c r="PR4" s="81"/>
      <c r="PS4" s="81"/>
      <c r="PT4" s="81"/>
      <c r="PU4" s="81"/>
      <c r="PV4" s="81"/>
      <c r="PW4" s="81"/>
      <c r="PX4" s="81"/>
      <c r="PY4" s="81"/>
      <c r="PZ4" s="81"/>
      <c r="QA4" s="81"/>
      <c r="QB4" s="81"/>
      <c r="QC4" s="81"/>
      <c r="QD4" s="81"/>
      <c r="QE4" s="81"/>
      <c r="QF4" s="81"/>
      <c r="QG4" s="81"/>
      <c r="QH4" s="81"/>
      <c r="QI4" s="81"/>
      <c r="QJ4" s="81"/>
      <c r="QK4" s="81"/>
      <c r="QL4" s="81"/>
      <c r="QM4" s="81"/>
      <c r="QN4" s="81"/>
      <c r="QO4" s="81"/>
      <c r="QP4" s="81"/>
      <c r="QQ4" s="81"/>
      <c r="QR4" s="81"/>
      <c r="QS4" s="81"/>
      <c r="QT4" s="81"/>
      <c r="QU4" s="81"/>
      <c r="QV4" s="81"/>
      <c r="QW4" s="81"/>
      <c r="QX4" s="81"/>
      <c r="QY4" s="81"/>
      <c r="QZ4" s="81"/>
      <c r="RA4" s="81"/>
      <c r="RB4" s="81"/>
      <c r="RC4" s="81"/>
      <c r="RD4" s="81"/>
      <c r="RE4" s="81"/>
      <c r="RF4" s="81"/>
      <c r="RG4" s="81"/>
      <c r="RH4" s="81"/>
      <c r="RI4" s="81"/>
      <c r="RJ4" s="81"/>
      <c r="RK4" s="81"/>
      <c r="RL4" s="81"/>
      <c r="RM4" s="81"/>
      <c r="RN4" s="81"/>
      <c r="RO4" s="81"/>
      <c r="RP4" s="81"/>
      <c r="RQ4" s="81"/>
      <c r="RR4" s="81"/>
      <c r="RS4" s="81"/>
      <c r="RT4" s="81"/>
      <c r="RU4" s="81"/>
      <c r="RV4" s="81"/>
      <c r="RW4" s="81"/>
      <c r="RX4" s="81"/>
      <c r="RY4" s="81"/>
      <c r="RZ4" s="81"/>
      <c r="SA4" s="81"/>
      <c r="SB4" s="81"/>
      <c r="SC4" s="81"/>
      <c r="SD4" s="81"/>
      <c r="SE4" s="81"/>
      <c r="SF4" s="81"/>
      <c r="SG4" s="81"/>
      <c r="SH4" s="81"/>
      <c r="SI4" s="81"/>
      <c r="SJ4" s="81"/>
      <c r="SK4" s="81"/>
      <c r="SL4" s="81"/>
      <c r="SM4" s="81"/>
      <c r="SN4" s="81"/>
      <c r="SO4" s="81"/>
      <c r="SP4" s="81"/>
      <c r="SQ4" s="81"/>
      <c r="SR4" s="81"/>
      <c r="SS4" s="81"/>
      <c r="ST4" s="81"/>
      <c r="SU4" s="81"/>
      <c r="SV4" s="81"/>
      <c r="SW4" s="81"/>
      <c r="SX4" s="81"/>
      <c r="SY4" s="81"/>
      <c r="SZ4" s="81"/>
      <c r="TA4" s="81"/>
      <c r="TB4" s="81"/>
      <c r="TC4" s="81"/>
      <c r="TD4" s="81"/>
      <c r="TE4" s="81"/>
      <c r="TF4" s="81"/>
      <c r="TG4" s="81"/>
      <c r="TH4" s="81"/>
      <c r="TI4" s="81"/>
      <c r="TJ4" s="81"/>
      <c r="TK4" s="81"/>
      <c r="TL4" s="81"/>
      <c r="TM4" s="81"/>
      <c r="TN4" s="81"/>
      <c r="TO4" s="81"/>
      <c r="TP4" s="81"/>
      <c r="TQ4" s="81"/>
      <c r="TR4" s="81"/>
      <c r="TS4" s="81"/>
      <c r="TT4" s="81"/>
      <c r="TU4" s="81"/>
      <c r="TV4" s="81"/>
      <c r="TW4" s="81"/>
      <c r="TX4" s="81"/>
      <c r="TY4" s="81"/>
      <c r="TZ4" s="81"/>
      <c r="UA4" s="81"/>
      <c r="UB4" s="81"/>
      <c r="UC4" s="81"/>
      <c r="UD4" s="81"/>
      <c r="UE4" s="81"/>
      <c r="UF4" s="81"/>
      <c r="UG4" s="81"/>
      <c r="UH4" s="81"/>
      <c r="UI4" s="81"/>
      <c r="UJ4" s="81"/>
      <c r="UK4" s="81"/>
      <c r="UL4" s="81"/>
      <c r="UM4" s="81"/>
      <c r="UN4" s="81"/>
      <c r="UO4" s="81"/>
      <c r="UP4" s="81"/>
      <c r="UQ4" s="81"/>
      <c r="UR4" s="81"/>
      <c r="US4" s="81"/>
      <c r="UT4" s="81"/>
      <c r="UU4" s="81"/>
      <c r="UV4" s="81"/>
      <c r="UW4" s="81"/>
      <c r="UX4" s="81"/>
      <c r="UY4" s="81"/>
      <c r="UZ4" s="81"/>
      <c r="VA4" s="81"/>
      <c r="VB4" s="81"/>
      <c r="VC4" s="81"/>
      <c r="VD4" s="81"/>
      <c r="VE4" s="81"/>
      <c r="VF4" s="81"/>
      <c r="VG4" s="81"/>
      <c r="VH4" s="81"/>
      <c r="VI4" s="81"/>
      <c r="VJ4" s="81"/>
      <c r="VK4" s="81"/>
      <c r="VL4" s="81"/>
      <c r="VM4" s="81"/>
      <c r="VN4" s="81"/>
      <c r="VO4" s="81"/>
      <c r="VP4" s="81"/>
      <c r="VQ4" s="81"/>
      <c r="VR4" s="81"/>
      <c r="VS4" s="81"/>
      <c r="VT4" s="81"/>
      <c r="VU4" s="81"/>
      <c r="VV4" s="81"/>
      <c r="VW4" s="81"/>
      <c r="VX4" s="81"/>
      <c r="VY4" s="81"/>
      <c r="VZ4" s="81"/>
      <c r="WA4" s="81"/>
      <c r="WB4" s="81"/>
      <c r="WC4" s="81"/>
      <c r="WD4" s="81"/>
      <c r="WE4" s="81"/>
      <c r="WF4" s="81"/>
      <c r="WG4" s="81"/>
      <c r="WH4" s="81"/>
      <c r="WI4" s="81"/>
      <c r="WJ4" s="81"/>
      <c r="WK4" s="81"/>
      <c r="WL4" s="81"/>
      <c r="WM4" s="81"/>
      <c r="WN4" s="81"/>
      <c r="WO4" s="81"/>
      <c r="WP4" s="81"/>
      <c r="WQ4" s="81"/>
      <c r="WR4" s="81"/>
      <c r="WS4" s="81"/>
      <c r="WT4" s="81"/>
      <c r="WU4" s="81"/>
      <c r="WV4" s="81"/>
      <c r="WW4" s="81"/>
      <c r="WX4" s="81"/>
      <c r="WY4" s="81"/>
      <c r="WZ4" s="81"/>
      <c r="XA4" s="81"/>
      <c r="XB4" s="81"/>
      <c r="XC4" s="81"/>
      <c r="XD4" s="81"/>
      <c r="XE4" s="81"/>
      <c r="XF4" s="81"/>
      <c r="XG4" s="81"/>
      <c r="XH4" s="81"/>
      <c r="XI4" s="81"/>
      <c r="XJ4" s="81"/>
      <c r="XK4" s="81"/>
      <c r="XL4" s="81"/>
      <c r="XM4" s="81"/>
      <c r="XN4" s="81"/>
      <c r="XO4" s="81"/>
      <c r="XP4" s="81"/>
      <c r="XQ4" s="81"/>
      <c r="XR4" s="81"/>
      <c r="XS4" s="81"/>
      <c r="XT4" s="81"/>
      <c r="XU4" s="81"/>
      <c r="XV4" s="81"/>
      <c r="XW4" s="81"/>
      <c r="XX4" s="81"/>
      <c r="XY4" s="81"/>
      <c r="XZ4" s="81"/>
      <c r="YA4" s="81"/>
      <c r="YB4" s="81"/>
      <c r="YC4" s="81"/>
      <c r="YD4" s="81"/>
      <c r="YE4" s="81"/>
      <c r="YF4" s="81"/>
      <c r="YG4" s="81"/>
      <c r="YH4" s="81"/>
      <c r="YI4" s="81"/>
      <c r="YJ4" s="81"/>
      <c r="YK4" s="81"/>
      <c r="YL4" s="81"/>
      <c r="YM4" s="81"/>
      <c r="YN4" s="81"/>
      <c r="YO4" s="81"/>
      <c r="YP4" s="81"/>
      <c r="YQ4" s="81"/>
      <c r="YR4" s="81"/>
      <c r="YS4" s="81"/>
      <c r="YT4" s="81"/>
      <c r="YU4" s="81"/>
      <c r="YV4" s="81"/>
      <c r="YW4" s="81"/>
      <c r="YX4" s="81"/>
      <c r="YY4" s="81"/>
      <c r="YZ4" s="81"/>
      <c r="ZA4" s="81"/>
      <c r="ZB4" s="81"/>
      <c r="ZC4" s="81"/>
      <c r="ZD4" s="81"/>
      <c r="ZE4" s="81"/>
      <c r="ZF4" s="81"/>
      <c r="ZG4" s="81"/>
      <c r="ZH4" s="81"/>
      <c r="ZI4" s="81"/>
      <c r="ZJ4" s="81"/>
      <c r="ZK4" s="81"/>
      <c r="ZL4" s="81"/>
      <c r="ZM4" s="81"/>
      <c r="ZN4" s="81"/>
      <c r="ZO4" s="81"/>
      <c r="ZP4" s="81"/>
      <c r="ZQ4" s="81"/>
      <c r="ZR4" s="81"/>
      <c r="ZS4" s="81"/>
      <c r="ZT4" s="81"/>
      <c r="ZU4" s="81"/>
      <c r="ZV4" s="81"/>
      <c r="ZW4" s="81"/>
      <c r="ZX4" s="81"/>
      <c r="ZY4" s="81"/>
      <c r="ZZ4" s="81"/>
      <c r="AAA4" s="81"/>
      <c r="AAB4" s="81"/>
      <c r="AAC4" s="81"/>
      <c r="AAD4" s="81"/>
      <c r="AAE4" s="81"/>
      <c r="AAF4" s="81"/>
      <c r="AAG4" s="81"/>
      <c r="AAH4" s="81"/>
      <c r="AAI4" s="81"/>
      <c r="AAJ4" s="81"/>
      <c r="AAK4" s="81"/>
      <c r="AAL4" s="81"/>
      <c r="AAM4" s="81"/>
      <c r="AAN4" s="81"/>
      <c r="AAO4" s="81"/>
      <c r="AAP4" s="81"/>
      <c r="AAQ4" s="81"/>
      <c r="AAR4" s="81"/>
      <c r="AAS4" s="81"/>
      <c r="AAT4" s="81"/>
      <c r="AAU4" s="81"/>
      <c r="AAV4" s="81"/>
      <c r="AAW4" s="81"/>
      <c r="AAX4" s="81"/>
      <c r="AAY4" s="81"/>
      <c r="AAZ4" s="81"/>
      <c r="ABA4" s="81"/>
      <c r="ABB4" s="81"/>
      <c r="ABC4" s="81"/>
      <c r="ABD4" s="81"/>
      <c r="ABE4" s="81"/>
      <c r="ABF4" s="81"/>
      <c r="ABG4" s="81"/>
      <c r="ABH4" s="81"/>
      <c r="ABI4" s="81"/>
      <c r="ABJ4" s="81"/>
      <c r="ABK4" s="81"/>
      <c r="ABL4" s="81"/>
      <c r="ABM4" s="81"/>
      <c r="ABN4" s="81"/>
      <c r="ABO4" s="81"/>
      <c r="ABP4" s="81"/>
      <c r="ABQ4" s="81"/>
      <c r="ABR4" s="81"/>
      <c r="ABS4" s="81"/>
      <c r="ABT4" s="81"/>
      <c r="ABU4" s="81"/>
      <c r="ABV4" s="81"/>
      <c r="ABW4" s="81"/>
      <c r="ABX4" s="81"/>
      <c r="ABY4" s="81"/>
      <c r="ABZ4" s="81"/>
      <c r="ACA4" s="81"/>
      <c r="ACB4" s="81"/>
      <c r="ACC4" s="81"/>
      <c r="ACD4" s="81"/>
      <c r="ACE4" s="81"/>
      <c r="ACF4" s="81"/>
      <c r="ACG4" s="81"/>
      <c r="ACH4" s="81"/>
      <c r="ACI4" s="81"/>
      <c r="ACJ4" s="81"/>
      <c r="ACK4" s="81"/>
      <c r="ACL4" s="81"/>
      <c r="ACM4" s="81"/>
      <c r="ACN4" s="81"/>
      <c r="ACO4" s="81"/>
      <c r="ACP4" s="81"/>
      <c r="ACQ4" s="81"/>
      <c r="ACR4" s="81"/>
      <c r="ACS4" s="81"/>
      <c r="ACT4" s="81"/>
      <c r="ACU4" s="81"/>
      <c r="ACV4" s="81"/>
      <c r="ACW4" s="81"/>
      <c r="ACX4" s="81"/>
      <c r="ACY4" s="81"/>
      <c r="ACZ4" s="81"/>
      <c r="ADA4" s="81"/>
      <c r="ADB4" s="81"/>
      <c r="ADC4" s="81"/>
      <c r="ADD4" s="81"/>
      <c r="ADE4" s="81"/>
      <c r="ADF4" s="81"/>
      <c r="ADG4" s="81"/>
      <c r="ADH4" s="81"/>
      <c r="ADI4" s="81"/>
      <c r="ADJ4" s="81"/>
      <c r="ADK4" s="81"/>
      <c r="ADL4" s="81"/>
      <c r="ADM4" s="81"/>
      <c r="ADN4" s="81"/>
      <c r="ADO4" s="81"/>
      <c r="ADP4" s="81"/>
      <c r="ADQ4" s="81"/>
      <c r="ADR4" s="81"/>
      <c r="ADS4" s="81"/>
      <c r="ADT4" s="81"/>
      <c r="ADU4" s="81"/>
      <c r="ADV4" s="81"/>
      <c r="ADW4" s="81"/>
      <c r="ADX4" s="81"/>
      <c r="ADY4" s="81"/>
      <c r="ADZ4" s="81"/>
      <c r="AEA4" s="81"/>
      <c r="AEB4" s="81"/>
      <c r="AEC4" s="81"/>
      <c r="AED4" s="81"/>
      <c r="AEE4" s="81"/>
      <c r="AEF4" s="81"/>
      <c r="AEG4" s="81"/>
      <c r="AEH4" s="81"/>
      <c r="AEI4" s="81"/>
      <c r="AEJ4" s="81"/>
      <c r="AEK4" s="81"/>
      <c r="AEL4" s="81"/>
      <c r="AEM4" s="81"/>
      <c r="AEN4" s="81"/>
      <c r="AEO4" s="81"/>
      <c r="AEP4" s="81"/>
      <c r="AEQ4" s="81"/>
      <c r="AER4" s="81"/>
      <c r="AES4" s="81"/>
      <c r="AET4" s="81"/>
      <c r="AEU4" s="81"/>
      <c r="AEV4" s="81"/>
      <c r="AEW4" s="81"/>
      <c r="AEX4" s="81"/>
      <c r="AEY4" s="81"/>
      <c r="AEZ4" s="81"/>
      <c r="AFA4" s="81"/>
      <c r="AFB4" s="81"/>
      <c r="AFC4" s="81"/>
      <c r="AFD4" s="81"/>
      <c r="AFE4" s="81"/>
      <c r="AFF4" s="81"/>
      <c r="AFG4" s="81"/>
      <c r="AFH4" s="81"/>
      <c r="AFI4" s="81"/>
      <c r="AFJ4" s="81"/>
      <c r="AFK4" s="81"/>
      <c r="AFL4" s="81"/>
      <c r="AFM4" s="81"/>
      <c r="AFN4" s="81"/>
      <c r="AFO4" s="81"/>
      <c r="AFP4" s="81"/>
      <c r="AFQ4" s="81"/>
      <c r="AFR4" s="81"/>
      <c r="AFS4" s="81"/>
      <c r="AFT4" s="81"/>
      <c r="AFU4" s="81"/>
      <c r="AFV4" s="81"/>
      <c r="AFW4" s="81"/>
      <c r="AFX4" s="81"/>
      <c r="AFY4" s="81"/>
      <c r="AFZ4" s="81"/>
      <c r="AGA4" s="81"/>
      <c r="AGB4" s="81"/>
      <c r="AGC4" s="81"/>
      <c r="AGD4" s="81"/>
      <c r="AGE4" s="81"/>
      <c r="AGF4" s="81"/>
      <c r="AGG4" s="81"/>
      <c r="AGH4" s="81"/>
      <c r="AGI4" s="81"/>
      <c r="AGJ4" s="81"/>
      <c r="AGK4" s="81"/>
      <c r="AGL4" s="81"/>
      <c r="AGM4" s="81"/>
      <c r="AGN4" s="81"/>
      <c r="AGO4" s="81"/>
      <c r="AGP4" s="81"/>
      <c r="AGQ4" s="81"/>
      <c r="AGR4" s="81"/>
      <c r="AGS4" s="81"/>
      <c r="AGT4" s="81"/>
      <c r="AGU4" s="81"/>
      <c r="AGV4" s="81"/>
      <c r="AGW4" s="81"/>
      <c r="AGX4" s="81"/>
      <c r="AGY4" s="81"/>
      <c r="AGZ4" s="81"/>
      <c r="AHA4" s="81"/>
      <c r="AHB4" s="81"/>
      <c r="AHC4" s="81"/>
      <c r="AHD4" s="81"/>
      <c r="AHE4" s="81"/>
      <c r="AHF4" s="81"/>
      <c r="AHG4" s="81"/>
      <c r="AHH4" s="81"/>
      <c r="AHI4" s="81"/>
      <c r="AHJ4" s="81"/>
      <c r="AHK4" s="81"/>
      <c r="AHL4" s="81"/>
      <c r="AHM4" s="81"/>
      <c r="AHN4" s="81"/>
      <c r="AHO4" s="81"/>
      <c r="AHP4" s="81"/>
      <c r="AHQ4" s="81"/>
      <c r="AHR4" s="81"/>
      <c r="AHS4" s="81"/>
      <c r="AHT4" s="81"/>
      <c r="AHU4" s="81"/>
      <c r="AHV4" s="81"/>
      <c r="AHW4" s="81"/>
      <c r="AHX4" s="81"/>
      <c r="AHY4" s="81"/>
      <c r="AHZ4" s="81"/>
      <c r="AIA4" s="81"/>
      <c r="AIB4" s="81"/>
      <c r="AIC4" s="81"/>
      <c r="AID4" s="81"/>
      <c r="AIE4" s="81"/>
      <c r="AIF4" s="81"/>
      <c r="AIG4" s="81"/>
      <c r="AIH4" s="81"/>
      <c r="AII4" s="81"/>
      <c r="AIJ4" s="81"/>
      <c r="AIK4" s="81"/>
      <c r="AIL4" s="81"/>
      <c r="AIM4" s="81"/>
      <c r="AIN4" s="81"/>
      <c r="AIO4" s="81"/>
      <c r="AIP4" s="81"/>
      <c r="AIQ4" s="81"/>
      <c r="AIR4" s="81"/>
      <c r="AIS4" s="81"/>
      <c r="AIT4" s="81"/>
      <c r="AIU4" s="81"/>
      <c r="AIV4" s="81"/>
      <c r="AIW4" s="81"/>
      <c r="AIX4" s="81"/>
      <c r="AIY4" s="81"/>
      <c r="AIZ4" s="81"/>
      <c r="AJA4" s="81"/>
      <c r="AJB4" s="81"/>
      <c r="AJC4" s="81"/>
      <c r="AJD4" s="81"/>
      <c r="AJE4" s="81"/>
      <c r="AJF4" s="81"/>
      <c r="AJG4" s="81"/>
      <c r="AJH4" s="81"/>
      <c r="AJI4" s="81"/>
      <c r="AJJ4" s="81"/>
      <c r="AJK4" s="81"/>
      <c r="AJL4" s="81"/>
      <c r="AJM4" s="81"/>
      <c r="AJN4" s="81"/>
      <c r="AJO4" s="81"/>
      <c r="AJP4" s="81"/>
      <c r="AJQ4" s="81"/>
      <c r="AJR4" s="81"/>
      <c r="AJS4" s="81"/>
      <c r="AJT4" s="81"/>
      <c r="AJU4" s="81"/>
      <c r="AJV4" s="81"/>
      <c r="AJW4" s="81"/>
      <c r="AJX4" s="81"/>
      <c r="AJY4" s="81"/>
      <c r="AJZ4" s="81"/>
      <c r="AKA4" s="81"/>
      <c r="AKB4" s="81"/>
      <c r="AKC4" s="81"/>
      <c r="AKD4" s="81"/>
      <c r="AKE4" s="81"/>
      <c r="AKF4" s="81"/>
      <c r="AKG4" s="81"/>
      <c r="AKH4" s="81"/>
      <c r="AKI4" s="81"/>
      <c r="AKJ4" s="81"/>
      <c r="AKK4" s="81"/>
      <c r="AKL4" s="81"/>
      <c r="AKM4" s="81"/>
      <c r="AKN4" s="81"/>
      <c r="AKO4" s="81"/>
      <c r="AKP4" s="81"/>
      <c r="AKQ4" s="81"/>
      <c r="AKR4" s="81"/>
      <c r="AKS4" s="81"/>
      <c r="AKT4" s="81"/>
      <c r="AKU4" s="81"/>
      <c r="AKV4" s="81"/>
      <c r="AKW4" s="81"/>
      <c r="AKX4" s="81"/>
      <c r="AKY4" s="81"/>
      <c r="AKZ4" s="81"/>
      <c r="ALA4" s="81"/>
      <c r="ALB4" s="81"/>
      <c r="ALC4" s="81"/>
      <c r="ALD4" s="81"/>
      <c r="ALE4" s="81"/>
      <c r="ALF4" s="81"/>
      <c r="ALG4" s="81"/>
      <c r="ALH4" s="81"/>
      <c r="ALI4" s="81"/>
      <c r="ALJ4" s="81"/>
      <c r="ALK4" s="81"/>
      <c r="ALL4" s="81"/>
      <c r="ALM4" s="81"/>
      <c r="ALN4" s="81"/>
      <c r="ALO4" s="81"/>
      <c r="ALP4" s="81"/>
      <c r="ALQ4" s="81"/>
      <c r="ALR4" s="81"/>
      <c r="ALS4" s="81"/>
      <c r="ALT4" s="81"/>
      <c r="ALU4" s="81"/>
      <c r="ALV4" s="81"/>
      <c r="ALW4" s="81"/>
      <c r="ALX4" s="81"/>
      <c r="ALY4" s="81"/>
      <c r="ALZ4" s="81"/>
      <c r="AMA4" s="81"/>
      <c r="AMB4" s="81"/>
      <c r="AMC4" s="81"/>
      <c r="AMD4" s="81"/>
      <c r="AME4" s="81"/>
      <c r="AMF4" s="81"/>
      <c r="AMG4" s="81"/>
      <c r="AMH4" s="81"/>
      <c r="AMI4" s="81"/>
      <c r="AMJ4" s="81"/>
    </row>
    <row r="5" spans="1:1024" ht="27" thickBot="1" x14ac:dyDescent="0.35">
      <c r="A5" s="589"/>
      <c r="B5" s="589"/>
      <c r="C5" s="594" t="s">
        <v>29</v>
      </c>
      <c r="D5" s="594"/>
      <c r="E5" s="594"/>
      <c r="F5" s="594"/>
      <c r="G5" s="594"/>
      <c r="H5" s="594"/>
      <c r="I5" s="594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81"/>
      <c r="DZ5" s="81"/>
      <c r="EA5" s="81"/>
      <c r="EB5" s="81"/>
      <c r="EC5" s="81"/>
      <c r="ED5" s="81"/>
      <c r="EE5" s="81"/>
      <c r="EF5" s="81"/>
      <c r="EG5" s="81"/>
      <c r="EH5" s="81"/>
      <c r="EI5" s="81"/>
      <c r="EJ5" s="81"/>
      <c r="EK5" s="81"/>
      <c r="EL5" s="81"/>
      <c r="EM5" s="81"/>
      <c r="EN5" s="81"/>
      <c r="EO5" s="81"/>
      <c r="EP5" s="81"/>
      <c r="EQ5" s="81"/>
      <c r="ER5" s="81"/>
      <c r="ES5" s="81"/>
      <c r="ET5" s="81"/>
      <c r="EU5" s="81"/>
      <c r="EV5" s="81"/>
      <c r="EW5" s="81"/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81"/>
      <c r="FI5" s="81"/>
      <c r="FJ5" s="81"/>
      <c r="FK5" s="81"/>
      <c r="FL5" s="81"/>
      <c r="FM5" s="81"/>
      <c r="FN5" s="81"/>
      <c r="FO5" s="81"/>
      <c r="FP5" s="81"/>
      <c r="FQ5" s="81"/>
      <c r="FR5" s="81"/>
      <c r="FS5" s="81"/>
      <c r="FT5" s="81"/>
      <c r="FU5" s="81"/>
      <c r="FV5" s="81"/>
      <c r="FW5" s="81"/>
      <c r="FX5" s="81"/>
      <c r="FY5" s="81"/>
      <c r="FZ5" s="81"/>
      <c r="GA5" s="81"/>
      <c r="GB5" s="81"/>
      <c r="GC5" s="81"/>
      <c r="GD5" s="81"/>
      <c r="GE5" s="81"/>
      <c r="GF5" s="81"/>
      <c r="GG5" s="81"/>
      <c r="GH5" s="81"/>
      <c r="GI5" s="81"/>
      <c r="GJ5" s="81"/>
      <c r="GK5" s="81"/>
      <c r="GL5" s="81"/>
      <c r="GM5" s="81"/>
      <c r="GN5" s="81"/>
      <c r="GO5" s="81"/>
      <c r="GP5" s="81"/>
      <c r="GQ5" s="81"/>
      <c r="GR5" s="81"/>
      <c r="GS5" s="81"/>
      <c r="GT5" s="81"/>
      <c r="GU5" s="81"/>
      <c r="GV5" s="81"/>
      <c r="GW5" s="81"/>
      <c r="GX5" s="81"/>
      <c r="GY5" s="81"/>
      <c r="GZ5" s="81"/>
      <c r="HA5" s="81"/>
      <c r="HB5" s="81"/>
      <c r="HC5" s="81"/>
      <c r="HD5" s="81"/>
      <c r="HE5" s="81"/>
      <c r="HF5" s="81"/>
      <c r="HG5" s="81"/>
      <c r="HH5" s="81"/>
      <c r="HI5" s="81"/>
      <c r="HJ5" s="81"/>
      <c r="HK5" s="81"/>
      <c r="HL5" s="81"/>
      <c r="HM5" s="81"/>
      <c r="HN5" s="81"/>
      <c r="HO5" s="81"/>
      <c r="HP5" s="81"/>
      <c r="HQ5" s="81"/>
      <c r="HR5" s="81"/>
      <c r="HS5" s="81"/>
      <c r="HT5" s="81"/>
      <c r="HU5" s="81"/>
      <c r="HV5" s="81"/>
      <c r="HW5" s="81"/>
      <c r="HX5" s="81"/>
      <c r="HY5" s="81"/>
      <c r="HZ5" s="81"/>
      <c r="IA5" s="81"/>
      <c r="IB5" s="81"/>
      <c r="IC5" s="81"/>
      <c r="ID5" s="81"/>
      <c r="IE5" s="81"/>
      <c r="IF5" s="81"/>
      <c r="IG5" s="81"/>
      <c r="IH5" s="81"/>
      <c r="II5" s="81"/>
      <c r="IJ5" s="81"/>
      <c r="IK5" s="81"/>
      <c r="IL5" s="81"/>
      <c r="IM5" s="81"/>
      <c r="IN5" s="81"/>
      <c r="IO5" s="81"/>
      <c r="IP5" s="81"/>
      <c r="IQ5" s="81"/>
      <c r="IR5" s="81"/>
      <c r="IS5" s="81"/>
      <c r="IT5" s="81"/>
      <c r="IU5" s="81"/>
      <c r="IV5" s="81"/>
      <c r="IW5" s="81"/>
      <c r="IX5" s="81"/>
      <c r="IY5" s="81"/>
      <c r="IZ5" s="81"/>
      <c r="JA5" s="81"/>
      <c r="JB5" s="81"/>
      <c r="JC5" s="81"/>
      <c r="JD5" s="81"/>
      <c r="JE5" s="81"/>
      <c r="JF5" s="81"/>
      <c r="JG5" s="81"/>
      <c r="JH5" s="81"/>
      <c r="JI5" s="81"/>
      <c r="JJ5" s="81"/>
      <c r="JK5" s="81"/>
      <c r="JL5" s="81"/>
      <c r="JM5" s="81"/>
      <c r="JN5" s="81"/>
      <c r="JO5" s="81"/>
      <c r="JP5" s="81"/>
      <c r="JQ5" s="81"/>
      <c r="JR5" s="81"/>
      <c r="JS5" s="81"/>
      <c r="JT5" s="81"/>
      <c r="JU5" s="81"/>
      <c r="JV5" s="81"/>
      <c r="JW5" s="81"/>
      <c r="JX5" s="81"/>
      <c r="JY5" s="81"/>
      <c r="JZ5" s="81"/>
      <c r="KA5" s="81"/>
      <c r="KB5" s="81"/>
      <c r="KC5" s="81"/>
      <c r="KD5" s="81"/>
      <c r="KE5" s="81"/>
      <c r="KF5" s="81"/>
      <c r="KG5" s="81"/>
      <c r="KH5" s="81"/>
      <c r="KI5" s="81"/>
      <c r="KJ5" s="81"/>
      <c r="KK5" s="81"/>
      <c r="KL5" s="81"/>
      <c r="KM5" s="81"/>
      <c r="KN5" s="81"/>
      <c r="KO5" s="81"/>
      <c r="KP5" s="81"/>
      <c r="KQ5" s="81"/>
      <c r="KR5" s="81"/>
      <c r="KS5" s="81"/>
      <c r="KT5" s="81"/>
      <c r="KU5" s="81"/>
      <c r="KV5" s="81"/>
      <c r="KW5" s="81"/>
      <c r="KX5" s="81"/>
      <c r="KY5" s="81"/>
      <c r="KZ5" s="81"/>
      <c r="LA5" s="81"/>
      <c r="LB5" s="81"/>
      <c r="LC5" s="81"/>
      <c r="LD5" s="81"/>
      <c r="LE5" s="81"/>
      <c r="LF5" s="81"/>
      <c r="LG5" s="81"/>
      <c r="LH5" s="81"/>
      <c r="LI5" s="81"/>
      <c r="LJ5" s="81"/>
      <c r="LK5" s="81"/>
      <c r="LL5" s="81"/>
      <c r="LM5" s="81"/>
      <c r="LN5" s="81"/>
      <c r="LO5" s="81"/>
      <c r="LP5" s="81"/>
      <c r="LQ5" s="81"/>
      <c r="LR5" s="81"/>
      <c r="LS5" s="81"/>
      <c r="LT5" s="81"/>
      <c r="LU5" s="81"/>
      <c r="LV5" s="81"/>
      <c r="LW5" s="81"/>
      <c r="LX5" s="81"/>
      <c r="LY5" s="81"/>
      <c r="LZ5" s="81"/>
      <c r="MA5" s="81"/>
      <c r="MB5" s="81"/>
      <c r="MC5" s="81"/>
      <c r="MD5" s="81"/>
      <c r="ME5" s="81"/>
      <c r="MF5" s="81"/>
      <c r="MG5" s="81"/>
      <c r="MH5" s="81"/>
      <c r="MI5" s="81"/>
      <c r="MJ5" s="81"/>
      <c r="MK5" s="81"/>
      <c r="ML5" s="81"/>
      <c r="MM5" s="81"/>
      <c r="MN5" s="81"/>
      <c r="MO5" s="81"/>
      <c r="MP5" s="81"/>
      <c r="MQ5" s="81"/>
      <c r="MR5" s="81"/>
      <c r="MS5" s="81"/>
      <c r="MT5" s="81"/>
      <c r="MU5" s="81"/>
      <c r="MV5" s="81"/>
      <c r="MW5" s="81"/>
      <c r="MX5" s="81"/>
      <c r="MY5" s="81"/>
      <c r="MZ5" s="81"/>
      <c r="NA5" s="81"/>
      <c r="NB5" s="81"/>
      <c r="NC5" s="81"/>
      <c r="ND5" s="81"/>
      <c r="NE5" s="81"/>
      <c r="NF5" s="81"/>
      <c r="NG5" s="81"/>
      <c r="NH5" s="81"/>
      <c r="NI5" s="81"/>
      <c r="NJ5" s="81"/>
      <c r="NK5" s="81"/>
      <c r="NL5" s="81"/>
      <c r="NM5" s="81"/>
      <c r="NN5" s="81"/>
      <c r="NO5" s="81"/>
      <c r="NP5" s="81"/>
      <c r="NQ5" s="81"/>
      <c r="NR5" s="81"/>
      <c r="NS5" s="81"/>
      <c r="NT5" s="81"/>
      <c r="NU5" s="81"/>
      <c r="NV5" s="81"/>
      <c r="NW5" s="81"/>
      <c r="NX5" s="81"/>
      <c r="NY5" s="81"/>
      <c r="NZ5" s="81"/>
      <c r="OA5" s="81"/>
      <c r="OB5" s="81"/>
      <c r="OC5" s="81"/>
      <c r="OD5" s="81"/>
      <c r="OE5" s="81"/>
      <c r="OF5" s="81"/>
      <c r="OG5" s="81"/>
      <c r="OH5" s="81"/>
      <c r="OI5" s="81"/>
      <c r="OJ5" s="81"/>
      <c r="OK5" s="81"/>
      <c r="OL5" s="81"/>
      <c r="OM5" s="81"/>
      <c r="ON5" s="81"/>
      <c r="OO5" s="81"/>
      <c r="OP5" s="81"/>
      <c r="OQ5" s="81"/>
      <c r="OR5" s="81"/>
      <c r="OS5" s="81"/>
      <c r="OT5" s="81"/>
      <c r="OU5" s="81"/>
      <c r="OV5" s="81"/>
      <c r="OW5" s="81"/>
      <c r="OX5" s="81"/>
      <c r="OY5" s="81"/>
      <c r="OZ5" s="81"/>
      <c r="PA5" s="81"/>
      <c r="PB5" s="81"/>
      <c r="PC5" s="81"/>
      <c r="PD5" s="81"/>
      <c r="PE5" s="81"/>
      <c r="PF5" s="81"/>
      <c r="PG5" s="81"/>
      <c r="PH5" s="81"/>
      <c r="PI5" s="81"/>
      <c r="PJ5" s="81"/>
      <c r="PK5" s="81"/>
      <c r="PL5" s="81"/>
      <c r="PM5" s="81"/>
      <c r="PN5" s="81"/>
      <c r="PO5" s="81"/>
      <c r="PP5" s="81"/>
      <c r="PQ5" s="81"/>
      <c r="PR5" s="81"/>
      <c r="PS5" s="81"/>
      <c r="PT5" s="81"/>
      <c r="PU5" s="81"/>
      <c r="PV5" s="81"/>
      <c r="PW5" s="81"/>
      <c r="PX5" s="81"/>
      <c r="PY5" s="81"/>
      <c r="PZ5" s="81"/>
      <c r="QA5" s="81"/>
      <c r="QB5" s="81"/>
      <c r="QC5" s="81"/>
      <c r="QD5" s="81"/>
      <c r="QE5" s="81"/>
      <c r="QF5" s="81"/>
      <c r="QG5" s="81"/>
      <c r="QH5" s="81"/>
      <c r="QI5" s="81"/>
      <c r="QJ5" s="81"/>
      <c r="QK5" s="81"/>
      <c r="QL5" s="81"/>
      <c r="QM5" s="81"/>
      <c r="QN5" s="81"/>
      <c r="QO5" s="81"/>
      <c r="QP5" s="81"/>
      <c r="QQ5" s="81"/>
      <c r="QR5" s="81"/>
      <c r="QS5" s="81"/>
      <c r="QT5" s="81"/>
      <c r="QU5" s="81"/>
      <c r="QV5" s="81"/>
      <c r="QW5" s="81"/>
      <c r="QX5" s="81"/>
      <c r="QY5" s="81"/>
      <c r="QZ5" s="81"/>
      <c r="RA5" s="81"/>
      <c r="RB5" s="81"/>
      <c r="RC5" s="81"/>
      <c r="RD5" s="81"/>
      <c r="RE5" s="81"/>
      <c r="RF5" s="81"/>
      <c r="RG5" s="81"/>
      <c r="RH5" s="81"/>
      <c r="RI5" s="81"/>
      <c r="RJ5" s="81"/>
      <c r="RK5" s="81"/>
      <c r="RL5" s="81"/>
      <c r="RM5" s="81"/>
      <c r="RN5" s="81"/>
      <c r="RO5" s="81"/>
      <c r="RP5" s="81"/>
      <c r="RQ5" s="81"/>
      <c r="RR5" s="81"/>
      <c r="RS5" s="81"/>
      <c r="RT5" s="81"/>
      <c r="RU5" s="81"/>
      <c r="RV5" s="81"/>
      <c r="RW5" s="81"/>
      <c r="RX5" s="81"/>
      <c r="RY5" s="81"/>
      <c r="RZ5" s="81"/>
      <c r="SA5" s="81"/>
      <c r="SB5" s="81"/>
      <c r="SC5" s="81"/>
      <c r="SD5" s="81"/>
      <c r="SE5" s="81"/>
      <c r="SF5" s="81"/>
      <c r="SG5" s="81"/>
      <c r="SH5" s="81"/>
      <c r="SI5" s="81"/>
      <c r="SJ5" s="81"/>
      <c r="SK5" s="81"/>
      <c r="SL5" s="81"/>
      <c r="SM5" s="81"/>
      <c r="SN5" s="81"/>
      <c r="SO5" s="81"/>
      <c r="SP5" s="81"/>
      <c r="SQ5" s="81"/>
      <c r="SR5" s="81"/>
      <c r="SS5" s="81"/>
      <c r="ST5" s="81"/>
      <c r="SU5" s="81"/>
      <c r="SV5" s="81"/>
      <c r="SW5" s="81"/>
      <c r="SX5" s="81"/>
      <c r="SY5" s="81"/>
      <c r="SZ5" s="81"/>
      <c r="TA5" s="81"/>
      <c r="TB5" s="81"/>
      <c r="TC5" s="81"/>
      <c r="TD5" s="81"/>
      <c r="TE5" s="81"/>
      <c r="TF5" s="81"/>
      <c r="TG5" s="81"/>
      <c r="TH5" s="81"/>
      <c r="TI5" s="81"/>
      <c r="TJ5" s="81"/>
      <c r="TK5" s="81"/>
      <c r="TL5" s="81"/>
      <c r="TM5" s="81"/>
      <c r="TN5" s="81"/>
      <c r="TO5" s="81"/>
      <c r="TP5" s="81"/>
      <c r="TQ5" s="81"/>
      <c r="TR5" s="81"/>
      <c r="TS5" s="81"/>
      <c r="TT5" s="81"/>
      <c r="TU5" s="81"/>
      <c r="TV5" s="81"/>
      <c r="TW5" s="81"/>
      <c r="TX5" s="81"/>
      <c r="TY5" s="81"/>
      <c r="TZ5" s="81"/>
      <c r="UA5" s="81"/>
      <c r="UB5" s="81"/>
      <c r="UC5" s="81"/>
      <c r="UD5" s="81"/>
      <c r="UE5" s="81"/>
      <c r="UF5" s="81"/>
      <c r="UG5" s="81"/>
      <c r="UH5" s="81"/>
      <c r="UI5" s="81"/>
      <c r="UJ5" s="81"/>
      <c r="UK5" s="81"/>
      <c r="UL5" s="81"/>
      <c r="UM5" s="81"/>
      <c r="UN5" s="81"/>
      <c r="UO5" s="81"/>
      <c r="UP5" s="81"/>
      <c r="UQ5" s="81"/>
      <c r="UR5" s="81"/>
      <c r="US5" s="81"/>
      <c r="UT5" s="81"/>
      <c r="UU5" s="81"/>
      <c r="UV5" s="81"/>
      <c r="UW5" s="81"/>
      <c r="UX5" s="81"/>
      <c r="UY5" s="81"/>
      <c r="UZ5" s="81"/>
      <c r="VA5" s="81"/>
      <c r="VB5" s="81"/>
      <c r="VC5" s="81"/>
      <c r="VD5" s="81"/>
      <c r="VE5" s="81"/>
      <c r="VF5" s="81"/>
      <c r="VG5" s="81"/>
      <c r="VH5" s="81"/>
      <c r="VI5" s="81"/>
      <c r="VJ5" s="81"/>
      <c r="VK5" s="81"/>
      <c r="VL5" s="81"/>
      <c r="VM5" s="81"/>
      <c r="VN5" s="81"/>
      <c r="VO5" s="81"/>
      <c r="VP5" s="81"/>
      <c r="VQ5" s="81"/>
      <c r="VR5" s="81"/>
      <c r="VS5" s="81"/>
      <c r="VT5" s="81"/>
      <c r="VU5" s="81"/>
      <c r="VV5" s="81"/>
      <c r="VW5" s="81"/>
      <c r="VX5" s="81"/>
      <c r="VY5" s="81"/>
      <c r="VZ5" s="81"/>
      <c r="WA5" s="81"/>
      <c r="WB5" s="81"/>
      <c r="WC5" s="81"/>
      <c r="WD5" s="81"/>
      <c r="WE5" s="81"/>
      <c r="WF5" s="81"/>
      <c r="WG5" s="81"/>
      <c r="WH5" s="81"/>
      <c r="WI5" s="81"/>
      <c r="WJ5" s="81"/>
      <c r="WK5" s="81"/>
      <c r="WL5" s="81"/>
      <c r="WM5" s="81"/>
      <c r="WN5" s="81"/>
      <c r="WO5" s="81"/>
      <c r="WP5" s="81"/>
      <c r="WQ5" s="81"/>
      <c r="WR5" s="81"/>
      <c r="WS5" s="81"/>
      <c r="WT5" s="81"/>
      <c r="WU5" s="81"/>
      <c r="WV5" s="81"/>
      <c r="WW5" s="81"/>
      <c r="WX5" s="81"/>
      <c r="WY5" s="81"/>
      <c r="WZ5" s="81"/>
      <c r="XA5" s="81"/>
      <c r="XB5" s="81"/>
      <c r="XC5" s="81"/>
      <c r="XD5" s="81"/>
      <c r="XE5" s="81"/>
      <c r="XF5" s="81"/>
      <c r="XG5" s="81"/>
      <c r="XH5" s="81"/>
      <c r="XI5" s="81"/>
      <c r="XJ5" s="81"/>
      <c r="XK5" s="81"/>
      <c r="XL5" s="81"/>
      <c r="XM5" s="81"/>
      <c r="XN5" s="81"/>
      <c r="XO5" s="81"/>
      <c r="XP5" s="81"/>
      <c r="XQ5" s="81"/>
      <c r="XR5" s="81"/>
      <c r="XS5" s="81"/>
      <c r="XT5" s="81"/>
      <c r="XU5" s="81"/>
      <c r="XV5" s="81"/>
      <c r="XW5" s="81"/>
      <c r="XX5" s="81"/>
      <c r="XY5" s="81"/>
      <c r="XZ5" s="81"/>
      <c r="YA5" s="81"/>
      <c r="YB5" s="81"/>
      <c r="YC5" s="81"/>
      <c r="YD5" s="81"/>
      <c r="YE5" s="81"/>
      <c r="YF5" s="81"/>
      <c r="YG5" s="81"/>
      <c r="YH5" s="81"/>
      <c r="YI5" s="81"/>
      <c r="YJ5" s="81"/>
      <c r="YK5" s="81"/>
      <c r="YL5" s="81"/>
      <c r="YM5" s="81"/>
      <c r="YN5" s="81"/>
      <c r="YO5" s="81"/>
      <c r="YP5" s="81"/>
      <c r="YQ5" s="81"/>
      <c r="YR5" s="81"/>
      <c r="YS5" s="81"/>
      <c r="YT5" s="81"/>
      <c r="YU5" s="81"/>
      <c r="YV5" s="81"/>
      <c r="YW5" s="81"/>
      <c r="YX5" s="81"/>
      <c r="YY5" s="81"/>
      <c r="YZ5" s="81"/>
      <c r="ZA5" s="81"/>
      <c r="ZB5" s="81"/>
      <c r="ZC5" s="81"/>
      <c r="ZD5" s="81"/>
      <c r="ZE5" s="81"/>
      <c r="ZF5" s="81"/>
      <c r="ZG5" s="81"/>
      <c r="ZH5" s="81"/>
      <c r="ZI5" s="81"/>
      <c r="ZJ5" s="81"/>
      <c r="ZK5" s="81"/>
      <c r="ZL5" s="81"/>
      <c r="ZM5" s="81"/>
      <c r="ZN5" s="81"/>
      <c r="ZO5" s="81"/>
      <c r="ZP5" s="81"/>
      <c r="ZQ5" s="81"/>
      <c r="ZR5" s="81"/>
      <c r="ZS5" s="81"/>
      <c r="ZT5" s="81"/>
      <c r="ZU5" s="81"/>
      <c r="ZV5" s="81"/>
      <c r="ZW5" s="81"/>
      <c r="ZX5" s="81"/>
      <c r="ZY5" s="81"/>
      <c r="ZZ5" s="81"/>
      <c r="AAA5" s="81"/>
      <c r="AAB5" s="81"/>
      <c r="AAC5" s="81"/>
      <c r="AAD5" s="81"/>
      <c r="AAE5" s="81"/>
      <c r="AAF5" s="81"/>
      <c r="AAG5" s="81"/>
      <c r="AAH5" s="81"/>
      <c r="AAI5" s="81"/>
      <c r="AAJ5" s="81"/>
      <c r="AAK5" s="81"/>
      <c r="AAL5" s="81"/>
      <c r="AAM5" s="81"/>
      <c r="AAN5" s="81"/>
      <c r="AAO5" s="81"/>
      <c r="AAP5" s="81"/>
      <c r="AAQ5" s="81"/>
      <c r="AAR5" s="81"/>
      <c r="AAS5" s="81"/>
      <c r="AAT5" s="81"/>
      <c r="AAU5" s="81"/>
      <c r="AAV5" s="81"/>
      <c r="AAW5" s="81"/>
      <c r="AAX5" s="81"/>
      <c r="AAY5" s="81"/>
      <c r="AAZ5" s="81"/>
      <c r="ABA5" s="81"/>
      <c r="ABB5" s="81"/>
      <c r="ABC5" s="81"/>
      <c r="ABD5" s="81"/>
      <c r="ABE5" s="81"/>
      <c r="ABF5" s="81"/>
      <c r="ABG5" s="81"/>
      <c r="ABH5" s="81"/>
      <c r="ABI5" s="81"/>
      <c r="ABJ5" s="81"/>
      <c r="ABK5" s="81"/>
      <c r="ABL5" s="81"/>
      <c r="ABM5" s="81"/>
      <c r="ABN5" s="81"/>
      <c r="ABO5" s="81"/>
      <c r="ABP5" s="81"/>
      <c r="ABQ5" s="81"/>
      <c r="ABR5" s="81"/>
      <c r="ABS5" s="81"/>
      <c r="ABT5" s="81"/>
      <c r="ABU5" s="81"/>
      <c r="ABV5" s="81"/>
      <c r="ABW5" s="81"/>
      <c r="ABX5" s="81"/>
      <c r="ABY5" s="81"/>
      <c r="ABZ5" s="81"/>
      <c r="ACA5" s="81"/>
      <c r="ACB5" s="81"/>
      <c r="ACC5" s="81"/>
      <c r="ACD5" s="81"/>
      <c r="ACE5" s="81"/>
      <c r="ACF5" s="81"/>
      <c r="ACG5" s="81"/>
      <c r="ACH5" s="81"/>
      <c r="ACI5" s="81"/>
      <c r="ACJ5" s="81"/>
      <c r="ACK5" s="81"/>
      <c r="ACL5" s="81"/>
      <c r="ACM5" s="81"/>
      <c r="ACN5" s="81"/>
      <c r="ACO5" s="81"/>
      <c r="ACP5" s="81"/>
      <c r="ACQ5" s="81"/>
      <c r="ACR5" s="81"/>
      <c r="ACS5" s="81"/>
      <c r="ACT5" s="81"/>
      <c r="ACU5" s="81"/>
      <c r="ACV5" s="81"/>
      <c r="ACW5" s="81"/>
      <c r="ACX5" s="81"/>
      <c r="ACY5" s="81"/>
      <c r="ACZ5" s="81"/>
      <c r="ADA5" s="81"/>
      <c r="ADB5" s="81"/>
      <c r="ADC5" s="81"/>
      <c r="ADD5" s="81"/>
      <c r="ADE5" s="81"/>
      <c r="ADF5" s="81"/>
      <c r="ADG5" s="81"/>
      <c r="ADH5" s="81"/>
      <c r="ADI5" s="81"/>
      <c r="ADJ5" s="81"/>
      <c r="ADK5" s="81"/>
      <c r="ADL5" s="81"/>
      <c r="ADM5" s="81"/>
      <c r="ADN5" s="81"/>
      <c r="ADO5" s="81"/>
      <c r="ADP5" s="81"/>
      <c r="ADQ5" s="81"/>
      <c r="ADR5" s="81"/>
      <c r="ADS5" s="81"/>
      <c r="ADT5" s="81"/>
      <c r="ADU5" s="81"/>
      <c r="ADV5" s="81"/>
      <c r="ADW5" s="81"/>
      <c r="ADX5" s="81"/>
      <c r="ADY5" s="81"/>
      <c r="ADZ5" s="81"/>
      <c r="AEA5" s="81"/>
      <c r="AEB5" s="81"/>
      <c r="AEC5" s="81"/>
      <c r="AED5" s="81"/>
      <c r="AEE5" s="81"/>
      <c r="AEF5" s="81"/>
      <c r="AEG5" s="81"/>
      <c r="AEH5" s="81"/>
      <c r="AEI5" s="81"/>
      <c r="AEJ5" s="81"/>
      <c r="AEK5" s="81"/>
      <c r="AEL5" s="81"/>
      <c r="AEM5" s="81"/>
      <c r="AEN5" s="81"/>
      <c r="AEO5" s="81"/>
      <c r="AEP5" s="81"/>
      <c r="AEQ5" s="81"/>
      <c r="AER5" s="81"/>
      <c r="AES5" s="81"/>
      <c r="AET5" s="81"/>
      <c r="AEU5" s="81"/>
      <c r="AEV5" s="81"/>
      <c r="AEW5" s="81"/>
      <c r="AEX5" s="81"/>
      <c r="AEY5" s="81"/>
      <c r="AEZ5" s="81"/>
      <c r="AFA5" s="81"/>
      <c r="AFB5" s="81"/>
      <c r="AFC5" s="81"/>
      <c r="AFD5" s="81"/>
      <c r="AFE5" s="81"/>
      <c r="AFF5" s="81"/>
      <c r="AFG5" s="81"/>
      <c r="AFH5" s="81"/>
      <c r="AFI5" s="81"/>
      <c r="AFJ5" s="81"/>
      <c r="AFK5" s="81"/>
      <c r="AFL5" s="81"/>
      <c r="AFM5" s="81"/>
      <c r="AFN5" s="81"/>
      <c r="AFO5" s="81"/>
      <c r="AFP5" s="81"/>
      <c r="AFQ5" s="81"/>
      <c r="AFR5" s="81"/>
      <c r="AFS5" s="81"/>
      <c r="AFT5" s="81"/>
      <c r="AFU5" s="81"/>
      <c r="AFV5" s="81"/>
      <c r="AFW5" s="81"/>
      <c r="AFX5" s="81"/>
      <c r="AFY5" s="81"/>
      <c r="AFZ5" s="81"/>
      <c r="AGA5" s="81"/>
      <c r="AGB5" s="81"/>
      <c r="AGC5" s="81"/>
      <c r="AGD5" s="81"/>
      <c r="AGE5" s="81"/>
      <c r="AGF5" s="81"/>
      <c r="AGG5" s="81"/>
      <c r="AGH5" s="81"/>
      <c r="AGI5" s="81"/>
      <c r="AGJ5" s="81"/>
      <c r="AGK5" s="81"/>
      <c r="AGL5" s="81"/>
      <c r="AGM5" s="81"/>
      <c r="AGN5" s="81"/>
      <c r="AGO5" s="81"/>
      <c r="AGP5" s="81"/>
      <c r="AGQ5" s="81"/>
      <c r="AGR5" s="81"/>
      <c r="AGS5" s="81"/>
      <c r="AGT5" s="81"/>
      <c r="AGU5" s="81"/>
      <c r="AGV5" s="81"/>
      <c r="AGW5" s="81"/>
      <c r="AGX5" s="81"/>
      <c r="AGY5" s="81"/>
      <c r="AGZ5" s="81"/>
      <c r="AHA5" s="81"/>
      <c r="AHB5" s="81"/>
      <c r="AHC5" s="81"/>
      <c r="AHD5" s="81"/>
      <c r="AHE5" s="81"/>
      <c r="AHF5" s="81"/>
      <c r="AHG5" s="81"/>
      <c r="AHH5" s="81"/>
      <c r="AHI5" s="81"/>
      <c r="AHJ5" s="81"/>
      <c r="AHK5" s="81"/>
      <c r="AHL5" s="81"/>
      <c r="AHM5" s="81"/>
      <c r="AHN5" s="81"/>
      <c r="AHO5" s="81"/>
      <c r="AHP5" s="81"/>
      <c r="AHQ5" s="81"/>
      <c r="AHR5" s="81"/>
      <c r="AHS5" s="81"/>
      <c r="AHT5" s="81"/>
      <c r="AHU5" s="81"/>
      <c r="AHV5" s="81"/>
      <c r="AHW5" s="81"/>
      <c r="AHX5" s="81"/>
      <c r="AHY5" s="81"/>
      <c r="AHZ5" s="81"/>
      <c r="AIA5" s="81"/>
      <c r="AIB5" s="81"/>
      <c r="AIC5" s="81"/>
      <c r="AID5" s="81"/>
      <c r="AIE5" s="81"/>
      <c r="AIF5" s="81"/>
      <c r="AIG5" s="81"/>
      <c r="AIH5" s="81"/>
      <c r="AII5" s="81"/>
      <c r="AIJ5" s="81"/>
      <c r="AIK5" s="81"/>
      <c r="AIL5" s="81"/>
      <c r="AIM5" s="81"/>
      <c r="AIN5" s="81"/>
      <c r="AIO5" s="81"/>
      <c r="AIP5" s="81"/>
      <c r="AIQ5" s="81"/>
      <c r="AIR5" s="81"/>
      <c r="AIS5" s="81"/>
      <c r="AIT5" s="81"/>
      <c r="AIU5" s="81"/>
      <c r="AIV5" s="81"/>
      <c r="AIW5" s="81"/>
      <c r="AIX5" s="81"/>
      <c r="AIY5" s="81"/>
      <c r="AIZ5" s="81"/>
      <c r="AJA5" s="81"/>
      <c r="AJB5" s="81"/>
      <c r="AJC5" s="81"/>
      <c r="AJD5" s="81"/>
      <c r="AJE5" s="81"/>
      <c r="AJF5" s="81"/>
      <c r="AJG5" s="81"/>
      <c r="AJH5" s="81"/>
      <c r="AJI5" s="81"/>
      <c r="AJJ5" s="81"/>
      <c r="AJK5" s="81"/>
      <c r="AJL5" s="81"/>
      <c r="AJM5" s="81"/>
      <c r="AJN5" s="81"/>
      <c r="AJO5" s="81"/>
      <c r="AJP5" s="81"/>
      <c r="AJQ5" s="81"/>
      <c r="AJR5" s="81"/>
      <c r="AJS5" s="81"/>
      <c r="AJT5" s="81"/>
      <c r="AJU5" s="81"/>
      <c r="AJV5" s="81"/>
      <c r="AJW5" s="81"/>
      <c r="AJX5" s="81"/>
      <c r="AJY5" s="81"/>
      <c r="AJZ5" s="81"/>
      <c r="AKA5" s="81"/>
      <c r="AKB5" s="81"/>
      <c r="AKC5" s="81"/>
      <c r="AKD5" s="81"/>
      <c r="AKE5" s="81"/>
      <c r="AKF5" s="81"/>
      <c r="AKG5" s="81"/>
      <c r="AKH5" s="81"/>
      <c r="AKI5" s="81"/>
      <c r="AKJ5" s="81"/>
      <c r="AKK5" s="81"/>
      <c r="AKL5" s="81"/>
      <c r="AKM5" s="81"/>
      <c r="AKN5" s="81"/>
      <c r="AKO5" s="81"/>
      <c r="AKP5" s="81"/>
      <c r="AKQ5" s="81"/>
      <c r="AKR5" s="81"/>
      <c r="AKS5" s="81"/>
      <c r="AKT5" s="81"/>
      <c r="AKU5" s="81"/>
      <c r="AKV5" s="81"/>
      <c r="AKW5" s="81"/>
      <c r="AKX5" s="81"/>
      <c r="AKY5" s="81"/>
      <c r="AKZ5" s="81"/>
      <c r="ALA5" s="81"/>
      <c r="ALB5" s="81"/>
      <c r="ALC5" s="81"/>
      <c r="ALD5" s="81"/>
      <c r="ALE5" s="81"/>
      <c r="ALF5" s="81"/>
      <c r="ALG5" s="81"/>
      <c r="ALH5" s="81"/>
      <c r="ALI5" s="81"/>
      <c r="ALJ5" s="81"/>
      <c r="ALK5" s="81"/>
      <c r="ALL5" s="81"/>
      <c r="ALM5" s="81"/>
      <c r="ALN5" s="81"/>
      <c r="ALO5" s="81"/>
      <c r="ALP5" s="81"/>
      <c r="ALQ5" s="81"/>
      <c r="ALR5" s="81"/>
      <c r="ALS5" s="81"/>
      <c r="ALT5" s="81"/>
      <c r="ALU5" s="81"/>
      <c r="ALV5" s="81"/>
      <c r="ALW5" s="81"/>
      <c r="ALX5" s="81"/>
      <c r="ALY5" s="81"/>
      <c r="ALZ5" s="81"/>
      <c r="AMA5" s="81"/>
      <c r="AMB5" s="81"/>
      <c r="AMC5" s="81"/>
      <c r="AMD5" s="81"/>
      <c r="AME5" s="81"/>
      <c r="AMF5" s="81"/>
      <c r="AMG5" s="81"/>
      <c r="AMH5" s="81"/>
      <c r="AMI5" s="81"/>
      <c r="AMJ5" s="81"/>
    </row>
    <row r="6" spans="1:1024" ht="27" thickBot="1" x14ac:dyDescent="0.35">
      <c r="A6" s="82"/>
      <c r="B6" s="491"/>
      <c r="C6" s="595" t="s">
        <v>320</v>
      </c>
      <c r="D6" s="595"/>
      <c r="E6" s="595"/>
      <c r="F6" s="595"/>
      <c r="G6" s="595"/>
      <c r="H6" s="595"/>
      <c r="I6" s="595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81"/>
      <c r="EP6" s="81"/>
      <c r="EQ6" s="81"/>
      <c r="ER6" s="81"/>
      <c r="ES6" s="81"/>
      <c r="ET6" s="81"/>
      <c r="EU6" s="81"/>
      <c r="EV6" s="81"/>
      <c r="EW6" s="81"/>
      <c r="EX6" s="81"/>
      <c r="EY6" s="81"/>
      <c r="EZ6" s="81"/>
      <c r="FA6" s="81"/>
      <c r="FB6" s="81"/>
      <c r="FC6" s="81"/>
      <c r="FD6" s="81"/>
      <c r="FE6" s="81"/>
      <c r="FF6" s="81"/>
      <c r="FG6" s="81"/>
      <c r="FH6" s="81"/>
      <c r="FI6" s="81"/>
      <c r="FJ6" s="81"/>
      <c r="FK6" s="81"/>
      <c r="FL6" s="81"/>
      <c r="FM6" s="81"/>
      <c r="FN6" s="81"/>
      <c r="FO6" s="81"/>
      <c r="FP6" s="81"/>
      <c r="FQ6" s="81"/>
      <c r="FR6" s="81"/>
      <c r="FS6" s="81"/>
      <c r="FT6" s="81"/>
      <c r="FU6" s="81"/>
      <c r="FV6" s="81"/>
      <c r="FW6" s="81"/>
      <c r="FX6" s="81"/>
      <c r="FY6" s="81"/>
      <c r="FZ6" s="81"/>
      <c r="GA6" s="81"/>
      <c r="GB6" s="81"/>
      <c r="GC6" s="81"/>
      <c r="GD6" s="81"/>
      <c r="GE6" s="81"/>
      <c r="GF6" s="81"/>
      <c r="GG6" s="81"/>
      <c r="GH6" s="81"/>
      <c r="GI6" s="81"/>
      <c r="GJ6" s="81"/>
      <c r="GK6" s="81"/>
      <c r="GL6" s="81"/>
      <c r="GM6" s="81"/>
      <c r="GN6" s="81"/>
      <c r="GO6" s="81"/>
      <c r="GP6" s="81"/>
      <c r="GQ6" s="81"/>
      <c r="GR6" s="81"/>
      <c r="GS6" s="81"/>
      <c r="GT6" s="81"/>
      <c r="GU6" s="81"/>
      <c r="GV6" s="81"/>
      <c r="GW6" s="81"/>
      <c r="GX6" s="81"/>
      <c r="GY6" s="81"/>
      <c r="GZ6" s="81"/>
      <c r="HA6" s="81"/>
      <c r="HB6" s="81"/>
      <c r="HC6" s="81"/>
      <c r="HD6" s="81"/>
      <c r="HE6" s="81"/>
      <c r="HF6" s="81"/>
      <c r="HG6" s="81"/>
      <c r="HH6" s="81"/>
      <c r="HI6" s="81"/>
      <c r="HJ6" s="81"/>
      <c r="HK6" s="81"/>
      <c r="HL6" s="81"/>
      <c r="HM6" s="81"/>
      <c r="HN6" s="81"/>
      <c r="HO6" s="81"/>
      <c r="HP6" s="81"/>
      <c r="HQ6" s="81"/>
      <c r="HR6" s="81"/>
      <c r="HS6" s="81"/>
      <c r="HT6" s="81"/>
      <c r="HU6" s="81"/>
      <c r="HV6" s="81"/>
      <c r="HW6" s="81"/>
      <c r="HX6" s="81"/>
      <c r="HY6" s="81"/>
      <c r="HZ6" s="81"/>
      <c r="IA6" s="81"/>
      <c r="IB6" s="81"/>
      <c r="IC6" s="81"/>
      <c r="ID6" s="81"/>
      <c r="IE6" s="81"/>
      <c r="IF6" s="81"/>
      <c r="IG6" s="81"/>
      <c r="IH6" s="81"/>
      <c r="II6" s="81"/>
      <c r="IJ6" s="81"/>
      <c r="IK6" s="81"/>
      <c r="IL6" s="81"/>
      <c r="IM6" s="81"/>
      <c r="IN6" s="81"/>
      <c r="IO6" s="81"/>
      <c r="IP6" s="81"/>
      <c r="IQ6" s="81"/>
      <c r="IR6" s="81"/>
      <c r="IS6" s="81"/>
      <c r="IT6" s="81"/>
      <c r="IU6" s="81"/>
      <c r="IV6" s="81"/>
      <c r="IW6" s="81"/>
      <c r="IX6" s="81"/>
      <c r="IY6" s="81"/>
      <c r="IZ6" s="81"/>
      <c r="JA6" s="81"/>
      <c r="JB6" s="81"/>
      <c r="JC6" s="81"/>
      <c r="JD6" s="81"/>
      <c r="JE6" s="81"/>
      <c r="JF6" s="81"/>
      <c r="JG6" s="81"/>
      <c r="JH6" s="81"/>
      <c r="JI6" s="81"/>
      <c r="JJ6" s="81"/>
      <c r="JK6" s="81"/>
      <c r="JL6" s="81"/>
      <c r="JM6" s="81"/>
      <c r="JN6" s="81"/>
      <c r="JO6" s="81"/>
      <c r="JP6" s="81"/>
      <c r="JQ6" s="81"/>
      <c r="JR6" s="81"/>
      <c r="JS6" s="81"/>
      <c r="JT6" s="81"/>
      <c r="JU6" s="81"/>
      <c r="JV6" s="81"/>
      <c r="JW6" s="81"/>
      <c r="JX6" s="81"/>
      <c r="JY6" s="81"/>
      <c r="JZ6" s="81"/>
      <c r="KA6" s="81"/>
      <c r="KB6" s="81"/>
      <c r="KC6" s="81"/>
      <c r="KD6" s="81"/>
      <c r="KE6" s="81"/>
      <c r="KF6" s="81"/>
      <c r="KG6" s="81"/>
      <c r="KH6" s="81"/>
      <c r="KI6" s="81"/>
      <c r="KJ6" s="81"/>
      <c r="KK6" s="81"/>
      <c r="KL6" s="81"/>
      <c r="KM6" s="81"/>
      <c r="KN6" s="81"/>
      <c r="KO6" s="81"/>
      <c r="KP6" s="81"/>
      <c r="KQ6" s="81"/>
      <c r="KR6" s="81"/>
      <c r="KS6" s="81"/>
      <c r="KT6" s="81"/>
      <c r="KU6" s="81"/>
      <c r="KV6" s="81"/>
      <c r="KW6" s="81"/>
      <c r="KX6" s="81"/>
      <c r="KY6" s="81"/>
      <c r="KZ6" s="81"/>
      <c r="LA6" s="81"/>
      <c r="LB6" s="81"/>
      <c r="LC6" s="81"/>
      <c r="LD6" s="81"/>
      <c r="LE6" s="81"/>
      <c r="LF6" s="81"/>
      <c r="LG6" s="81"/>
      <c r="LH6" s="81"/>
      <c r="LI6" s="81"/>
      <c r="LJ6" s="81"/>
      <c r="LK6" s="81"/>
      <c r="LL6" s="81"/>
      <c r="LM6" s="81"/>
      <c r="LN6" s="81"/>
      <c r="LO6" s="81"/>
      <c r="LP6" s="81"/>
      <c r="LQ6" s="81"/>
      <c r="LR6" s="81"/>
      <c r="LS6" s="81"/>
      <c r="LT6" s="81"/>
      <c r="LU6" s="81"/>
      <c r="LV6" s="81"/>
      <c r="LW6" s="81"/>
      <c r="LX6" s="81"/>
      <c r="LY6" s="81"/>
      <c r="LZ6" s="81"/>
      <c r="MA6" s="81"/>
      <c r="MB6" s="81"/>
      <c r="MC6" s="81"/>
      <c r="MD6" s="81"/>
      <c r="ME6" s="81"/>
      <c r="MF6" s="81"/>
      <c r="MG6" s="81"/>
      <c r="MH6" s="81"/>
      <c r="MI6" s="81"/>
      <c r="MJ6" s="81"/>
      <c r="MK6" s="81"/>
      <c r="ML6" s="81"/>
      <c r="MM6" s="81"/>
      <c r="MN6" s="81"/>
      <c r="MO6" s="81"/>
      <c r="MP6" s="81"/>
      <c r="MQ6" s="81"/>
      <c r="MR6" s="81"/>
      <c r="MS6" s="81"/>
      <c r="MT6" s="81"/>
      <c r="MU6" s="81"/>
      <c r="MV6" s="81"/>
      <c r="MW6" s="81"/>
      <c r="MX6" s="81"/>
      <c r="MY6" s="81"/>
      <c r="MZ6" s="81"/>
      <c r="NA6" s="81"/>
      <c r="NB6" s="81"/>
      <c r="NC6" s="81"/>
      <c r="ND6" s="81"/>
      <c r="NE6" s="81"/>
      <c r="NF6" s="81"/>
      <c r="NG6" s="81"/>
      <c r="NH6" s="81"/>
      <c r="NI6" s="81"/>
      <c r="NJ6" s="81"/>
      <c r="NK6" s="81"/>
      <c r="NL6" s="81"/>
      <c r="NM6" s="81"/>
      <c r="NN6" s="81"/>
      <c r="NO6" s="81"/>
      <c r="NP6" s="81"/>
      <c r="NQ6" s="81"/>
      <c r="NR6" s="81"/>
      <c r="NS6" s="81"/>
      <c r="NT6" s="81"/>
      <c r="NU6" s="81"/>
      <c r="NV6" s="81"/>
      <c r="NW6" s="81"/>
      <c r="NX6" s="81"/>
      <c r="NY6" s="81"/>
      <c r="NZ6" s="81"/>
      <c r="OA6" s="81"/>
      <c r="OB6" s="81"/>
      <c r="OC6" s="81"/>
      <c r="OD6" s="81"/>
      <c r="OE6" s="81"/>
      <c r="OF6" s="81"/>
      <c r="OG6" s="81"/>
      <c r="OH6" s="81"/>
      <c r="OI6" s="81"/>
      <c r="OJ6" s="81"/>
      <c r="OK6" s="81"/>
      <c r="OL6" s="81"/>
      <c r="OM6" s="81"/>
      <c r="ON6" s="81"/>
      <c r="OO6" s="81"/>
      <c r="OP6" s="81"/>
      <c r="OQ6" s="81"/>
      <c r="OR6" s="81"/>
      <c r="OS6" s="81"/>
      <c r="OT6" s="81"/>
      <c r="OU6" s="81"/>
      <c r="OV6" s="81"/>
      <c r="OW6" s="81"/>
      <c r="OX6" s="81"/>
      <c r="OY6" s="81"/>
      <c r="OZ6" s="81"/>
      <c r="PA6" s="81"/>
      <c r="PB6" s="81"/>
      <c r="PC6" s="81"/>
      <c r="PD6" s="81"/>
      <c r="PE6" s="81"/>
      <c r="PF6" s="81"/>
      <c r="PG6" s="81"/>
      <c r="PH6" s="81"/>
      <c r="PI6" s="81"/>
      <c r="PJ6" s="81"/>
      <c r="PK6" s="81"/>
      <c r="PL6" s="81"/>
      <c r="PM6" s="81"/>
      <c r="PN6" s="81"/>
      <c r="PO6" s="81"/>
      <c r="PP6" s="81"/>
      <c r="PQ6" s="81"/>
      <c r="PR6" s="81"/>
      <c r="PS6" s="81"/>
      <c r="PT6" s="81"/>
      <c r="PU6" s="81"/>
      <c r="PV6" s="81"/>
      <c r="PW6" s="81"/>
      <c r="PX6" s="81"/>
      <c r="PY6" s="81"/>
      <c r="PZ6" s="81"/>
      <c r="QA6" s="81"/>
      <c r="QB6" s="81"/>
      <c r="QC6" s="81"/>
      <c r="QD6" s="81"/>
      <c r="QE6" s="81"/>
      <c r="QF6" s="81"/>
      <c r="QG6" s="81"/>
      <c r="QH6" s="81"/>
      <c r="QI6" s="81"/>
      <c r="QJ6" s="81"/>
      <c r="QK6" s="81"/>
      <c r="QL6" s="81"/>
      <c r="QM6" s="81"/>
      <c r="QN6" s="81"/>
      <c r="QO6" s="81"/>
      <c r="QP6" s="81"/>
      <c r="QQ6" s="81"/>
      <c r="QR6" s="81"/>
      <c r="QS6" s="81"/>
      <c r="QT6" s="81"/>
      <c r="QU6" s="81"/>
      <c r="QV6" s="81"/>
      <c r="QW6" s="81"/>
      <c r="QX6" s="81"/>
      <c r="QY6" s="81"/>
      <c r="QZ6" s="81"/>
      <c r="RA6" s="81"/>
      <c r="RB6" s="81"/>
      <c r="RC6" s="81"/>
      <c r="RD6" s="81"/>
      <c r="RE6" s="81"/>
      <c r="RF6" s="81"/>
      <c r="RG6" s="81"/>
      <c r="RH6" s="81"/>
      <c r="RI6" s="81"/>
      <c r="RJ6" s="81"/>
      <c r="RK6" s="81"/>
      <c r="RL6" s="81"/>
      <c r="RM6" s="81"/>
      <c r="RN6" s="81"/>
      <c r="RO6" s="81"/>
      <c r="RP6" s="81"/>
      <c r="RQ6" s="81"/>
      <c r="RR6" s="81"/>
      <c r="RS6" s="81"/>
      <c r="RT6" s="81"/>
      <c r="RU6" s="81"/>
      <c r="RV6" s="81"/>
      <c r="RW6" s="81"/>
      <c r="RX6" s="81"/>
      <c r="RY6" s="81"/>
      <c r="RZ6" s="81"/>
      <c r="SA6" s="81"/>
      <c r="SB6" s="81"/>
      <c r="SC6" s="81"/>
      <c r="SD6" s="81"/>
      <c r="SE6" s="81"/>
      <c r="SF6" s="81"/>
      <c r="SG6" s="81"/>
      <c r="SH6" s="81"/>
      <c r="SI6" s="81"/>
      <c r="SJ6" s="81"/>
      <c r="SK6" s="81"/>
      <c r="SL6" s="81"/>
      <c r="SM6" s="81"/>
      <c r="SN6" s="81"/>
      <c r="SO6" s="81"/>
      <c r="SP6" s="81"/>
      <c r="SQ6" s="81"/>
      <c r="SR6" s="81"/>
      <c r="SS6" s="81"/>
      <c r="ST6" s="81"/>
      <c r="SU6" s="81"/>
      <c r="SV6" s="81"/>
      <c r="SW6" s="81"/>
      <c r="SX6" s="81"/>
      <c r="SY6" s="81"/>
      <c r="SZ6" s="81"/>
      <c r="TA6" s="81"/>
      <c r="TB6" s="81"/>
      <c r="TC6" s="81"/>
      <c r="TD6" s="81"/>
      <c r="TE6" s="81"/>
      <c r="TF6" s="81"/>
      <c r="TG6" s="81"/>
      <c r="TH6" s="81"/>
      <c r="TI6" s="81"/>
      <c r="TJ6" s="81"/>
      <c r="TK6" s="81"/>
      <c r="TL6" s="81"/>
      <c r="TM6" s="81"/>
      <c r="TN6" s="81"/>
      <c r="TO6" s="81"/>
      <c r="TP6" s="81"/>
      <c r="TQ6" s="81"/>
      <c r="TR6" s="81"/>
      <c r="TS6" s="81"/>
      <c r="TT6" s="81"/>
      <c r="TU6" s="81"/>
      <c r="TV6" s="81"/>
      <c r="TW6" s="81"/>
      <c r="TX6" s="81"/>
      <c r="TY6" s="81"/>
      <c r="TZ6" s="81"/>
      <c r="UA6" s="81"/>
      <c r="UB6" s="81"/>
      <c r="UC6" s="81"/>
      <c r="UD6" s="81"/>
      <c r="UE6" s="81"/>
      <c r="UF6" s="81"/>
      <c r="UG6" s="81"/>
      <c r="UH6" s="81"/>
      <c r="UI6" s="81"/>
      <c r="UJ6" s="81"/>
      <c r="UK6" s="81"/>
      <c r="UL6" s="81"/>
      <c r="UM6" s="81"/>
      <c r="UN6" s="81"/>
      <c r="UO6" s="81"/>
      <c r="UP6" s="81"/>
      <c r="UQ6" s="81"/>
      <c r="UR6" s="81"/>
      <c r="US6" s="81"/>
      <c r="UT6" s="81"/>
      <c r="UU6" s="81"/>
      <c r="UV6" s="81"/>
      <c r="UW6" s="81"/>
      <c r="UX6" s="81"/>
      <c r="UY6" s="81"/>
      <c r="UZ6" s="81"/>
      <c r="VA6" s="81"/>
      <c r="VB6" s="81"/>
      <c r="VC6" s="81"/>
      <c r="VD6" s="81"/>
      <c r="VE6" s="81"/>
      <c r="VF6" s="81"/>
      <c r="VG6" s="81"/>
      <c r="VH6" s="81"/>
      <c r="VI6" s="81"/>
      <c r="VJ6" s="81"/>
      <c r="VK6" s="81"/>
      <c r="VL6" s="81"/>
      <c r="VM6" s="81"/>
      <c r="VN6" s="81"/>
      <c r="VO6" s="81"/>
      <c r="VP6" s="81"/>
      <c r="VQ6" s="81"/>
      <c r="VR6" s="81"/>
      <c r="VS6" s="81"/>
      <c r="VT6" s="81"/>
      <c r="VU6" s="81"/>
      <c r="VV6" s="81"/>
      <c r="VW6" s="81"/>
      <c r="VX6" s="81"/>
      <c r="VY6" s="81"/>
      <c r="VZ6" s="81"/>
      <c r="WA6" s="81"/>
      <c r="WB6" s="81"/>
      <c r="WC6" s="81"/>
      <c r="WD6" s="81"/>
      <c r="WE6" s="81"/>
      <c r="WF6" s="81"/>
      <c r="WG6" s="81"/>
      <c r="WH6" s="81"/>
      <c r="WI6" s="81"/>
      <c r="WJ6" s="81"/>
      <c r="WK6" s="81"/>
      <c r="WL6" s="81"/>
      <c r="WM6" s="81"/>
      <c r="WN6" s="81"/>
      <c r="WO6" s="81"/>
      <c r="WP6" s="81"/>
      <c r="WQ6" s="81"/>
      <c r="WR6" s="81"/>
      <c r="WS6" s="81"/>
      <c r="WT6" s="81"/>
      <c r="WU6" s="81"/>
      <c r="WV6" s="81"/>
      <c r="WW6" s="81"/>
      <c r="WX6" s="81"/>
      <c r="WY6" s="81"/>
      <c r="WZ6" s="81"/>
      <c r="XA6" s="81"/>
      <c r="XB6" s="81"/>
      <c r="XC6" s="81"/>
      <c r="XD6" s="81"/>
      <c r="XE6" s="81"/>
      <c r="XF6" s="81"/>
      <c r="XG6" s="81"/>
      <c r="XH6" s="81"/>
      <c r="XI6" s="81"/>
      <c r="XJ6" s="81"/>
      <c r="XK6" s="81"/>
      <c r="XL6" s="81"/>
      <c r="XM6" s="81"/>
      <c r="XN6" s="81"/>
      <c r="XO6" s="81"/>
      <c r="XP6" s="81"/>
      <c r="XQ6" s="81"/>
      <c r="XR6" s="81"/>
      <c r="XS6" s="81"/>
      <c r="XT6" s="81"/>
      <c r="XU6" s="81"/>
      <c r="XV6" s="81"/>
      <c r="XW6" s="81"/>
      <c r="XX6" s="81"/>
      <c r="XY6" s="81"/>
      <c r="XZ6" s="81"/>
      <c r="YA6" s="81"/>
      <c r="YB6" s="81"/>
      <c r="YC6" s="81"/>
      <c r="YD6" s="81"/>
      <c r="YE6" s="81"/>
      <c r="YF6" s="81"/>
      <c r="YG6" s="81"/>
      <c r="YH6" s="81"/>
      <c r="YI6" s="81"/>
      <c r="YJ6" s="81"/>
      <c r="YK6" s="81"/>
      <c r="YL6" s="81"/>
      <c r="YM6" s="81"/>
      <c r="YN6" s="81"/>
      <c r="YO6" s="81"/>
      <c r="YP6" s="81"/>
      <c r="YQ6" s="81"/>
      <c r="YR6" s="81"/>
      <c r="YS6" s="81"/>
      <c r="YT6" s="81"/>
      <c r="YU6" s="81"/>
      <c r="YV6" s="81"/>
      <c r="YW6" s="81"/>
      <c r="YX6" s="81"/>
      <c r="YY6" s="81"/>
      <c r="YZ6" s="81"/>
      <c r="ZA6" s="81"/>
      <c r="ZB6" s="81"/>
      <c r="ZC6" s="81"/>
      <c r="ZD6" s="81"/>
      <c r="ZE6" s="81"/>
      <c r="ZF6" s="81"/>
      <c r="ZG6" s="81"/>
      <c r="ZH6" s="81"/>
      <c r="ZI6" s="81"/>
      <c r="ZJ6" s="81"/>
      <c r="ZK6" s="81"/>
      <c r="ZL6" s="81"/>
      <c r="ZM6" s="81"/>
      <c r="ZN6" s="81"/>
      <c r="ZO6" s="81"/>
      <c r="ZP6" s="81"/>
      <c r="ZQ6" s="81"/>
      <c r="ZR6" s="81"/>
      <c r="ZS6" s="81"/>
      <c r="ZT6" s="81"/>
      <c r="ZU6" s="81"/>
      <c r="ZV6" s="81"/>
      <c r="ZW6" s="81"/>
      <c r="ZX6" s="81"/>
      <c r="ZY6" s="81"/>
      <c r="ZZ6" s="81"/>
      <c r="AAA6" s="81"/>
      <c r="AAB6" s="81"/>
      <c r="AAC6" s="81"/>
      <c r="AAD6" s="81"/>
      <c r="AAE6" s="81"/>
      <c r="AAF6" s="81"/>
      <c r="AAG6" s="81"/>
      <c r="AAH6" s="81"/>
      <c r="AAI6" s="81"/>
      <c r="AAJ6" s="81"/>
      <c r="AAK6" s="81"/>
      <c r="AAL6" s="81"/>
      <c r="AAM6" s="81"/>
      <c r="AAN6" s="81"/>
      <c r="AAO6" s="81"/>
      <c r="AAP6" s="81"/>
      <c r="AAQ6" s="81"/>
      <c r="AAR6" s="81"/>
      <c r="AAS6" s="81"/>
      <c r="AAT6" s="81"/>
      <c r="AAU6" s="81"/>
      <c r="AAV6" s="81"/>
      <c r="AAW6" s="81"/>
      <c r="AAX6" s="81"/>
      <c r="AAY6" s="81"/>
      <c r="AAZ6" s="81"/>
      <c r="ABA6" s="81"/>
      <c r="ABB6" s="81"/>
      <c r="ABC6" s="81"/>
      <c r="ABD6" s="81"/>
      <c r="ABE6" s="81"/>
      <c r="ABF6" s="81"/>
      <c r="ABG6" s="81"/>
      <c r="ABH6" s="81"/>
      <c r="ABI6" s="81"/>
      <c r="ABJ6" s="81"/>
      <c r="ABK6" s="81"/>
      <c r="ABL6" s="81"/>
      <c r="ABM6" s="81"/>
      <c r="ABN6" s="81"/>
      <c r="ABO6" s="81"/>
      <c r="ABP6" s="81"/>
      <c r="ABQ6" s="81"/>
      <c r="ABR6" s="81"/>
      <c r="ABS6" s="81"/>
      <c r="ABT6" s="81"/>
      <c r="ABU6" s="81"/>
      <c r="ABV6" s="81"/>
      <c r="ABW6" s="81"/>
      <c r="ABX6" s="81"/>
      <c r="ABY6" s="81"/>
      <c r="ABZ6" s="81"/>
      <c r="ACA6" s="81"/>
      <c r="ACB6" s="81"/>
      <c r="ACC6" s="81"/>
      <c r="ACD6" s="81"/>
      <c r="ACE6" s="81"/>
      <c r="ACF6" s="81"/>
      <c r="ACG6" s="81"/>
      <c r="ACH6" s="81"/>
      <c r="ACI6" s="81"/>
      <c r="ACJ6" s="81"/>
      <c r="ACK6" s="81"/>
      <c r="ACL6" s="81"/>
      <c r="ACM6" s="81"/>
      <c r="ACN6" s="81"/>
      <c r="ACO6" s="81"/>
      <c r="ACP6" s="81"/>
      <c r="ACQ6" s="81"/>
      <c r="ACR6" s="81"/>
      <c r="ACS6" s="81"/>
      <c r="ACT6" s="81"/>
      <c r="ACU6" s="81"/>
      <c r="ACV6" s="81"/>
      <c r="ACW6" s="81"/>
      <c r="ACX6" s="81"/>
      <c r="ACY6" s="81"/>
      <c r="ACZ6" s="81"/>
      <c r="ADA6" s="81"/>
      <c r="ADB6" s="81"/>
      <c r="ADC6" s="81"/>
      <c r="ADD6" s="81"/>
      <c r="ADE6" s="81"/>
      <c r="ADF6" s="81"/>
      <c r="ADG6" s="81"/>
      <c r="ADH6" s="81"/>
      <c r="ADI6" s="81"/>
      <c r="ADJ6" s="81"/>
      <c r="ADK6" s="81"/>
      <c r="ADL6" s="81"/>
      <c r="ADM6" s="81"/>
      <c r="ADN6" s="81"/>
      <c r="ADO6" s="81"/>
      <c r="ADP6" s="81"/>
      <c r="ADQ6" s="81"/>
      <c r="ADR6" s="81"/>
      <c r="ADS6" s="81"/>
      <c r="ADT6" s="81"/>
      <c r="ADU6" s="81"/>
      <c r="ADV6" s="81"/>
      <c r="ADW6" s="81"/>
      <c r="ADX6" s="81"/>
      <c r="ADY6" s="81"/>
      <c r="ADZ6" s="81"/>
      <c r="AEA6" s="81"/>
      <c r="AEB6" s="81"/>
      <c r="AEC6" s="81"/>
      <c r="AED6" s="81"/>
      <c r="AEE6" s="81"/>
      <c r="AEF6" s="81"/>
      <c r="AEG6" s="81"/>
      <c r="AEH6" s="81"/>
      <c r="AEI6" s="81"/>
      <c r="AEJ6" s="81"/>
      <c r="AEK6" s="81"/>
      <c r="AEL6" s="81"/>
      <c r="AEM6" s="81"/>
      <c r="AEN6" s="81"/>
      <c r="AEO6" s="81"/>
      <c r="AEP6" s="81"/>
      <c r="AEQ6" s="81"/>
      <c r="AER6" s="81"/>
      <c r="AES6" s="81"/>
      <c r="AET6" s="81"/>
      <c r="AEU6" s="81"/>
      <c r="AEV6" s="81"/>
      <c r="AEW6" s="81"/>
      <c r="AEX6" s="81"/>
      <c r="AEY6" s="81"/>
      <c r="AEZ6" s="81"/>
      <c r="AFA6" s="81"/>
      <c r="AFB6" s="81"/>
      <c r="AFC6" s="81"/>
      <c r="AFD6" s="81"/>
      <c r="AFE6" s="81"/>
      <c r="AFF6" s="81"/>
      <c r="AFG6" s="81"/>
      <c r="AFH6" s="81"/>
      <c r="AFI6" s="81"/>
      <c r="AFJ6" s="81"/>
      <c r="AFK6" s="81"/>
      <c r="AFL6" s="81"/>
      <c r="AFM6" s="81"/>
      <c r="AFN6" s="81"/>
      <c r="AFO6" s="81"/>
      <c r="AFP6" s="81"/>
      <c r="AFQ6" s="81"/>
      <c r="AFR6" s="81"/>
      <c r="AFS6" s="81"/>
      <c r="AFT6" s="81"/>
      <c r="AFU6" s="81"/>
      <c r="AFV6" s="81"/>
      <c r="AFW6" s="81"/>
      <c r="AFX6" s="81"/>
      <c r="AFY6" s="81"/>
      <c r="AFZ6" s="81"/>
      <c r="AGA6" s="81"/>
      <c r="AGB6" s="81"/>
      <c r="AGC6" s="81"/>
      <c r="AGD6" s="81"/>
      <c r="AGE6" s="81"/>
      <c r="AGF6" s="81"/>
      <c r="AGG6" s="81"/>
      <c r="AGH6" s="81"/>
      <c r="AGI6" s="81"/>
      <c r="AGJ6" s="81"/>
      <c r="AGK6" s="81"/>
      <c r="AGL6" s="81"/>
      <c r="AGM6" s="81"/>
      <c r="AGN6" s="81"/>
      <c r="AGO6" s="81"/>
      <c r="AGP6" s="81"/>
      <c r="AGQ6" s="81"/>
      <c r="AGR6" s="81"/>
      <c r="AGS6" s="81"/>
      <c r="AGT6" s="81"/>
      <c r="AGU6" s="81"/>
      <c r="AGV6" s="81"/>
      <c r="AGW6" s="81"/>
      <c r="AGX6" s="81"/>
      <c r="AGY6" s="81"/>
      <c r="AGZ6" s="81"/>
      <c r="AHA6" s="81"/>
      <c r="AHB6" s="81"/>
      <c r="AHC6" s="81"/>
      <c r="AHD6" s="81"/>
      <c r="AHE6" s="81"/>
      <c r="AHF6" s="81"/>
      <c r="AHG6" s="81"/>
      <c r="AHH6" s="81"/>
      <c r="AHI6" s="81"/>
      <c r="AHJ6" s="81"/>
      <c r="AHK6" s="81"/>
      <c r="AHL6" s="81"/>
      <c r="AHM6" s="81"/>
      <c r="AHN6" s="81"/>
      <c r="AHO6" s="81"/>
      <c r="AHP6" s="81"/>
      <c r="AHQ6" s="81"/>
      <c r="AHR6" s="81"/>
      <c r="AHS6" s="81"/>
      <c r="AHT6" s="81"/>
      <c r="AHU6" s="81"/>
      <c r="AHV6" s="81"/>
      <c r="AHW6" s="81"/>
      <c r="AHX6" s="81"/>
      <c r="AHY6" s="81"/>
      <c r="AHZ6" s="81"/>
      <c r="AIA6" s="81"/>
      <c r="AIB6" s="81"/>
      <c r="AIC6" s="81"/>
      <c r="AID6" s="81"/>
      <c r="AIE6" s="81"/>
      <c r="AIF6" s="81"/>
      <c r="AIG6" s="81"/>
      <c r="AIH6" s="81"/>
      <c r="AII6" s="81"/>
      <c r="AIJ6" s="81"/>
      <c r="AIK6" s="81"/>
      <c r="AIL6" s="81"/>
      <c r="AIM6" s="81"/>
      <c r="AIN6" s="81"/>
      <c r="AIO6" s="81"/>
      <c r="AIP6" s="81"/>
      <c r="AIQ6" s="81"/>
      <c r="AIR6" s="81"/>
      <c r="AIS6" s="81"/>
      <c r="AIT6" s="81"/>
      <c r="AIU6" s="81"/>
      <c r="AIV6" s="81"/>
      <c r="AIW6" s="81"/>
      <c r="AIX6" s="81"/>
      <c r="AIY6" s="81"/>
      <c r="AIZ6" s="81"/>
      <c r="AJA6" s="81"/>
      <c r="AJB6" s="81"/>
      <c r="AJC6" s="81"/>
      <c r="AJD6" s="81"/>
      <c r="AJE6" s="81"/>
      <c r="AJF6" s="81"/>
      <c r="AJG6" s="81"/>
      <c r="AJH6" s="81"/>
      <c r="AJI6" s="81"/>
      <c r="AJJ6" s="81"/>
      <c r="AJK6" s="81"/>
      <c r="AJL6" s="81"/>
      <c r="AJM6" s="81"/>
      <c r="AJN6" s="81"/>
      <c r="AJO6" s="81"/>
      <c r="AJP6" s="81"/>
      <c r="AJQ6" s="81"/>
      <c r="AJR6" s="81"/>
      <c r="AJS6" s="81"/>
      <c r="AJT6" s="81"/>
      <c r="AJU6" s="81"/>
      <c r="AJV6" s="81"/>
      <c r="AJW6" s="81"/>
      <c r="AJX6" s="81"/>
      <c r="AJY6" s="81"/>
      <c r="AJZ6" s="81"/>
      <c r="AKA6" s="81"/>
      <c r="AKB6" s="81"/>
      <c r="AKC6" s="81"/>
      <c r="AKD6" s="81"/>
      <c r="AKE6" s="81"/>
      <c r="AKF6" s="81"/>
      <c r="AKG6" s="81"/>
      <c r="AKH6" s="81"/>
      <c r="AKI6" s="81"/>
      <c r="AKJ6" s="81"/>
      <c r="AKK6" s="81"/>
      <c r="AKL6" s="81"/>
      <c r="AKM6" s="81"/>
      <c r="AKN6" s="81"/>
      <c r="AKO6" s="81"/>
      <c r="AKP6" s="81"/>
      <c r="AKQ6" s="81"/>
      <c r="AKR6" s="81"/>
      <c r="AKS6" s="81"/>
      <c r="AKT6" s="81"/>
      <c r="AKU6" s="81"/>
      <c r="AKV6" s="81"/>
      <c r="AKW6" s="81"/>
      <c r="AKX6" s="81"/>
      <c r="AKY6" s="81"/>
      <c r="AKZ6" s="81"/>
      <c r="ALA6" s="81"/>
      <c r="ALB6" s="81"/>
      <c r="ALC6" s="81"/>
      <c r="ALD6" s="81"/>
      <c r="ALE6" s="81"/>
      <c r="ALF6" s="81"/>
      <c r="ALG6" s="81"/>
      <c r="ALH6" s="81"/>
      <c r="ALI6" s="81"/>
      <c r="ALJ6" s="81"/>
      <c r="ALK6" s="81"/>
      <c r="ALL6" s="81"/>
      <c r="ALM6" s="81"/>
      <c r="ALN6" s="81"/>
      <c r="ALO6" s="81"/>
      <c r="ALP6" s="81"/>
      <c r="ALQ6" s="81"/>
      <c r="ALR6" s="81"/>
      <c r="ALS6" s="81"/>
      <c r="ALT6" s="81"/>
      <c r="ALU6" s="81"/>
      <c r="ALV6" s="81"/>
      <c r="ALW6" s="81"/>
      <c r="ALX6" s="81"/>
      <c r="ALY6" s="81"/>
      <c r="ALZ6" s="81"/>
      <c r="AMA6" s="81"/>
      <c r="AMB6" s="81"/>
      <c r="AMC6" s="81"/>
      <c r="AMD6" s="81"/>
      <c r="AME6" s="81"/>
      <c r="AMF6" s="81"/>
      <c r="AMG6" s="81"/>
      <c r="AMH6" s="81"/>
      <c r="AMI6" s="81"/>
      <c r="AMJ6" s="81"/>
    </row>
    <row r="7" spans="1:1024" ht="27" thickBot="1" x14ac:dyDescent="0.35">
      <c r="A7" s="82" t="s">
        <v>2</v>
      </c>
      <c r="B7" s="596" t="s">
        <v>30</v>
      </c>
      <c r="C7" s="596"/>
      <c r="D7" s="596"/>
      <c r="E7" s="596"/>
      <c r="F7" s="596"/>
      <c r="G7" s="596"/>
      <c r="H7" s="596"/>
      <c r="I7" s="532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81"/>
      <c r="ET7" s="81"/>
      <c r="EU7" s="81"/>
      <c r="EV7" s="81"/>
      <c r="EW7" s="81"/>
      <c r="EX7" s="81"/>
      <c r="EY7" s="81"/>
      <c r="EZ7" s="81"/>
      <c r="FA7" s="81"/>
      <c r="FB7" s="81"/>
      <c r="FC7" s="81"/>
      <c r="FD7" s="81"/>
      <c r="FE7" s="81"/>
      <c r="FF7" s="81"/>
      <c r="FG7" s="81"/>
      <c r="FH7" s="81"/>
      <c r="FI7" s="81"/>
      <c r="FJ7" s="81"/>
      <c r="FK7" s="81"/>
      <c r="FL7" s="81"/>
      <c r="FM7" s="81"/>
      <c r="FN7" s="81"/>
      <c r="FO7" s="81"/>
      <c r="FP7" s="81"/>
      <c r="FQ7" s="81"/>
      <c r="FR7" s="81"/>
      <c r="FS7" s="81"/>
      <c r="FT7" s="81"/>
      <c r="FU7" s="81"/>
      <c r="FV7" s="81"/>
      <c r="FW7" s="81"/>
      <c r="FX7" s="81"/>
      <c r="FY7" s="81"/>
      <c r="FZ7" s="81"/>
      <c r="GA7" s="81"/>
      <c r="GB7" s="81"/>
      <c r="GC7" s="81"/>
      <c r="GD7" s="81"/>
      <c r="GE7" s="81"/>
      <c r="GF7" s="81"/>
      <c r="GG7" s="81"/>
      <c r="GH7" s="81"/>
      <c r="GI7" s="81"/>
      <c r="GJ7" s="81"/>
      <c r="GK7" s="81"/>
      <c r="GL7" s="81"/>
      <c r="GM7" s="81"/>
      <c r="GN7" s="81"/>
      <c r="GO7" s="81"/>
      <c r="GP7" s="81"/>
      <c r="GQ7" s="81"/>
      <c r="GR7" s="81"/>
      <c r="GS7" s="81"/>
      <c r="GT7" s="81"/>
      <c r="GU7" s="81"/>
      <c r="GV7" s="81"/>
      <c r="GW7" s="81"/>
      <c r="GX7" s="81"/>
      <c r="GY7" s="81"/>
      <c r="GZ7" s="81"/>
      <c r="HA7" s="81"/>
      <c r="HB7" s="81"/>
      <c r="HC7" s="81"/>
      <c r="HD7" s="81"/>
      <c r="HE7" s="81"/>
      <c r="HF7" s="81"/>
      <c r="HG7" s="81"/>
      <c r="HH7" s="81"/>
      <c r="HI7" s="81"/>
      <c r="HJ7" s="81"/>
      <c r="HK7" s="81"/>
      <c r="HL7" s="81"/>
      <c r="HM7" s="81"/>
      <c r="HN7" s="81"/>
      <c r="HO7" s="81"/>
      <c r="HP7" s="81"/>
      <c r="HQ7" s="81"/>
      <c r="HR7" s="81"/>
      <c r="HS7" s="81"/>
      <c r="HT7" s="81"/>
      <c r="HU7" s="81"/>
      <c r="HV7" s="81"/>
      <c r="HW7" s="81"/>
      <c r="HX7" s="81"/>
      <c r="HY7" s="81"/>
      <c r="HZ7" s="81"/>
      <c r="IA7" s="81"/>
      <c r="IB7" s="81"/>
      <c r="IC7" s="81"/>
      <c r="ID7" s="81"/>
      <c r="IE7" s="81"/>
      <c r="IF7" s="81"/>
      <c r="IG7" s="81"/>
      <c r="IH7" s="81"/>
      <c r="II7" s="81"/>
      <c r="IJ7" s="81"/>
      <c r="IK7" s="81"/>
      <c r="IL7" s="81"/>
      <c r="IM7" s="81"/>
      <c r="IN7" s="81"/>
      <c r="IO7" s="81"/>
      <c r="IP7" s="81"/>
      <c r="IQ7" s="81"/>
      <c r="IR7" s="81"/>
      <c r="IS7" s="81"/>
      <c r="IT7" s="81"/>
      <c r="IU7" s="81"/>
      <c r="IV7" s="81"/>
      <c r="IW7" s="81"/>
      <c r="IX7" s="81"/>
      <c r="IY7" s="81"/>
      <c r="IZ7" s="81"/>
      <c r="JA7" s="81"/>
      <c r="JB7" s="81"/>
      <c r="JC7" s="81"/>
      <c r="JD7" s="81"/>
      <c r="JE7" s="81"/>
      <c r="JF7" s="81"/>
      <c r="JG7" s="81"/>
      <c r="JH7" s="81"/>
      <c r="JI7" s="81"/>
      <c r="JJ7" s="81"/>
      <c r="JK7" s="81"/>
      <c r="JL7" s="81"/>
      <c r="JM7" s="81"/>
      <c r="JN7" s="81"/>
      <c r="JO7" s="81"/>
      <c r="JP7" s="81"/>
      <c r="JQ7" s="81"/>
      <c r="JR7" s="81"/>
      <c r="JS7" s="81"/>
      <c r="JT7" s="81"/>
      <c r="JU7" s="81"/>
      <c r="JV7" s="81"/>
      <c r="JW7" s="81"/>
      <c r="JX7" s="81"/>
      <c r="JY7" s="81"/>
      <c r="JZ7" s="81"/>
      <c r="KA7" s="81"/>
      <c r="KB7" s="81"/>
      <c r="KC7" s="81"/>
      <c r="KD7" s="81"/>
      <c r="KE7" s="81"/>
      <c r="KF7" s="81"/>
      <c r="KG7" s="81"/>
      <c r="KH7" s="81"/>
      <c r="KI7" s="81"/>
      <c r="KJ7" s="81"/>
      <c r="KK7" s="81"/>
      <c r="KL7" s="81"/>
      <c r="KM7" s="81"/>
      <c r="KN7" s="81"/>
      <c r="KO7" s="81"/>
      <c r="KP7" s="81"/>
      <c r="KQ7" s="81"/>
      <c r="KR7" s="81"/>
      <c r="KS7" s="81"/>
      <c r="KT7" s="81"/>
      <c r="KU7" s="81"/>
      <c r="KV7" s="81"/>
      <c r="KW7" s="81"/>
      <c r="KX7" s="81"/>
      <c r="KY7" s="81"/>
      <c r="KZ7" s="81"/>
      <c r="LA7" s="81"/>
      <c r="LB7" s="81"/>
      <c r="LC7" s="81"/>
      <c r="LD7" s="81"/>
      <c r="LE7" s="81"/>
      <c r="LF7" s="81"/>
      <c r="LG7" s="81"/>
      <c r="LH7" s="81"/>
      <c r="LI7" s="81"/>
      <c r="LJ7" s="81"/>
      <c r="LK7" s="81"/>
      <c r="LL7" s="81"/>
      <c r="LM7" s="81"/>
      <c r="LN7" s="81"/>
      <c r="LO7" s="81"/>
      <c r="LP7" s="81"/>
      <c r="LQ7" s="81"/>
      <c r="LR7" s="81"/>
      <c r="LS7" s="81"/>
      <c r="LT7" s="81"/>
      <c r="LU7" s="81"/>
      <c r="LV7" s="81"/>
      <c r="LW7" s="81"/>
      <c r="LX7" s="81"/>
      <c r="LY7" s="81"/>
      <c r="LZ7" s="81"/>
      <c r="MA7" s="81"/>
      <c r="MB7" s="81"/>
      <c r="MC7" s="81"/>
      <c r="MD7" s="81"/>
      <c r="ME7" s="81"/>
      <c r="MF7" s="81"/>
      <c r="MG7" s="81"/>
      <c r="MH7" s="81"/>
      <c r="MI7" s="81"/>
      <c r="MJ7" s="81"/>
      <c r="MK7" s="81"/>
      <c r="ML7" s="81"/>
      <c r="MM7" s="81"/>
      <c r="MN7" s="81"/>
      <c r="MO7" s="81"/>
      <c r="MP7" s="81"/>
      <c r="MQ7" s="81"/>
      <c r="MR7" s="81"/>
      <c r="MS7" s="81"/>
      <c r="MT7" s="81"/>
      <c r="MU7" s="81"/>
      <c r="MV7" s="81"/>
      <c r="MW7" s="81"/>
      <c r="MX7" s="81"/>
      <c r="MY7" s="81"/>
      <c r="MZ7" s="81"/>
      <c r="NA7" s="81"/>
      <c r="NB7" s="81"/>
      <c r="NC7" s="81"/>
      <c r="ND7" s="81"/>
      <c r="NE7" s="81"/>
      <c r="NF7" s="81"/>
      <c r="NG7" s="81"/>
      <c r="NH7" s="81"/>
      <c r="NI7" s="81"/>
      <c r="NJ7" s="81"/>
      <c r="NK7" s="81"/>
      <c r="NL7" s="81"/>
      <c r="NM7" s="81"/>
      <c r="NN7" s="81"/>
      <c r="NO7" s="81"/>
      <c r="NP7" s="81"/>
      <c r="NQ7" s="81"/>
      <c r="NR7" s="81"/>
      <c r="NS7" s="81"/>
      <c r="NT7" s="81"/>
      <c r="NU7" s="81"/>
      <c r="NV7" s="81"/>
      <c r="NW7" s="81"/>
      <c r="NX7" s="81"/>
      <c r="NY7" s="81"/>
      <c r="NZ7" s="81"/>
      <c r="OA7" s="81"/>
      <c r="OB7" s="81"/>
      <c r="OC7" s="81"/>
      <c r="OD7" s="81"/>
      <c r="OE7" s="81"/>
      <c r="OF7" s="81"/>
      <c r="OG7" s="81"/>
      <c r="OH7" s="81"/>
      <c r="OI7" s="81"/>
      <c r="OJ7" s="81"/>
      <c r="OK7" s="81"/>
      <c r="OL7" s="81"/>
      <c r="OM7" s="81"/>
      <c r="ON7" s="81"/>
      <c r="OO7" s="81"/>
      <c r="OP7" s="81"/>
      <c r="OQ7" s="81"/>
      <c r="OR7" s="81"/>
      <c r="OS7" s="81"/>
      <c r="OT7" s="81"/>
      <c r="OU7" s="81"/>
      <c r="OV7" s="81"/>
      <c r="OW7" s="81"/>
      <c r="OX7" s="81"/>
      <c r="OY7" s="81"/>
      <c r="OZ7" s="81"/>
      <c r="PA7" s="81"/>
      <c r="PB7" s="81"/>
      <c r="PC7" s="81"/>
      <c r="PD7" s="81"/>
      <c r="PE7" s="81"/>
      <c r="PF7" s="81"/>
      <c r="PG7" s="81"/>
      <c r="PH7" s="81"/>
      <c r="PI7" s="81"/>
      <c r="PJ7" s="81"/>
      <c r="PK7" s="81"/>
      <c r="PL7" s="81"/>
      <c r="PM7" s="81"/>
      <c r="PN7" s="81"/>
      <c r="PO7" s="81"/>
      <c r="PP7" s="81"/>
      <c r="PQ7" s="81"/>
      <c r="PR7" s="81"/>
      <c r="PS7" s="81"/>
      <c r="PT7" s="81"/>
      <c r="PU7" s="81"/>
      <c r="PV7" s="81"/>
      <c r="PW7" s="81"/>
      <c r="PX7" s="81"/>
      <c r="PY7" s="81"/>
      <c r="PZ7" s="81"/>
      <c r="QA7" s="81"/>
      <c r="QB7" s="81"/>
      <c r="QC7" s="81"/>
      <c r="QD7" s="81"/>
      <c r="QE7" s="81"/>
      <c r="QF7" s="81"/>
      <c r="QG7" s="81"/>
      <c r="QH7" s="81"/>
      <c r="QI7" s="81"/>
      <c r="QJ7" s="81"/>
      <c r="QK7" s="81"/>
      <c r="QL7" s="81"/>
      <c r="QM7" s="81"/>
      <c r="QN7" s="81"/>
      <c r="QO7" s="81"/>
      <c r="QP7" s="81"/>
      <c r="QQ7" s="81"/>
      <c r="QR7" s="81"/>
      <c r="QS7" s="81"/>
      <c r="QT7" s="81"/>
      <c r="QU7" s="81"/>
      <c r="QV7" s="81"/>
      <c r="QW7" s="81"/>
      <c r="QX7" s="81"/>
      <c r="QY7" s="81"/>
      <c r="QZ7" s="81"/>
      <c r="RA7" s="81"/>
      <c r="RB7" s="81"/>
      <c r="RC7" s="81"/>
      <c r="RD7" s="81"/>
      <c r="RE7" s="81"/>
      <c r="RF7" s="81"/>
      <c r="RG7" s="81"/>
      <c r="RH7" s="81"/>
      <c r="RI7" s="81"/>
      <c r="RJ7" s="81"/>
      <c r="RK7" s="81"/>
      <c r="RL7" s="81"/>
      <c r="RM7" s="81"/>
      <c r="RN7" s="81"/>
      <c r="RO7" s="81"/>
      <c r="RP7" s="81"/>
      <c r="RQ7" s="81"/>
      <c r="RR7" s="81"/>
      <c r="RS7" s="81"/>
      <c r="RT7" s="81"/>
      <c r="RU7" s="81"/>
      <c r="RV7" s="81"/>
      <c r="RW7" s="81"/>
      <c r="RX7" s="81"/>
      <c r="RY7" s="81"/>
      <c r="RZ7" s="81"/>
      <c r="SA7" s="81"/>
      <c r="SB7" s="81"/>
      <c r="SC7" s="81"/>
      <c r="SD7" s="81"/>
      <c r="SE7" s="81"/>
      <c r="SF7" s="81"/>
      <c r="SG7" s="81"/>
      <c r="SH7" s="81"/>
      <c r="SI7" s="81"/>
      <c r="SJ7" s="81"/>
      <c r="SK7" s="81"/>
      <c r="SL7" s="81"/>
      <c r="SM7" s="81"/>
      <c r="SN7" s="81"/>
      <c r="SO7" s="81"/>
      <c r="SP7" s="81"/>
      <c r="SQ7" s="81"/>
      <c r="SR7" s="81"/>
      <c r="SS7" s="81"/>
      <c r="ST7" s="81"/>
      <c r="SU7" s="81"/>
      <c r="SV7" s="81"/>
      <c r="SW7" s="81"/>
      <c r="SX7" s="81"/>
      <c r="SY7" s="81"/>
      <c r="SZ7" s="81"/>
      <c r="TA7" s="81"/>
      <c r="TB7" s="81"/>
      <c r="TC7" s="81"/>
      <c r="TD7" s="81"/>
      <c r="TE7" s="81"/>
      <c r="TF7" s="81"/>
      <c r="TG7" s="81"/>
      <c r="TH7" s="81"/>
      <c r="TI7" s="81"/>
      <c r="TJ7" s="81"/>
      <c r="TK7" s="81"/>
      <c r="TL7" s="81"/>
      <c r="TM7" s="81"/>
      <c r="TN7" s="81"/>
      <c r="TO7" s="81"/>
      <c r="TP7" s="81"/>
      <c r="TQ7" s="81"/>
      <c r="TR7" s="81"/>
      <c r="TS7" s="81"/>
      <c r="TT7" s="81"/>
      <c r="TU7" s="81"/>
      <c r="TV7" s="81"/>
      <c r="TW7" s="81"/>
      <c r="TX7" s="81"/>
      <c r="TY7" s="81"/>
      <c r="TZ7" s="81"/>
      <c r="UA7" s="81"/>
      <c r="UB7" s="81"/>
      <c r="UC7" s="81"/>
      <c r="UD7" s="81"/>
      <c r="UE7" s="81"/>
      <c r="UF7" s="81"/>
      <c r="UG7" s="81"/>
      <c r="UH7" s="81"/>
      <c r="UI7" s="81"/>
      <c r="UJ7" s="81"/>
      <c r="UK7" s="81"/>
      <c r="UL7" s="81"/>
      <c r="UM7" s="81"/>
      <c r="UN7" s="81"/>
      <c r="UO7" s="81"/>
      <c r="UP7" s="81"/>
      <c r="UQ7" s="81"/>
      <c r="UR7" s="81"/>
      <c r="US7" s="81"/>
      <c r="UT7" s="81"/>
      <c r="UU7" s="81"/>
      <c r="UV7" s="81"/>
      <c r="UW7" s="81"/>
      <c r="UX7" s="81"/>
      <c r="UY7" s="81"/>
      <c r="UZ7" s="81"/>
      <c r="VA7" s="81"/>
      <c r="VB7" s="81"/>
      <c r="VC7" s="81"/>
      <c r="VD7" s="81"/>
      <c r="VE7" s="81"/>
      <c r="VF7" s="81"/>
      <c r="VG7" s="81"/>
      <c r="VH7" s="81"/>
      <c r="VI7" s="81"/>
      <c r="VJ7" s="81"/>
      <c r="VK7" s="81"/>
      <c r="VL7" s="81"/>
      <c r="VM7" s="81"/>
      <c r="VN7" s="81"/>
      <c r="VO7" s="81"/>
      <c r="VP7" s="81"/>
      <c r="VQ7" s="81"/>
      <c r="VR7" s="81"/>
      <c r="VS7" s="81"/>
      <c r="VT7" s="81"/>
      <c r="VU7" s="81"/>
      <c r="VV7" s="81"/>
      <c r="VW7" s="81"/>
      <c r="VX7" s="81"/>
      <c r="VY7" s="81"/>
      <c r="VZ7" s="81"/>
      <c r="WA7" s="81"/>
      <c r="WB7" s="81"/>
      <c r="WC7" s="81"/>
      <c r="WD7" s="81"/>
      <c r="WE7" s="81"/>
      <c r="WF7" s="81"/>
      <c r="WG7" s="81"/>
      <c r="WH7" s="81"/>
      <c r="WI7" s="81"/>
      <c r="WJ7" s="81"/>
      <c r="WK7" s="81"/>
      <c r="WL7" s="81"/>
      <c r="WM7" s="81"/>
      <c r="WN7" s="81"/>
      <c r="WO7" s="81"/>
      <c r="WP7" s="81"/>
      <c r="WQ7" s="81"/>
      <c r="WR7" s="81"/>
      <c r="WS7" s="81"/>
      <c r="WT7" s="81"/>
      <c r="WU7" s="81"/>
      <c r="WV7" s="81"/>
      <c r="WW7" s="81"/>
      <c r="WX7" s="81"/>
      <c r="WY7" s="81"/>
      <c r="WZ7" s="81"/>
      <c r="XA7" s="81"/>
      <c r="XB7" s="81"/>
      <c r="XC7" s="81"/>
      <c r="XD7" s="81"/>
      <c r="XE7" s="81"/>
      <c r="XF7" s="81"/>
      <c r="XG7" s="81"/>
      <c r="XH7" s="81"/>
      <c r="XI7" s="81"/>
      <c r="XJ7" s="81"/>
      <c r="XK7" s="81"/>
      <c r="XL7" s="81"/>
      <c r="XM7" s="81"/>
      <c r="XN7" s="81"/>
      <c r="XO7" s="81"/>
      <c r="XP7" s="81"/>
      <c r="XQ7" s="81"/>
      <c r="XR7" s="81"/>
      <c r="XS7" s="81"/>
      <c r="XT7" s="81"/>
      <c r="XU7" s="81"/>
      <c r="XV7" s="81"/>
      <c r="XW7" s="81"/>
      <c r="XX7" s="81"/>
      <c r="XY7" s="81"/>
      <c r="XZ7" s="81"/>
      <c r="YA7" s="81"/>
      <c r="YB7" s="81"/>
      <c r="YC7" s="81"/>
      <c r="YD7" s="81"/>
      <c r="YE7" s="81"/>
      <c r="YF7" s="81"/>
      <c r="YG7" s="81"/>
      <c r="YH7" s="81"/>
      <c r="YI7" s="81"/>
      <c r="YJ7" s="81"/>
      <c r="YK7" s="81"/>
      <c r="YL7" s="81"/>
      <c r="YM7" s="81"/>
      <c r="YN7" s="81"/>
      <c r="YO7" s="81"/>
      <c r="YP7" s="81"/>
      <c r="YQ7" s="81"/>
      <c r="YR7" s="81"/>
      <c r="YS7" s="81"/>
      <c r="YT7" s="81"/>
      <c r="YU7" s="81"/>
      <c r="YV7" s="81"/>
      <c r="YW7" s="81"/>
      <c r="YX7" s="81"/>
      <c r="YY7" s="81"/>
      <c r="YZ7" s="81"/>
      <c r="ZA7" s="81"/>
      <c r="ZB7" s="81"/>
      <c r="ZC7" s="81"/>
      <c r="ZD7" s="81"/>
      <c r="ZE7" s="81"/>
      <c r="ZF7" s="81"/>
      <c r="ZG7" s="81"/>
      <c r="ZH7" s="81"/>
      <c r="ZI7" s="81"/>
      <c r="ZJ7" s="81"/>
      <c r="ZK7" s="81"/>
      <c r="ZL7" s="81"/>
      <c r="ZM7" s="81"/>
      <c r="ZN7" s="81"/>
      <c r="ZO7" s="81"/>
      <c r="ZP7" s="81"/>
      <c r="ZQ7" s="81"/>
      <c r="ZR7" s="81"/>
      <c r="ZS7" s="81"/>
      <c r="ZT7" s="81"/>
      <c r="ZU7" s="81"/>
      <c r="ZV7" s="81"/>
      <c r="ZW7" s="81"/>
      <c r="ZX7" s="81"/>
      <c r="ZY7" s="81"/>
      <c r="ZZ7" s="81"/>
      <c r="AAA7" s="81"/>
      <c r="AAB7" s="81"/>
      <c r="AAC7" s="81"/>
      <c r="AAD7" s="81"/>
      <c r="AAE7" s="81"/>
      <c r="AAF7" s="81"/>
      <c r="AAG7" s="81"/>
      <c r="AAH7" s="81"/>
      <c r="AAI7" s="81"/>
      <c r="AAJ7" s="81"/>
      <c r="AAK7" s="81"/>
      <c r="AAL7" s="81"/>
      <c r="AAM7" s="81"/>
      <c r="AAN7" s="81"/>
      <c r="AAO7" s="81"/>
      <c r="AAP7" s="81"/>
      <c r="AAQ7" s="81"/>
      <c r="AAR7" s="81"/>
      <c r="AAS7" s="81"/>
      <c r="AAT7" s="81"/>
      <c r="AAU7" s="81"/>
      <c r="AAV7" s="81"/>
      <c r="AAW7" s="81"/>
      <c r="AAX7" s="81"/>
      <c r="AAY7" s="81"/>
      <c r="AAZ7" s="81"/>
      <c r="ABA7" s="81"/>
      <c r="ABB7" s="81"/>
      <c r="ABC7" s="81"/>
      <c r="ABD7" s="81"/>
      <c r="ABE7" s="81"/>
      <c r="ABF7" s="81"/>
      <c r="ABG7" s="81"/>
      <c r="ABH7" s="81"/>
      <c r="ABI7" s="81"/>
      <c r="ABJ7" s="81"/>
      <c r="ABK7" s="81"/>
      <c r="ABL7" s="81"/>
      <c r="ABM7" s="81"/>
      <c r="ABN7" s="81"/>
      <c r="ABO7" s="81"/>
      <c r="ABP7" s="81"/>
      <c r="ABQ7" s="81"/>
      <c r="ABR7" s="81"/>
      <c r="ABS7" s="81"/>
      <c r="ABT7" s="81"/>
      <c r="ABU7" s="81"/>
      <c r="ABV7" s="81"/>
      <c r="ABW7" s="81"/>
      <c r="ABX7" s="81"/>
      <c r="ABY7" s="81"/>
      <c r="ABZ7" s="81"/>
      <c r="ACA7" s="81"/>
      <c r="ACB7" s="81"/>
      <c r="ACC7" s="81"/>
      <c r="ACD7" s="81"/>
      <c r="ACE7" s="81"/>
      <c r="ACF7" s="81"/>
      <c r="ACG7" s="81"/>
      <c r="ACH7" s="81"/>
      <c r="ACI7" s="81"/>
      <c r="ACJ7" s="81"/>
      <c r="ACK7" s="81"/>
      <c r="ACL7" s="81"/>
      <c r="ACM7" s="81"/>
      <c r="ACN7" s="81"/>
      <c r="ACO7" s="81"/>
      <c r="ACP7" s="81"/>
      <c r="ACQ7" s="81"/>
      <c r="ACR7" s="81"/>
      <c r="ACS7" s="81"/>
      <c r="ACT7" s="81"/>
      <c r="ACU7" s="81"/>
      <c r="ACV7" s="81"/>
      <c r="ACW7" s="81"/>
      <c r="ACX7" s="81"/>
      <c r="ACY7" s="81"/>
      <c r="ACZ7" s="81"/>
      <c r="ADA7" s="81"/>
      <c r="ADB7" s="81"/>
      <c r="ADC7" s="81"/>
      <c r="ADD7" s="81"/>
      <c r="ADE7" s="81"/>
      <c r="ADF7" s="81"/>
      <c r="ADG7" s="81"/>
      <c r="ADH7" s="81"/>
      <c r="ADI7" s="81"/>
      <c r="ADJ7" s="81"/>
      <c r="ADK7" s="81"/>
      <c r="ADL7" s="81"/>
      <c r="ADM7" s="81"/>
      <c r="ADN7" s="81"/>
      <c r="ADO7" s="81"/>
      <c r="ADP7" s="81"/>
      <c r="ADQ7" s="81"/>
      <c r="ADR7" s="81"/>
      <c r="ADS7" s="81"/>
      <c r="ADT7" s="81"/>
      <c r="ADU7" s="81"/>
      <c r="ADV7" s="81"/>
      <c r="ADW7" s="81"/>
      <c r="ADX7" s="81"/>
      <c r="ADY7" s="81"/>
      <c r="ADZ7" s="81"/>
      <c r="AEA7" s="81"/>
      <c r="AEB7" s="81"/>
      <c r="AEC7" s="81"/>
      <c r="AED7" s="81"/>
      <c r="AEE7" s="81"/>
      <c r="AEF7" s="81"/>
      <c r="AEG7" s="81"/>
      <c r="AEH7" s="81"/>
      <c r="AEI7" s="81"/>
      <c r="AEJ7" s="81"/>
      <c r="AEK7" s="81"/>
      <c r="AEL7" s="81"/>
      <c r="AEM7" s="81"/>
      <c r="AEN7" s="81"/>
      <c r="AEO7" s="81"/>
      <c r="AEP7" s="81"/>
      <c r="AEQ7" s="81"/>
      <c r="AER7" s="81"/>
      <c r="AES7" s="81"/>
      <c r="AET7" s="81"/>
      <c r="AEU7" s="81"/>
      <c r="AEV7" s="81"/>
      <c r="AEW7" s="81"/>
      <c r="AEX7" s="81"/>
      <c r="AEY7" s="81"/>
      <c r="AEZ7" s="81"/>
      <c r="AFA7" s="81"/>
      <c r="AFB7" s="81"/>
      <c r="AFC7" s="81"/>
      <c r="AFD7" s="81"/>
      <c r="AFE7" s="81"/>
      <c r="AFF7" s="81"/>
      <c r="AFG7" s="81"/>
      <c r="AFH7" s="81"/>
      <c r="AFI7" s="81"/>
      <c r="AFJ7" s="81"/>
      <c r="AFK7" s="81"/>
      <c r="AFL7" s="81"/>
      <c r="AFM7" s="81"/>
      <c r="AFN7" s="81"/>
      <c r="AFO7" s="81"/>
      <c r="AFP7" s="81"/>
      <c r="AFQ7" s="81"/>
      <c r="AFR7" s="81"/>
      <c r="AFS7" s="81"/>
      <c r="AFT7" s="81"/>
      <c r="AFU7" s="81"/>
      <c r="AFV7" s="81"/>
      <c r="AFW7" s="81"/>
      <c r="AFX7" s="81"/>
      <c r="AFY7" s="81"/>
      <c r="AFZ7" s="81"/>
      <c r="AGA7" s="81"/>
      <c r="AGB7" s="81"/>
      <c r="AGC7" s="81"/>
      <c r="AGD7" s="81"/>
      <c r="AGE7" s="81"/>
      <c r="AGF7" s="81"/>
      <c r="AGG7" s="81"/>
      <c r="AGH7" s="81"/>
      <c r="AGI7" s="81"/>
      <c r="AGJ7" s="81"/>
      <c r="AGK7" s="81"/>
      <c r="AGL7" s="81"/>
      <c r="AGM7" s="81"/>
      <c r="AGN7" s="81"/>
      <c r="AGO7" s="81"/>
      <c r="AGP7" s="81"/>
      <c r="AGQ7" s="81"/>
      <c r="AGR7" s="81"/>
      <c r="AGS7" s="81"/>
      <c r="AGT7" s="81"/>
      <c r="AGU7" s="81"/>
      <c r="AGV7" s="81"/>
      <c r="AGW7" s="81"/>
      <c r="AGX7" s="81"/>
      <c r="AGY7" s="81"/>
      <c r="AGZ7" s="81"/>
      <c r="AHA7" s="81"/>
      <c r="AHB7" s="81"/>
      <c r="AHC7" s="81"/>
      <c r="AHD7" s="81"/>
      <c r="AHE7" s="81"/>
      <c r="AHF7" s="81"/>
      <c r="AHG7" s="81"/>
      <c r="AHH7" s="81"/>
      <c r="AHI7" s="81"/>
      <c r="AHJ7" s="81"/>
      <c r="AHK7" s="81"/>
      <c r="AHL7" s="81"/>
      <c r="AHM7" s="81"/>
      <c r="AHN7" s="81"/>
      <c r="AHO7" s="81"/>
      <c r="AHP7" s="81"/>
      <c r="AHQ7" s="81"/>
      <c r="AHR7" s="81"/>
      <c r="AHS7" s="81"/>
      <c r="AHT7" s="81"/>
      <c r="AHU7" s="81"/>
      <c r="AHV7" s="81"/>
      <c r="AHW7" s="81"/>
      <c r="AHX7" s="81"/>
      <c r="AHY7" s="81"/>
      <c r="AHZ7" s="81"/>
      <c r="AIA7" s="81"/>
      <c r="AIB7" s="81"/>
      <c r="AIC7" s="81"/>
      <c r="AID7" s="81"/>
      <c r="AIE7" s="81"/>
      <c r="AIF7" s="81"/>
      <c r="AIG7" s="81"/>
      <c r="AIH7" s="81"/>
      <c r="AII7" s="81"/>
      <c r="AIJ7" s="81"/>
      <c r="AIK7" s="81"/>
      <c r="AIL7" s="81"/>
      <c r="AIM7" s="81"/>
      <c r="AIN7" s="81"/>
      <c r="AIO7" s="81"/>
      <c r="AIP7" s="81"/>
      <c r="AIQ7" s="81"/>
      <c r="AIR7" s="81"/>
      <c r="AIS7" s="81"/>
      <c r="AIT7" s="81"/>
      <c r="AIU7" s="81"/>
      <c r="AIV7" s="81"/>
      <c r="AIW7" s="81"/>
      <c r="AIX7" s="81"/>
      <c r="AIY7" s="81"/>
      <c r="AIZ7" s="81"/>
      <c r="AJA7" s="81"/>
      <c r="AJB7" s="81"/>
      <c r="AJC7" s="81"/>
      <c r="AJD7" s="81"/>
      <c r="AJE7" s="81"/>
      <c r="AJF7" s="81"/>
      <c r="AJG7" s="81"/>
      <c r="AJH7" s="81"/>
      <c r="AJI7" s="81"/>
      <c r="AJJ7" s="81"/>
      <c r="AJK7" s="81"/>
      <c r="AJL7" s="81"/>
      <c r="AJM7" s="81"/>
      <c r="AJN7" s="81"/>
      <c r="AJO7" s="81"/>
      <c r="AJP7" s="81"/>
      <c r="AJQ7" s="81"/>
      <c r="AJR7" s="81"/>
      <c r="AJS7" s="81"/>
      <c r="AJT7" s="81"/>
      <c r="AJU7" s="81"/>
      <c r="AJV7" s="81"/>
      <c r="AJW7" s="81"/>
      <c r="AJX7" s="81"/>
      <c r="AJY7" s="81"/>
      <c r="AJZ7" s="81"/>
      <c r="AKA7" s="81"/>
      <c r="AKB7" s="81"/>
      <c r="AKC7" s="81"/>
      <c r="AKD7" s="81"/>
      <c r="AKE7" s="81"/>
      <c r="AKF7" s="81"/>
      <c r="AKG7" s="81"/>
      <c r="AKH7" s="81"/>
      <c r="AKI7" s="81"/>
      <c r="AKJ7" s="81"/>
      <c r="AKK7" s="81"/>
      <c r="AKL7" s="81"/>
      <c r="AKM7" s="81"/>
      <c r="AKN7" s="81"/>
      <c r="AKO7" s="81"/>
      <c r="AKP7" s="81"/>
      <c r="AKQ7" s="81"/>
      <c r="AKR7" s="81"/>
      <c r="AKS7" s="81"/>
      <c r="AKT7" s="81"/>
      <c r="AKU7" s="81"/>
      <c r="AKV7" s="81"/>
      <c r="AKW7" s="81"/>
      <c r="AKX7" s="81"/>
      <c r="AKY7" s="81"/>
      <c r="AKZ7" s="81"/>
      <c r="ALA7" s="81"/>
      <c r="ALB7" s="81"/>
      <c r="ALC7" s="81"/>
      <c r="ALD7" s="81"/>
      <c r="ALE7" s="81"/>
      <c r="ALF7" s="81"/>
      <c r="ALG7" s="81"/>
      <c r="ALH7" s="81"/>
      <c r="ALI7" s="81"/>
      <c r="ALJ7" s="81"/>
      <c r="ALK7" s="81"/>
      <c r="ALL7" s="81"/>
      <c r="ALM7" s="81"/>
      <c r="ALN7" s="81"/>
      <c r="ALO7" s="81"/>
      <c r="ALP7" s="81"/>
      <c r="ALQ7" s="81"/>
      <c r="ALR7" s="81"/>
      <c r="ALS7" s="81"/>
      <c r="ALT7" s="81"/>
      <c r="ALU7" s="81"/>
      <c r="ALV7" s="81"/>
      <c r="ALW7" s="81"/>
      <c r="ALX7" s="81"/>
      <c r="ALY7" s="81"/>
      <c r="ALZ7" s="81"/>
      <c r="AMA7" s="81"/>
      <c r="AMB7" s="81"/>
      <c r="AMC7" s="81"/>
      <c r="AMD7" s="81"/>
      <c r="AME7" s="81"/>
      <c r="AMF7" s="81"/>
      <c r="AMG7" s="81"/>
      <c r="AMH7" s="81"/>
      <c r="AMI7" s="81"/>
      <c r="AMJ7" s="81"/>
    </row>
    <row r="8" spans="1:1024" x14ac:dyDescent="0.25">
      <c r="A8" s="534">
        <v>1</v>
      </c>
      <c r="B8" s="535" t="s">
        <v>31</v>
      </c>
      <c r="C8" s="536" t="s">
        <v>32</v>
      </c>
      <c r="D8" s="537" t="s">
        <v>33</v>
      </c>
      <c r="E8" s="538" t="s">
        <v>34</v>
      </c>
      <c r="F8" s="538" t="s">
        <v>35</v>
      </c>
      <c r="G8" s="539" t="s">
        <v>37</v>
      </c>
      <c r="H8" s="539" t="s">
        <v>36</v>
      </c>
      <c r="I8" s="539" t="s">
        <v>38</v>
      </c>
    </row>
    <row r="9" spans="1:1024" x14ac:dyDescent="0.25">
      <c r="A9" s="83"/>
      <c r="B9" s="505" t="s">
        <v>323</v>
      </c>
      <c r="C9" s="85">
        <v>3000000</v>
      </c>
      <c r="D9" s="86">
        <v>0.39800000000000002</v>
      </c>
      <c r="E9" s="87">
        <v>0</v>
      </c>
      <c r="F9" s="87"/>
      <c r="G9" s="88">
        <v>0.15</v>
      </c>
      <c r="H9" s="85">
        <f>(C9+(C9*D9))</f>
        <v>4194000</v>
      </c>
      <c r="I9" s="87">
        <f>(H9*G9)</f>
        <v>629100</v>
      </c>
    </row>
    <row r="10" spans="1:1024" x14ac:dyDescent="0.25">
      <c r="A10" s="84">
        <v>1.01</v>
      </c>
      <c r="B10" s="505" t="s">
        <v>39</v>
      </c>
      <c r="C10" s="85">
        <v>2400000</v>
      </c>
      <c r="D10" s="86">
        <v>0.39800000000000002</v>
      </c>
      <c r="E10" s="87">
        <v>0</v>
      </c>
      <c r="F10" s="87"/>
      <c r="G10" s="88">
        <v>0.2</v>
      </c>
      <c r="H10" s="85">
        <f t="shared" ref="H10:H12" si="0">(C10+(C10*D10))</f>
        <v>3355200</v>
      </c>
      <c r="I10" s="87">
        <f>(H10*G10)</f>
        <v>671040</v>
      </c>
    </row>
    <row r="11" spans="1:1024" x14ac:dyDescent="0.25">
      <c r="A11" s="90">
        <v>1.02</v>
      </c>
      <c r="B11" s="505" t="s">
        <v>40</v>
      </c>
      <c r="C11" s="91">
        <v>1600000</v>
      </c>
      <c r="D11" s="86">
        <v>0.46800000000000003</v>
      </c>
      <c r="E11" s="87">
        <v>0</v>
      </c>
      <c r="F11" s="87">
        <v>63000</v>
      </c>
      <c r="G11" s="88">
        <v>0.2</v>
      </c>
      <c r="H11" s="85">
        <f t="shared" si="0"/>
        <v>2348800</v>
      </c>
      <c r="I11" s="87">
        <f>((H11*G11)+F11)</f>
        <v>532760</v>
      </c>
    </row>
    <row r="12" spans="1:1024" x14ac:dyDescent="0.25">
      <c r="A12" s="92">
        <v>1.03</v>
      </c>
      <c r="B12" s="505" t="s">
        <v>41</v>
      </c>
      <c r="C12" s="91">
        <v>1725360</v>
      </c>
      <c r="D12" s="86">
        <v>0.51800000000000002</v>
      </c>
      <c r="E12" s="87">
        <v>0</v>
      </c>
      <c r="F12" s="87">
        <v>126000</v>
      </c>
      <c r="G12" s="88">
        <v>0.75</v>
      </c>
      <c r="H12" s="85">
        <f t="shared" si="0"/>
        <v>2619096.48</v>
      </c>
      <c r="I12" s="87">
        <f>((H12*G12)+F12)</f>
        <v>2090322.3599999999</v>
      </c>
    </row>
    <row r="13" spans="1:1024" ht="17.25" customHeight="1" x14ac:dyDescent="0.25">
      <c r="A13" s="93"/>
      <c r="B13" s="597" t="s">
        <v>36</v>
      </c>
      <c r="C13" s="597"/>
      <c r="D13" s="597"/>
      <c r="E13" s="597"/>
      <c r="F13" s="597"/>
      <c r="G13" s="597"/>
      <c r="H13" s="597"/>
      <c r="I13" s="94">
        <f>SUM(I9:I12)</f>
        <v>3923222.36</v>
      </c>
      <c r="K13" s="476"/>
    </row>
    <row r="14" spans="1:1024" ht="17.25" customHeight="1" x14ac:dyDescent="0.25">
      <c r="A14" s="83">
        <v>2</v>
      </c>
      <c r="B14" s="598" t="s">
        <v>42</v>
      </c>
      <c r="C14" s="598"/>
      <c r="D14" s="598"/>
      <c r="E14" s="598"/>
      <c r="F14" s="95" t="s">
        <v>43</v>
      </c>
      <c r="G14" s="94" t="s">
        <v>44</v>
      </c>
      <c r="H14" s="94" t="s">
        <v>45</v>
      </c>
      <c r="I14" s="94" t="s">
        <v>46</v>
      </c>
    </row>
    <row r="15" spans="1:1024" ht="17.25" customHeight="1" x14ac:dyDescent="0.25">
      <c r="A15" s="96">
        <v>2.06</v>
      </c>
      <c r="B15" s="588" t="s">
        <v>47</v>
      </c>
      <c r="C15" s="588"/>
      <c r="D15" s="588"/>
      <c r="E15" s="588"/>
      <c r="F15" s="504">
        <v>1</v>
      </c>
      <c r="G15" s="97" t="s">
        <v>48</v>
      </c>
      <c r="H15" s="97">
        <v>86126.37</v>
      </c>
      <c r="I15" s="87">
        <f>+F15*H15</f>
        <v>86126.37</v>
      </c>
    </row>
    <row r="16" spans="1:1024" ht="17.25" customHeight="1" x14ac:dyDescent="0.25">
      <c r="A16" s="96">
        <v>2.0699999999999998</v>
      </c>
      <c r="B16" s="588" t="s">
        <v>49</v>
      </c>
      <c r="C16" s="588"/>
      <c r="D16" s="588"/>
      <c r="E16" s="588"/>
      <c r="F16" s="504">
        <v>1</v>
      </c>
      <c r="G16" s="97" t="s">
        <v>48</v>
      </c>
      <c r="H16" s="97">
        <v>101093.82</v>
      </c>
      <c r="I16" s="87">
        <f>+F16*H16</f>
        <v>101093.82</v>
      </c>
    </row>
    <row r="17" spans="1:14" s="78" customFormat="1" ht="17.25" customHeight="1" x14ac:dyDescent="0.25">
      <c r="A17" s="96">
        <v>2.09</v>
      </c>
      <c r="B17" s="588" t="s">
        <v>50</v>
      </c>
      <c r="C17" s="588"/>
      <c r="D17" s="588"/>
      <c r="E17" s="588"/>
      <c r="F17" s="504">
        <v>1</v>
      </c>
      <c r="G17" s="97" t="s">
        <v>48</v>
      </c>
      <c r="H17" s="97">
        <v>5000</v>
      </c>
      <c r="I17" s="87">
        <f>+F17*H17</f>
        <v>5000</v>
      </c>
    </row>
    <row r="18" spans="1:14" s="78" customFormat="1" ht="17.25" customHeight="1" x14ac:dyDescent="0.25">
      <c r="A18" s="93"/>
      <c r="B18" s="597" t="s">
        <v>36</v>
      </c>
      <c r="C18" s="597"/>
      <c r="D18" s="597"/>
      <c r="E18" s="597"/>
      <c r="F18" s="597"/>
      <c r="G18" s="597"/>
      <c r="H18" s="597"/>
      <c r="I18" s="94">
        <f>SUM(I15:I17)</f>
        <v>192220.19</v>
      </c>
      <c r="M18" s="485"/>
      <c r="N18" s="486"/>
    </row>
    <row r="19" spans="1:14" s="78" customFormat="1" ht="17.25" customHeight="1" x14ac:dyDescent="0.25">
      <c r="A19" s="83">
        <v>3</v>
      </c>
      <c r="B19" s="598" t="s">
        <v>51</v>
      </c>
      <c r="C19" s="598"/>
      <c r="D19" s="598"/>
      <c r="E19" s="598"/>
      <c r="F19" s="95" t="s">
        <v>52</v>
      </c>
      <c r="G19" s="94" t="s">
        <v>53</v>
      </c>
      <c r="H19" s="94" t="s">
        <v>54</v>
      </c>
      <c r="I19" s="94" t="s">
        <v>46</v>
      </c>
      <c r="M19" s="485"/>
      <c r="N19" s="486"/>
    </row>
    <row r="20" spans="1:14" s="78" customFormat="1" ht="17.25" customHeight="1" x14ac:dyDescent="0.3">
      <c r="A20" s="90">
        <v>3</v>
      </c>
      <c r="B20" s="98" t="s">
        <v>55</v>
      </c>
      <c r="C20" s="99"/>
      <c r="D20" s="89">
        <v>1</v>
      </c>
      <c r="E20" s="99"/>
      <c r="F20" s="100">
        <v>4.0000000000000001E-3</v>
      </c>
      <c r="G20" s="101">
        <f>'PPTO '!G29</f>
        <v>526513726.97000003</v>
      </c>
      <c r="H20" s="102">
        <f t="shared" ref="H20:H26" si="1">(G20*F20)*D20</f>
        <v>2106054.9078800003</v>
      </c>
      <c r="I20" s="87">
        <f>H20/3</f>
        <v>702018.30262666673</v>
      </c>
    </row>
    <row r="21" spans="1:14" s="78" customFormat="1" ht="17.25" customHeight="1" x14ac:dyDescent="0.3">
      <c r="A21" s="90">
        <v>3.01</v>
      </c>
      <c r="B21" s="103" t="s">
        <v>56</v>
      </c>
      <c r="C21" s="99"/>
      <c r="D21" s="89">
        <v>1</v>
      </c>
      <c r="E21" s="99"/>
      <c r="F21" s="100">
        <v>5.0000000000000001E-3</v>
      </c>
      <c r="G21" s="101">
        <f>'PPTO '!G29</f>
        <v>526513726.97000003</v>
      </c>
      <c r="H21" s="102">
        <f t="shared" si="1"/>
        <v>2632568.63485</v>
      </c>
      <c r="I21" s="87">
        <f t="shared" ref="I21:I26" si="2">H21/3</f>
        <v>877522.87828333338</v>
      </c>
      <c r="M21" s="485"/>
      <c r="N21" s="486"/>
    </row>
    <row r="22" spans="1:14" s="78" customFormat="1" ht="17.25" customHeight="1" x14ac:dyDescent="0.3">
      <c r="A22" s="90">
        <v>3.02</v>
      </c>
      <c r="B22" s="104" t="s">
        <v>57</v>
      </c>
      <c r="C22" s="99"/>
      <c r="D22" s="89">
        <v>1</v>
      </c>
      <c r="E22" s="99"/>
      <c r="F22" s="100">
        <v>0.04</v>
      </c>
      <c r="G22" s="101">
        <f>'PPTO '!G29</f>
        <v>526513726.97000003</v>
      </c>
      <c r="H22" s="102">
        <f t="shared" si="1"/>
        <v>21060549.0788</v>
      </c>
      <c r="I22" s="87">
        <f t="shared" si="2"/>
        <v>7020183.0262666671</v>
      </c>
      <c r="M22" s="485"/>
      <c r="N22" s="486"/>
    </row>
    <row r="23" spans="1:14" s="78" customFormat="1" ht="17.25" customHeight="1" x14ac:dyDescent="0.3">
      <c r="A23" s="90">
        <v>3.03</v>
      </c>
      <c r="B23" s="104" t="s">
        <v>58</v>
      </c>
      <c r="C23" s="99"/>
      <c r="D23" s="89">
        <v>1</v>
      </c>
      <c r="E23" s="99"/>
      <c r="F23" s="100">
        <v>1.4999999999999999E-2</v>
      </c>
      <c r="G23" s="101">
        <f>'PPTO '!G29</f>
        <v>526513726.97000003</v>
      </c>
      <c r="H23" s="102">
        <f t="shared" si="1"/>
        <v>7897705.9045500001</v>
      </c>
      <c r="I23" s="87">
        <f t="shared" si="2"/>
        <v>2632568.63485</v>
      </c>
    </row>
    <row r="24" spans="1:14" s="78" customFormat="1" ht="17.25" customHeight="1" x14ac:dyDescent="0.3">
      <c r="A24" s="96">
        <v>3.04</v>
      </c>
      <c r="B24" s="105" t="s">
        <v>59</v>
      </c>
      <c r="C24" s="105"/>
      <c r="D24" s="89">
        <v>1</v>
      </c>
      <c r="E24" s="105"/>
      <c r="F24" s="100">
        <v>0</v>
      </c>
      <c r="G24" s="101">
        <f>'PPTO '!G29</f>
        <v>526513726.97000003</v>
      </c>
      <c r="H24" s="102">
        <f t="shared" si="1"/>
        <v>0</v>
      </c>
      <c r="I24" s="87">
        <f t="shared" si="2"/>
        <v>0</v>
      </c>
      <c r="M24" s="485"/>
      <c r="N24" s="486"/>
    </row>
    <row r="25" spans="1:14" s="78" customFormat="1" ht="17.25" customHeight="1" x14ac:dyDescent="0.3">
      <c r="A25" s="96">
        <v>3.05</v>
      </c>
      <c r="B25" s="105" t="s">
        <v>60</v>
      </c>
      <c r="C25" s="105"/>
      <c r="D25" s="89">
        <v>1</v>
      </c>
      <c r="E25" s="105"/>
      <c r="F25" s="100">
        <v>0.05</v>
      </c>
      <c r="G25" s="101">
        <f>'PPTO '!G29</f>
        <v>526513726.97000003</v>
      </c>
      <c r="H25" s="102">
        <f t="shared" si="1"/>
        <v>26325686.348500002</v>
      </c>
      <c r="I25" s="87">
        <f t="shared" si="2"/>
        <v>8775228.7828333341</v>
      </c>
      <c r="M25" s="485"/>
      <c r="N25" s="486"/>
    </row>
    <row r="26" spans="1:14" s="78" customFormat="1" ht="36" customHeight="1" x14ac:dyDescent="0.3">
      <c r="A26" s="96">
        <v>3.06</v>
      </c>
      <c r="B26" s="105" t="s">
        <v>340</v>
      </c>
      <c r="C26" s="105"/>
      <c r="D26" s="89">
        <v>1</v>
      </c>
      <c r="E26" s="105"/>
      <c r="F26" s="100">
        <v>6.45E-3</v>
      </c>
      <c r="G26" s="101">
        <f>'PPTO '!G29</f>
        <v>526513726.97000003</v>
      </c>
      <c r="H26" s="102">
        <f t="shared" si="1"/>
        <v>3396013.5389565001</v>
      </c>
      <c r="I26" s="87">
        <f t="shared" si="2"/>
        <v>1132004.5129855</v>
      </c>
    </row>
    <row r="27" spans="1:14" s="78" customFormat="1" ht="17.25" customHeight="1" x14ac:dyDescent="0.25">
      <c r="A27" s="514"/>
      <c r="B27" s="597" t="s">
        <v>36</v>
      </c>
      <c r="C27" s="597"/>
      <c r="D27" s="597"/>
      <c r="E27" s="597"/>
      <c r="F27" s="597"/>
      <c r="G27" s="597"/>
      <c r="H27" s="597"/>
      <c r="I27" s="94">
        <f>SUM(I20:I26)</f>
        <v>21139526.137845501</v>
      </c>
      <c r="K27" s="476"/>
      <c r="M27" s="484"/>
    </row>
    <row r="28" spans="1:14" s="78" customFormat="1" ht="19.5" thickBot="1" x14ac:dyDescent="0.3">
      <c r="A28" s="540"/>
      <c r="B28" s="600"/>
      <c r="C28" s="600"/>
      <c r="D28" s="600"/>
      <c r="E28" s="600"/>
      <c r="F28" s="601" t="s">
        <v>61</v>
      </c>
      <c r="G28" s="601"/>
      <c r="H28" s="601"/>
      <c r="I28" s="541">
        <f>(I13+I18+(I27))</f>
        <v>25254968.687845502</v>
      </c>
      <c r="J28" s="476"/>
      <c r="K28" s="485"/>
      <c r="M28" s="484"/>
    </row>
    <row r="29" spans="1:14" s="78" customFormat="1" x14ac:dyDescent="0.25">
      <c r="A29" s="515"/>
      <c r="B29" s="611"/>
      <c r="C29" s="611"/>
      <c r="D29" s="611"/>
      <c r="E29" s="611"/>
      <c r="F29" s="612" t="s">
        <v>62</v>
      </c>
      <c r="G29" s="612"/>
      <c r="H29" s="612"/>
      <c r="I29" s="533" t="s">
        <v>322</v>
      </c>
      <c r="K29" s="483"/>
    </row>
    <row r="30" spans="1:14" s="78" customFormat="1" x14ac:dyDescent="0.25">
      <c r="A30" s="515"/>
      <c r="B30" s="611"/>
      <c r="C30" s="611"/>
      <c r="D30" s="611"/>
      <c r="E30" s="611"/>
      <c r="F30" s="613" t="s">
        <v>63</v>
      </c>
      <c r="G30" s="613"/>
      <c r="H30" s="613"/>
      <c r="I30" s="551">
        <f>I28*3</f>
        <v>75764906.06353651</v>
      </c>
    </row>
    <row r="31" spans="1:14" s="78" customFormat="1" x14ac:dyDescent="0.25">
      <c r="A31" s="106"/>
      <c r="C31" s="510"/>
      <c r="E31" s="511"/>
      <c r="F31" s="613" t="s">
        <v>64</v>
      </c>
      <c r="G31" s="613"/>
      <c r="H31" s="613"/>
      <c r="I31" s="516">
        <v>0.14135695540000001</v>
      </c>
    </row>
    <row r="32" spans="1:14" s="78" customFormat="1" ht="9.6" customHeight="1" thickBot="1" x14ac:dyDescent="0.3">
      <c r="A32" s="106"/>
      <c r="C32" s="510"/>
      <c r="E32" s="511"/>
      <c r="F32" s="512"/>
      <c r="G32" s="512"/>
      <c r="H32" s="512"/>
      <c r="I32" s="513"/>
    </row>
    <row r="33" spans="1:11" s="78" customFormat="1" x14ac:dyDescent="0.25">
      <c r="A33" s="602" t="s">
        <v>357</v>
      </c>
      <c r="B33" s="603"/>
      <c r="C33" s="603"/>
      <c r="D33" s="603"/>
      <c r="E33" s="603"/>
      <c r="F33" s="603"/>
      <c r="G33" s="603"/>
      <c r="H33" s="603"/>
      <c r="I33" s="604"/>
    </row>
    <row r="34" spans="1:11" s="78" customFormat="1" ht="30.6" customHeight="1" x14ac:dyDescent="0.25">
      <c r="A34" s="83">
        <v>1</v>
      </c>
      <c r="B34" s="518" t="s">
        <v>31</v>
      </c>
      <c r="C34" s="518" t="s">
        <v>32</v>
      </c>
      <c r="D34" s="519" t="s">
        <v>33</v>
      </c>
      <c r="E34" s="520" t="s">
        <v>34</v>
      </c>
      <c r="F34" s="520" t="s">
        <v>35</v>
      </c>
      <c r="G34" s="521" t="s">
        <v>37</v>
      </c>
      <c r="H34" s="521" t="s">
        <v>36</v>
      </c>
      <c r="I34" s="521" t="s">
        <v>38</v>
      </c>
    </row>
    <row r="35" spans="1:11" s="78" customFormat="1" x14ac:dyDescent="0.3">
      <c r="A35" s="542">
        <v>1.01</v>
      </c>
      <c r="B35" s="522" t="s">
        <v>359</v>
      </c>
      <c r="C35" s="523">
        <v>3824730.6</v>
      </c>
      <c r="D35" s="86">
        <v>0.46800000000000003</v>
      </c>
      <c r="E35" s="529" t="s">
        <v>361</v>
      </c>
      <c r="F35" s="523" t="s">
        <v>361</v>
      </c>
      <c r="G35" s="524">
        <v>1</v>
      </c>
      <c r="H35" s="85">
        <f>C35+(C35*D35)*G35</f>
        <v>5614704.5208000001</v>
      </c>
      <c r="I35" s="87">
        <f>H35*3</f>
        <v>16844113.562399998</v>
      </c>
    </row>
    <row r="36" spans="1:11" s="78" customFormat="1" x14ac:dyDescent="0.3">
      <c r="A36" s="542">
        <v>1.02</v>
      </c>
      <c r="B36" s="522" t="s">
        <v>360</v>
      </c>
      <c r="C36" s="523">
        <v>2732000</v>
      </c>
      <c r="D36" s="86">
        <v>0.46800000000000003</v>
      </c>
      <c r="E36" s="529" t="s">
        <v>361</v>
      </c>
      <c r="F36" s="523">
        <f>126000/2</f>
        <v>63000</v>
      </c>
      <c r="G36" s="524">
        <v>0.5</v>
      </c>
      <c r="H36" s="85">
        <f>C36+(C36*D36)*G36</f>
        <v>3371288</v>
      </c>
      <c r="I36" s="87">
        <f>H36*3</f>
        <v>10113864</v>
      </c>
    </row>
    <row r="37" spans="1:11" s="78" customFormat="1" x14ac:dyDescent="0.25">
      <c r="A37" s="106"/>
      <c r="B37" s="605" t="s">
        <v>36</v>
      </c>
      <c r="C37" s="606"/>
      <c r="D37" s="606"/>
      <c r="E37" s="606"/>
      <c r="F37" s="606"/>
      <c r="G37" s="606"/>
      <c r="H37" s="607"/>
      <c r="I37" s="525">
        <f>SUM(I35:I36)</f>
        <v>26957977.562399998</v>
      </c>
      <c r="K37" s="474"/>
    </row>
    <row r="38" spans="1:11" s="78" customFormat="1" x14ac:dyDescent="0.3">
      <c r="A38" s="542">
        <v>1.03</v>
      </c>
      <c r="B38" s="522" t="s">
        <v>362</v>
      </c>
      <c r="C38" s="523">
        <v>1720000</v>
      </c>
      <c r="D38" s="86">
        <v>0.46800000000000003</v>
      </c>
      <c r="E38" s="529" t="s">
        <v>361</v>
      </c>
      <c r="F38" s="523">
        <v>126000</v>
      </c>
      <c r="G38" s="524">
        <v>1</v>
      </c>
      <c r="H38" s="85">
        <f>C38+(C38*D38)*G38</f>
        <v>2524960</v>
      </c>
      <c r="I38" s="87">
        <f>H38*3</f>
        <v>7574880</v>
      </c>
    </row>
    <row r="39" spans="1:11" s="78" customFormat="1" x14ac:dyDescent="0.25">
      <c r="A39" s="106"/>
      <c r="B39" s="605" t="s">
        <v>36</v>
      </c>
      <c r="C39" s="606"/>
      <c r="D39" s="606"/>
      <c r="E39" s="606"/>
      <c r="F39" s="606"/>
      <c r="G39" s="606"/>
      <c r="H39" s="607"/>
      <c r="I39" s="525">
        <f>I38</f>
        <v>7574880</v>
      </c>
    </row>
    <row r="40" spans="1:11" s="78" customFormat="1" x14ac:dyDescent="0.25">
      <c r="A40" s="106"/>
      <c r="B40" s="583" t="s">
        <v>31</v>
      </c>
      <c r="C40" s="583"/>
      <c r="D40" s="583" t="s">
        <v>5</v>
      </c>
      <c r="E40" s="583"/>
      <c r="F40" s="583" t="s">
        <v>367</v>
      </c>
      <c r="G40" s="583"/>
      <c r="H40" s="528" t="s">
        <v>148</v>
      </c>
      <c r="I40" s="527"/>
    </row>
    <row r="41" spans="1:11" s="78" customFormat="1" ht="44.45" customHeight="1" x14ac:dyDescent="0.25">
      <c r="A41" s="542">
        <v>1.04</v>
      </c>
      <c r="B41" s="581" t="s">
        <v>363</v>
      </c>
      <c r="C41" s="582"/>
      <c r="D41" s="586">
        <v>1</v>
      </c>
      <c r="E41" s="587"/>
      <c r="F41" s="584">
        <v>3</v>
      </c>
      <c r="G41" s="585"/>
      <c r="H41" s="531">
        <v>999780.2</v>
      </c>
      <c r="I41" s="87">
        <f>ROUND(D41*F41*H41,0)</f>
        <v>2999341</v>
      </c>
      <c r="J41" s="530"/>
      <c r="K41" s="503"/>
    </row>
    <row r="42" spans="1:11" s="78" customFormat="1" ht="18" customHeight="1" x14ac:dyDescent="0.25">
      <c r="A42" s="542">
        <v>1.05</v>
      </c>
      <c r="B42" s="581" t="s">
        <v>364</v>
      </c>
      <c r="C42" s="582"/>
      <c r="D42" s="586">
        <v>1</v>
      </c>
      <c r="E42" s="587"/>
      <c r="F42" s="584">
        <v>3</v>
      </c>
      <c r="G42" s="585"/>
      <c r="H42" s="85">
        <v>500000</v>
      </c>
      <c r="I42" s="87">
        <f t="shared" ref="I42:I44" si="3">D42*F42*H42</f>
        <v>1500000</v>
      </c>
    </row>
    <row r="43" spans="1:11" s="78" customFormat="1" ht="60" customHeight="1" x14ac:dyDescent="0.25">
      <c r="A43" s="542">
        <v>1.06</v>
      </c>
      <c r="B43" s="581" t="s">
        <v>365</v>
      </c>
      <c r="C43" s="582"/>
      <c r="D43" s="586">
        <v>1</v>
      </c>
      <c r="E43" s="587"/>
      <c r="F43" s="584">
        <v>3</v>
      </c>
      <c r="G43" s="585"/>
      <c r="H43" s="85">
        <v>200000</v>
      </c>
      <c r="I43" s="87">
        <f t="shared" si="3"/>
        <v>600000</v>
      </c>
    </row>
    <row r="44" spans="1:11" s="78" customFormat="1" ht="45" customHeight="1" x14ac:dyDescent="0.25">
      <c r="A44" s="542">
        <v>1.07</v>
      </c>
      <c r="B44" s="581" t="s">
        <v>366</v>
      </c>
      <c r="C44" s="582"/>
      <c r="D44" s="586">
        <v>1</v>
      </c>
      <c r="E44" s="587"/>
      <c r="F44" s="584">
        <v>3</v>
      </c>
      <c r="G44" s="585"/>
      <c r="H44" s="85">
        <v>200000</v>
      </c>
      <c r="I44" s="87">
        <f t="shared" si="3"/>
        <v>600000</v>
      </c>
    </row>
    <row r="45" spans="1:11" s="78" customFormat="1" x14ac:dyDescent="0.25">
      <c r="A45" s="106"/>
      <c r="B45" s="608" t="s">
        <v>36</v>
      </c>
      <c r="C45" s="609"/>
      <c r="D45" s="609"/>
      <c r="E45" s="609"/>
      <c r="F45" s="609"/>
      <c r="G45" s="609"/>
      <c r="H45" s="610"/>
      <c r="I45" s="525">
        <f>SUM(I41:I44)</f>
        <v>5699341</v>
      </c>
    </row>
    <row r="46" spans="1:11" s="78" customFormat="1" ht="19.5" thickBot="1" x14ac:dyDescent="0.3">
      <c r="A46" s="106"/>
      <c r="C46" s="510"/>
      <c r="E46" s="511"/>
      <c r="F46" s="517"/>
      <c r="G46" s="517"/>
      <c r="H46" s="511"/>
      <c r="I46" s="511"/>
      <c r="J46" s="503"/>
      <c r="K46" s="526"/>
    </row>
    <row r="47" spans="1:11" s="78" customFormat="1" ht="30" customHeight="1" x14ac:dyDescent="0.25">
      <c r="A47" s="106"/>
      <c r="B47" s="599" t="s">
        <v>17</v>
      </c>
      <c r="C47" s="599"/>
      <c r="D47" s="599"/>
      <c r="E47" s="599"/>
      <c r="F47" s="599"/>
      <c r="G47" s="599"/>
      <c r="H47" s="599"/>
      <c r="I47" s="552">
        <f>'PPTO '!G29</f>
        <v>526513726.97000003</v>
      </c>
      <c r="J47" s="474"/>
      <c r="K47" s="526"/>
    </row>
    <row r="48" spans="1:11" s="78" customFormat="1" ht="27" customHeight="1" x14ac:dyDescent="0.25">
      <c r="A48" s="106"/>
      <c r="B48" s="615" t="s">
        <v>65</v>
      </c>
      <c r="C48" s="615"/>
      <c r="D48" s="615"/>
      <c r="E48" s="615"/>
      <c r="F48" s="615"/>
      <c r="G48" s="615"/>
      <c r="H48" s="683">
        <v>0.26</v>
      </c>
      <c r="I48" s="553">
        <f>ROUND(I47*H48,2)</f>
        <v>136893569.00999999</v>
      </c>
      <c r="J48" s="474"/>
      <c r="K48" s="474"/>
    </row>
    <row r="49" spans="1:11" s="78" customFormat="1" ht="27" customHeight="1" x14ac:dyDescent="0.25">
      <c r="A49" s="106"/>
      <c r="B49" s="615" t="s">
        <v>372</v>
      </c>
      <c r="C49" s="615"/>
      <c r="D49" s="615"/>
      <c r="E49" s="615"/>
      <c r="F49" s="615"/>
      <c r="G49" s="615"/>
      <c r="H49" s="683">
        <v>0.01</v>
      </c>
      <c r="I49" s="553">
        <f>ROUND(I47*H49,2)</f>
        <v>5265137.2699999996</v>
      </c>
      <c r="J49" s="474"/>
      <c r="K49" s="474"/>
    </row>
    <row r="50" spans="1:11" s="78" customFormat="1" ht="32.25" customHeight="1" x14ac:dyDescent="0.25">
      <c r="A50" s="106"/>
      <c r="B50" s="615" t="s">
        <v>66</v>
      </c>
      <c r="C50" s="615"/>
      <c r="D50" s="615"/>
      <c r="E50" s="615"/>
      <c r="F50" s="615"/>
      <c r="G50" s="615"/>
      <c r="H50" s="107">
        <v>0.05</v>
      </c>
      <c r="I50" s="553">
        <f>+ROUND(I47*H50,2)</f>
        <v>26325686.350000001</v>
      </c>
      <c r="J50" s="474"/>
    </row>
    <row r="51" spans="1:11" s="78" customFormat="1" ht="32.25" customHeight="1" x14ac:dyDescent="0.25">
      <c r="A51" s="106"/>
      <c r="B51" s="615" t="s">
        <v>321</v>
      </c>
      <c r="C51" s="615"/>
      <c r="D51" s="615"/>
      <c r="E51" s="615"/>
      <c r="F51" s="615"/>
      <c r="G51" s="615"/>
      <c r="H51" s="107">
        <v>0.19</v>
      </c>
      <c r="I51" s="553">
        <f>ROUND(I50*H51,2)</f>
        <v>5001880.41</v>
      </c>
      <c r="J51" s="474"/>
    </row>
    <row r="52" spans="1:11" s="78" customFormat="1" ht="33" customHeight="1" x14ac:dyDescent="0.25">
      <c r="A52" s="106"/>
      <c r="B52" s="616" t="s">
        <v>358</v>
      </c>
      <c r="C52" s="616"/>
      <c r="D52" s="616"/>
      <c r="E52" s="616"/>
      <c r="F52" s="616"/>
      <c r="G52" s="616"/>
      <c r="H52" s="616"/>
      <c r="I52" s="553">
        <f>ROUND(SUM(I47:I51),0)</f>
        <v>700000000</v>
      </c>
      <c r="J52" s="474"/>
    </row>
    <row r="53" spans="1:11" s="78" customFormat="1" ht="65.25" customHeight="1" thickBot="1" x14ac:dyDescent="0.3">
      <c r="A53" s="106"/>
      <c r="B53" s="617"/>
      <c r="C53" s="617"/>
      <c r="D53" s="617"/>
      <c r="E53" s="617"/>
      <c r="F53" s="617"/>
      <c r="G53" s="617"/>
      <c r="H53" s="617"/>
      <c r="I53" s="618"/>
    </row>
    <row r="54" spans="1:11" s="78" customFormat="1" ht="28.5" customHeight="1" thickBot="1" x14ac:dyDescent="0.3">
      <c r="A54" s="106"/>
      <c r="B54" s="619" t="s">
        <v>333</v>
      </c>
      <c r="C54" s="620"/>
      <c r="D54" s="620"/>
      <c r="E54" s="620"/>
      <c r="F54" s="620"/>
      <c r="G54" s="620"/>
      <c r="H54" s="620"/>
      <c r="I54" s="621"/>
    </row>
    <row r="55" spans="1:11" s="78" customFormat="1" ht="26.25" customHeight="1" x14ac:dyDescent="0.25">
      <c r="A55" s="77"/>
      <c r="B55" s="614"/>
      <c r="C55" s="614"/>
      <c r="D55" s="614"/>
      <c r="E55" s="614"/>
      <c r="F55" s="614"/>
      <c r="G55" s="614"/>
      <c r="H55" s="614"/>
      <c r="I55" s="614"/>
    </row>
  </sheetData>
  <mergeCells count="51">
    <mergeCell ref="B55:I55"/>
    <mergeCell ref="B48:G48"/>
    <mergeCell ref="B50:G50"/>
    <mergeCell ref="B51:G51"/>
    <mergeCell ref="B52:H52"/>
    <mergeCell ref="B53:I53"/>
    <mergeCell ref="B54:I54"/>
    <mergeCell ref="B49:G49"/>
    <mergeCell ref="B29:E29"/>
    <mergeCell ref="F29:H29"/>
    <mergeCell ref="B30:E30"/>
    <mergeCell ref="F30:H30"/>
    <mergeCell ref="F31:H31"/>
    <mergeCell ref="B47:H47"/>
    <mergeCell ref="B17:E17"/>
    <mergeCell ref="B18:H18"/>
    <mergeCell ref="B19:E19"/>
    <mergeCell ref="B27:H27"/>
    <mergeCell ref="B28:E28"/>
    <mergeCell ref="F28:H28"/>
    <mergeCell ref="A33:I33"/>
    <mergeCell ref="B37:H37"/>
    <mergeCell ref="B39:H39"/>
    <mergeCell ref="B45:H45"/>
    <mergeCell ref="F40:G40"/>
    <mergeCell ref="F44:G44"/>
    <mergeCell ref="F43:G43"/>
    <mergeCell ref="F42:G42"/>
    <mergeCell ref="B16:E16"/>
    <mergeCell ref="A1:B5"/>
    <mergeCell ref="C1:I1"/>
    <mergeCell ref="C2:I2"/>
    <mergeCell ref="C3:I3"/>
    <mergeCell ref="C4:I4"/>
    <mergeCell ref="C5:I5"/>
    <mergeCell ref="C6:I6"/>
    <mergeCell ref="B7:H7"/>
    <mergeCell ref="B13:H13"/>
    <mergeCell ref="B14:E14"/>
    <mergeCell ref="B15:E15"/>
    <mergeCell ref="F41:G41"/>
    <mergeCell ref="D40:E40"/>
    <mergeCell ref="D44:E44"/>
    <mergeCell ref="D43:E43"/>
    <mergeCell ref="D42:E42"/>
    <mergeCell ref="D41:E41"/>
    <mergeCell ref="B44:C44"/>
    <mergeCell ref="B43:C43"/>
    <mergeCell ref="B42:C42"/>
    <mergeCell ref="B41:C41"/>
    <mergeCell ref="B40:C40"/>
  </mergeCells>
  <pageMargins left="0.23611111111111099" right="0.23611111111111099" top="0.55138888888888904" bottom="0.35416666666666702" header="0.511811023622047" footer="0.511811023622047"/>
  <pageSetup scale="51"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T314"/>
  <sheetViews>
    <sheetView topLeftCell="A254" zoomScale="80" zoomScaleNormal="80" workbookViewId="0">
      <selection activeCell="F275" sqref="F275"/>
    </sheetView>
  </sheetViews>
  <sheetFormatPr baseColWidth="10" defaultColWidth="11.42578125" defaultRowHeight="15" x14ac:dyDescent="0.25"/>
  <cols>
    <col min="1" max="1" width="12.85546875" customWidth="1"/>
    <col min="5" max="5" width="13.28515625" customWidth="1"/>
    <col min="6" max="6" width="14.5703125" bestFit="1" customWidth="1"/>
    <col min="7" max="7" width="13.5703125" customWidth="1"/>
    <col min="8" max="8" width="13" customWidth="1"/>
    <col min="9" max="9" width="11.5703125" hidden="1" customWidth="1"/>
    <col min="10" max="10" width="22.5703125" hidden="1" customWidth="1"/>
    <col min="11" max="11" width="17.85546875" hidden="1" customWidth="1"/>
    <col min="12" max="12" width="19.85546875" hidden="1" customWidth="1"/>
    <col min="13" max="13" width="20.28515625" hidden="1" customWidth="1"/>
    <col min="14" max="14" width="1.42578125" hidden="1" customWidth="1"/>
    <col min="15" max="15" width="31.28515625" customWidth="1"/>
    <col min="16" max="16" width="19" customWidth="1"/>
    <col min="20" max="20" width="13.140625" bestFit="1" customWidth="1"/>
  </cols>
  <sheetData>
    <row r="1" spans="1:15" ht="16.5" x14ac:dyDescent="0.25">
      <c r="A1" s="626" t="s">
        <v>260</v>
      </c>
      <c r="B1" s="626"/>
      <c r="C1" s="626"/>
      <c r="D1" s="626"/>
      <c r="E1" s="626"/>
      <c r="F1" s="626"/>
      <c r="G1" s="626"/>
      <c r="I1" s="108">
        <v>1</v>
      </c>
      <c r="J1" s="108">
        <v>2</v>
      </c>
      <c r="K1" s="108">
        <v>3</v>
      </c>
      <c r="L1" s="108">
        <v>4</v>
      </c>
      <c r="M1" s="108">
        <v>5</v>
      </c>
    </row>
    <row r="2" spans="1:15" ht="29.25" thickBot="1" x14ac:dyDescent="0.3">
      <c r="A2" s="109"/>
      <c r="B2" s="109"/>
      <c r="C2" s="109"/>
      <c r="D2" s="109"/>
      <c r="E2" s="109"/>
      <c r="F2" s="109"/>
      <c r="G2" s="109"/>
      <c r="I2" s="16" t="s">
        <v>2</v>
      </c>
      <c r="J2" s="3" t="s">
        <v>67</v>
      </c>
      <c r="K2" s="3" t="s">
        <v>68</v>
      </c>
      <c r="L2" s="3" t="s">
        <v>69</v>
      </c>
      <c r="M2" s="3" t="s">
        <v>70</v>
      </c>
      <c r="N2" s="16" t="s">
        <v>38</v>
      </c>
    </row>
    <row r="3" spans="1:15" ht="15.75" thickTop="1" x14ac:dyDescent="0.25">
      <c r="A3" s="110" t="s">
        <v>2</v>
      </c>
      <c r="B3" s="622" t="s">
        <v>31</v>
      </c>
      <c r="C3" s="622"/>
      <c r="D3" s="622"/>
      <c r="E3" s="622"/>
      <c r="F3" s="111" t="s">
        <v>4</v>
      </c>
      <c r="G3" s="112" t="s">
        <v>71</v>
      </c>
      <c r="I3" s="113" t="s">
        <v>72</v>
      </c>
      <c r="J3" s="114">
        <f>G26</f>
        <v>1903</v>
      </c>
      <c r="K3" s="114">
        <f>G13</f>
        <v>22</v>
      </c>
      <c r="L3" s="113"/>
      <c r="M3" s="114">
        <f>G19</f>
        <v>2677</v>
      </c>
      <c r="N3" s="114">
        <f>SUM(J3:M3)</f>
        <v>4602</v>
      </c>
    </row>
    <row r="4" spans="1:15" x14ac:dyDescent="0.25">
      <c r="A4" s="115">
        <f>'MEMORIA  1 - DESTRONQUE Y LIJAD'!C10</f>
        <v>1.1000000000000001</v>
      </c>
      <c r="B4" s="642" t="str">
        <f>'MEMORIA  1 - DESTRONQUE Y LIJAD'!C9</f>
        <v>Destronque y lijada de pista de velocidad para generar perfil de anclaje.</v>
      </c>
      <c r="C4" s="642"/>
      <c r="D4" s="642"/>
      <c r="E4" s="642"/>
      <c r="F4" s="116" t="str">
        <f>'MEMORIA  1 - DESTRONQUE Y LIJAD'!L9</f>
        <v>M2</v>
      </c>
      <c r="G4" s="492">
        <f>G31</f>
        <v>4905.6000000000004</v>
      </c>
      <c r="H4" s="5"/>
      <c r="I4" s="5"/>
      <c r="J4" s="5"/>
      <c r="K4" s="5"/>
      <c r="L4" s="5"/>
      <c r="M4" s="5"/>
      <c r="N4" s="5"/>
      <c r="O4" s="684"/>
    </row>
    <row r="5" spans="1:15" x14ac:dyDescent="0.25">
      <c r="A5" s="117"/>
      <c r="B5" s="118"/>
      <c r="C5" s="119"/>
      <c r="D5" s="120"/>
      <c r="E5" s="120"/>
      <c r="F5" s="121"/>
      <c r="G5" s="122"/>
    </row>
    <row r="6" spans="1:15" x14ac:dyDescent="0.25">
      <c r="A6" s="123" t="s">
        <v>9</v>
      </c>
      <c r="B6" s="124"/>
      <c r="C6" s="119"/>
      <c r="D6" s="120"/>
      <c r="E6" s="120"/>
      <c r="F6" s="121"/>
      <c r="G6" s="122"/>
    </row>
    <row r="7" spans="1:15" x14ac:dyDescent="0.25">
      <c r="A7" s="125" t="s">
        <v>31</v>
      </c>
      <c r="B7" s="126"/>
      <c r="C7" s="127" t="s">
        <v>4</v>
      </c>
      <c r="D7" s="127" t="s">
        <v>5</v>
      </c>
      <c r="E7" s="127" t="s">
        <v>73</v>
      </c>
      <c r="F7" s="128" t="s">
        <v>74</v>
      </c>
      <c r="G7" s="129" t="s">
        <v>75</v>
      </c>
    </row>
    <row r="8" spans="1:15" x14ac:dyDescent="0.25">
      <c r="A8" s="624" t="s">
        <v>254</v>
      </c>
      <c r="B8" s="624"/>
      <c r="C8" s="130" t="s">
        <v>80</v>
      </c>
      <c r="D8" s="236">
        <v>8.0000000000000004E-4</v>
      </c>
      <c r="E8" s="132" t="s">
        <v>81</v>
      </c>
      <c r="F8" s="133">
        <v>12680</v>
      </c>
      <c r="G8" s="134">
        <f>ROUND(D8*F8,0)</f>
        <v>10</v>
      </c>
    </row>
    <row r="9" spans="1:15" x14ac:dyDescent="0.25">
      <c r="A9" s="624" t="s">
        <v>255</v>
      </c>
      <c r="B9" s="624"/>
      <c r="C9" s="130" t="s">
        <v>80</v>
      </c>
      <c r="D9" s="236">
        <v>8.0000000000000004E-4</v>
      </c>
      <c r="E9" s="132" t="s">
        <v>81</v>
      </c>
      <c r="F9" s="133">
        <v>15340</v>
      </c>
      <c r="G9" s="134">
        <f>ROUND(D9*F9,0)</f>
        <v>12</v>
      </c>
    </row>
    <row r="10" spans="1:15" x14ac:dyDescent="0.25">
      <c r="A10" s="624"/>
      <c r="B10" s="624"/>
      <c r="C10" s="130"/>
      <c r="D10" s="131"/>
      <c r="E10" s="132"/>
      <c r="F10" s="135"/>
      <c r="G10" s="134"/>
    </row>
    <row r="11" spans="1:15" x14ac:dyDescent="0.25">
      <c r="A11" s="624"/>
      <c r="B11" s="624"/>
      <c r="C11" s="130"/>
      <c r="D11" s="131"/>
      <c r="E11" s="132"/>
      <c r="F11" s="135"/>
      <c r="G11" s="134"/>
    </row>
    <row r="12" spans="1:15" x14ac:dyDescent="0.25">
      <c r="A12" s="624"/>
      <c r="B12" s="624"/>
      <c r="C12" s="130"/>
      <c r="D12" s="131"/>
      <c r="E12" s="132"/>
      <c r="F12" s="135"/>
      <c r="G12" s="134"/>
    </row>
    <row r="13" spans="1:15" x14ac:dyDescent="0.25">
      <c r="A13" s="117"/>
      <c r="B13" s="118"/>
      <c r="C13" s="119"/>
      <c r="D13" s="136"/>
      <c r="E13" s="137"/>
      <c r="F13" s="138" t="s">
        <v>77</v>
      </c>
      <c r="G13" s="139">
        <f>SUM(G8:G12)</f>
        <v>22</v>
      </c>
    </row>
    <row r="14" spans="1:15" x14ac:dyDescent="0.25">
      <c r="A14" s="123" t="s">
        <v>78</v>
      </c>
      <c r="B14" s="124"/>
      <c r="C14" s="119"/>
      <c r="D14" s="136"/>
      <c r="E14" s="137"/>
      <c r="F14" s="140"/>
      <c r="G14" s="122"/>
    </row>
    <row r="15" spans="1:15" x14ac:dyDescent="0.25">
      <c r="A15" s="141" t="s">
        <v>79</v>
      </c>
      <c r="B15" s="142" t="s">
        <v>5</v>
      </c>
      <c r="C15" s="127" t="s">
        <v>4</v>
      </c>
      <c r="D15" s="127" t="s">
        <v>5</v>
      </c>
      <c r="E15" s="127" t="s">
        <v>73</v>
      </c>
      <c r="F15" s="128" t="s">
        <v>74</v>
      </c>
      <c r="G15" s="139" t="s">
        <v>75</v>
      </c>
    </row>
    <row r="16" spans="1:15" ht="27" x14ac:dyDescent="0.25">
      <c r="A16" s="143" t="s">
        <v>248</v>
      </c>
      <c r="B16" s="144">
        <v>1</v>
      </c>
      <c r="C16" s="145" t="s">
        <v>80</v>
      </c>
      <c r="D16" s="459">
        <v>1.4E-2</v>
      </c>
      <c r="E16" s="147" t="s">
        <v>81</v>
      </c>
      <c r="F16" s="133">
        <v>184390</v>
      </c>
      <c r="G16" s="134">
        <f>ROUND(D16*F16,0)</f>
        <v>2581</v>
      </c>
    </row>
    <row r="17" spans="1:16" x14ac:dyDescent="0.25">
      <c r="A17" s="149" t="s">
        <v>249</v>
      </c>
      <c r="B17" s="144">
        <v>1</v>
      </c>
      <c r="C17" s="145" t="s">
        <v>80</v>
      </c>
      <c r="D17" s="459">
        <v>2.0000000000000001E-4</v>
      </c>
      <c r="E17" s="147" t="s">
        <v>81</v>
      </c>
      <c r="F17" s="133">
        <v>480000</v>
      </c>
      <c r="G17" s="134">
        <f>ROUND(D17*F17,0)</f>
        <v>96</v>
      </c>
      <c r="P17" s="36"/>
    </row>
    <row r="18" spans="1:16" x14ac:dyDescent="0.25">
      <c r="A18" s="149"/>
      <c r="B18" s="150"/>
      <c r="C18" s="151"/>
      <c r="D18" s="152"/>
      <c r="E18" s="144"/>
      <c r="F18" s="148"/>
      <c r="G18" s="134"/>
      <c r="P18" s="36"/>
    </row>
    <row r="19" spans="1:16" x14ac:dyDescent="0.25">
      <c r="A19" s="117"/>
      <c r="B19" s="118"/>
      <c r="C19" s="119"/>
      <c r="D19" s="136"/>
      <c r="E19" s="137"/>
      <c r="F19" s="138" t="s">
        <v>82</v>
      </c>
      <c r="G19" s="139">
        <f>SUM(G16:G17)</f>
        <v>2677</v>
      </c>
    </row>
    <row r="20" spans="1:16" x14ac:dyDescent="0.25">
      <c r="A20" s="123" t="s">
        <v>83</v>
      </c>
      <c r="B20" s="124"/>
      <c r="C20" s="119"/>
      <c r="D20" s="136"/>
      <c r="E20" s="137"/>
      <c r="F20" s="140"/>
      <c r="G20" s="122"/>
      <c r="P20" s="36"/>
    </row>
    <row r="21" spans="1:16" x14ac:dyDescent="0.25">
      <c r="A21" s="153" t="s">
        <v>31</v>
      </c>
      <c r="B21" s="154"/>
      <c r="C21" s="126"/>
      <c r="D21" s="127" t="s">
        <v>84</v>
      </c>
      <c r="E21" s="155" t="s">
        <v>85</v>
      </c>
      <c r="F21" s="156" t="s">
        <v>86</v>
      </c>
      <c r="G21" s="139" t="s">
        <v>74</v>
      </c>
    </row>
    <row r="22" spans="1:16" ht="16.5" x14ac:dyDescent="0.25">
      <c r="A22" s="157" t="s">
        <v>250</v>
      </c>
      <c r="B22" s="158"/>
      <c r="C22" s="159"/>
      <c r="D22" s="130" t="s">
        <v>87</v>
      </c>
      <c r="E22" s="147">
        <v>36552.29</v>
      </c>
      <c r="F22" s="160">
        <v>0.05</v>
      </c>
      <c r="G22" s="203">
        <f>ROUND(E22*F22,0)</f>
        <v>1828</v>
      </c>
    </row>
    <row r="23" spans="1:16" ht="16.5" x14ac:dyDescent="0.25">
      <c r="A23" s="161" t="s">
        <v>253</v>
      </c>
      <c r="B23" s="158"/>
      <c r="C23" s="159"/>
      <c r="D23" s="130" t="s">
        <v>87</v>
      </c>
      <c r="E23" s="147">
        <v>25000</v>
      </c>
      <c r="F23" s="160">
        <v>3.0000000000000001E-3</v>
      </c>
      <c r="G23" s="203">
        <f>ROUND(E23*F23,0)</f>
        <v>75</v>
      </c>
    </row>
    <row r="24" spans="1:16" ht="16.5" x14ac:dyDescent="0.25">
      <c r="A24" s="161"/>
      <c r="B24" s="158"/>
      <c r="C24" s="159"/>
      <c r="D24" s="130"/>
      <c r="E24" s="130"/>
      <c r="F24" s="160"/>
      <c r="G24" s="134"/>
    </row>
    <row r="25" spans="1:16" ht="16.5" x14ac:dyDescent="0.25">
      <c r="A25" s="161"/>
      <c r="B25" s="158"/>
      <c r="C25" s="159"/>
      <c r="D25" s="130"/>
      <c r="E25" s="130"/>
      <c r="F25" s="160"/>
      <c r="G25" s="134"/>
    </row>
    <row r="26" spans="1:16" x14ac:dyDescent="0.25">
      <c r="A26" s="117"/>
      <c r="B26" s="118"/>
      <c r="C26" s="119"/>
      <c r="D26" s="120"/>
      <c r="E26" s="137"/>
      <c r="F26" s="162" t="s">
        <v>88</v>
      </c>
      <c r="G26" s="139">
        <f>SUM(G22:G25)</f>
        <v>1903</v>
      </c>
    </row>
    <row r="27" spans="1:16" x14ac:dyDescent="0.25">
      <c r="A27" s="123" t="s">
        <v>89</v>
      </c>
      <c r="B27" s="124"/>
      <c r="C27" s="119"/>
      <c r="D27" s="120"/>
      <c r="E27" s="120"/>
      <c r="F27" s="121"/>
      <c r="G27" s="122"/>
    </row>
    <row r="28" spans="1:16" x14ac:dyDescent="0.25">
      <c r="A28" s="624" t="s">
        <v>251</v>
      </c>
      <c r="B28" s="624"/>
      <c r="C28" s="130" t="s">
        <v>252</v>
      </c>
      <c r="D28" s="131">
        <v>226.2</v>
      </c>
      <c r="E28" s="150">
        <v>1.3729</v>
      </c>
      <c r="F28" s="163">
        <v>0.98</v>
      </c>
      <c r="G28" s="134">
        <f>D28*E28*F28</f>
        <v>304.33898040000003</v>
      </c>
    </row>
    <row r="29" spans="1:16" x14ac:dyDescent="0.25">
      <c r="A29" s="164"/>
      <c r="B29" s="165"/>
      <c r="C29" s="166"/>
      <c r="D29" s="167"/>
      <c r="E29" s="167"/>
      <c r="F29" s="168" t="s">
        <v>90</v>
      </c>
      <c r="G29" s="169">
        <f>+G28</f>
        <v>304.33898040000003</v>
      </c>
    </row>
    <row r="30" spans="1:16" x14ac:dyDescent="0.25">
      <c r="A30" s="117"/>
      <c r="B30" s="118"/>
      <c r="C30" s="119"/>
      <c r="D30" s="120"/>
      <c r="E30" s="120"/>
      <c r="F30" s="121"/>
      <c r="G30" s="122"/>
    </row>
    <row r="31" spans="1:16" ht="15.75" thickBot="1" x14ac:dyDescent="0.3">
      <c r="A31" s="170"/>
      <c r="B31" s="171"/>
      <c r="C31" s="172"/>
      <c r="D31" s="173"/>
      <c r="E31" s="174" t="s">
        <v>91</v>
      </c>
      <c r="F31" s="175">
        <f>+G29+G26+G19+G13-0.74</f>
        <v>4905.5989804000001</v>
      </c>
      <c r="G31" s="176">
        <f>ROUND(F31,2)</f>
        <v>4905.6000000000004</v>
      </c>
    </row>
    <row r="32" spans="1:16" ht="15.75" thickTop="1" x14ac:dyDescent="0.25"/>
    <row r="34" spans="1:15" ht="16.5" x14ac:dyDescent="0.25">
      <c r="A34" s="626" t="s">
        <v>261</v>
      </c>
      <c r="B34" s="626"/>
      <c r="C34" s="626"/>
      <c r="D34" s="626"/>
      <c r="E34" s="626"/>
      <c r="F34" s="626"/>
      <c r="G34" s="626"/>
    </row>
    <row r="35" spans="1:15" x14ac:dyDescent="0.25">
      <c r="A35" s="179"/>
      <c r="B35" s="179"/>
      <c r="C35" s="180"/>
      <c r="D35" s="181"/>
      <c r="E35" s="182"/>
      <c r="F35" s="183"/>
      <c r="G35" s="184"/>
    </row>
    <row r="36" spans="1:15" ht="15" customHeight="1" thickTop="1" x14ac:dyDescent="0.25">
      <c r="A36" s="185" t="s">
        <v>2</v>
      </c>
      <c r="B36" s="641" t="s">
        <v>31</v>
      </c>
      <c r="C36" s="641"/>
      <c r="D36" s="641"/>
      <c r="E36" s="641"/>
      <c r="F36" s="186" t="s">
        <v>4</v>
      </c>
      <c r="G36" s="187" t="s">
        <v>71</v>
      </c>
    </row>
    <row r="37" spans="1:15" ht="36.950000000000003" customHeight="1" x14ac:dyDescent="0.25">
      <c r="A37" s="188">
        <f>'MEMORIA  2 - LAVADA Y DESCONTAM'!C10</f>
        <v>2.1</v>
      </c>
      <c r="B37" s="634" t="str">
        <f>'MEMORIA  2 - LAVADA Y DESCONTAM'!C9</f>
        <v>Lavada y descontaminada de pista. Incluye tratamiento de 825 ml de juntas de dilatación entre losas de concreto por medio de sello flexible, malla de refuerzo y polímero  y empozamientos menores a 3 mm.</v>
      </c>
      <c r="C37" s="634"/>
      <c r="D37" s="634"/>
      <c r="E37" s="634"/>
      <c r="F37" s="189" t="str">
        <f>'MEMORIA  2 - LAVADA Y DESCONTAM'!L9</f>
        <v>M2</v>
      </c>
      <c r="G37" s="558">
        <f>+G63</f>
        <v>30395.64</v>
      </c>
      <c r="H37" s="5"/>
      <c r="I37" s="5"/>
      <c r="J37" s="5"/>
      <c r="K37" s="5"/>
      <c r="L37" s="5"/>
      <c r="M37" s="5"/>
      <c r="N37" s="5"/>
      <c r="O37" s="684"/>
    </row>
    <row r="38" spans="1:15" x14ac:dyDescent="0.25">
      <c r="A38" s="164"/>
      <c r="B38" s="165"/>
      <c r="C38" s="166"/>
      <c r="D38" s="167"/>
      <c r="E38" s="167"/>
      <c r="F38" s="190"/>
      <c r="G38" s="191"/>
    </row>
    <row r="39" spans="1:15" x14ac:dyDescent="0.25">
      <c r="A39" s="192" t="s">
        <v>9</v>
      </c>
      <c r="B39" s="193"/>
      <c r="C39" s="166"/>
      <c r="D39" s="167"/>
      <c r="E39" s="167"/>
      <c r="F39" s="190"/>
      <c r="G39" s="191"/>
    </row>
    <row r="40" spans="1:15" x14ac:dyDescent="0.25">
      <c r="A40" s="194" t="s">
        <v>31</v>
      </c>
      <c r="B40" s="195"/>
      <c r="C40" s="196" t="s">
        <v>4</v>
      </c>
      <c r="D40" s="196" t="s">
        <v>5</v>
      </c>
      <c r="E40" s="196" t="s">
        <v>73</v>
      </c>
      <c r="F40" s="197" t="s">
        <v>74</v>
      </c>
      <c r="G40" s="198" t="s">
        <v>75</v>
      </c>
    </row>
    <row r="41" spans="1:15" x14ac:dyDescent="0.25">
      <c r="A41" s="635" t="s">
        <v>262</v>
      </c>
      <c r="B41" s="635"/>
      <c r="C41" s="199" t="s">
        <v>263</v>
      </c>
      <c r="D41" s="200">
        <v>0.04</v>
      </c>
      <c r="E41" s="201">
        <v>0</v>
      </c>
      <c r="F41" s="202">
        <v>18560</v>
      </c>
      <c r="G41" s="134">
        <f>ROUND(D41*F41,0)</f>
        <v>742</v>
      </c>
    </row>
    <row r="42" spans="1:15" x14ac:dyDescent="0.25">
      <c r="A42" s="630" t="s">
        <v>264</v>
      </c>
      <c r="B42" s="630"/>
      <c r="C42" s="199" t="s">
        <v>263</v>
      </c>
      <c r="D42" s="200">
        <v>8.0000000000000002E-3</v>
      </c>
      <c r="E42" s="201"/>
      <c r="F42" s="202">
        <v>62440</v>
      </c>
      <c r="G42" s="134">
        <f>ROUND(D42*F42,0)</f>
        <v>500</v>
      </c>
    </row>
    <row r="43" spans="1:15" x14ac:dyDescent="0.25">
      <c r="A43" s="630" t="s">
        <v>265</v>
      </c>
      <c r="B43" s="630"/>
      <c r="C43" s="199" t="s">
        <v>266</v>
      </c>
      <c r="D43" s="200">
        <v>1.0999999999999999E-2</v>
      </c>
      <c r="E43" s="201"/>
      <c r="F43" s="202">
        <v>131040</v>
      </c>
      <c r="G43" s="134">
        <f>ROUND(D43*F43,0)</f>
        <v>1441</v>
      </c>
    </row>
    <row r="44" spans="1:15" x14ac:dyDescent="0.25">
      <c r="A44" s="630" t="s">
        <v>267</v>
      </c>
      <c r="B44" s="630"/>
      <c r="C44" s="199" t="s">
        <v>266</v>
      </c>
      <c r="D44" s="200">
        <v>0.47635</v>
      </c>
      <c r="E44" s="201"/>
      <c r="F44" s="202">
        <v>26489.4</v>
      </c>
      <c r="G44" s="134">
        <f>ROUND(D44*F44,0)</f>
        <v>12618</v>
      </c>
    </row>
    <row r="45" spans="1:15" x14ac:dyDescent="0.25">
      <c r="A45" s="164"/>
      <c r="B45" s="165"/>
      <c r="C45" s="166"/>
      <c r="D45" s="470"/>
      <c r="E45" s="205"/>
      <c r="F45" s="206" t="s">
        <v>77</v>
      </c>
      <c r="G45" s="207">
        <f>SUM(G41:G44)</f>
        <v>15301</v>
      </c>
    </row>
    <row r="46" spans="1:15" x14ac:dyDescent="0.25">
      <c r="A46" s="192" t="s">
        <v>78</v>
      </c>
      <c r="B46" s="193"/>
      <c r="C46" s="166"/>
      <c r="D46" s="204"/>
      <c r="E46" s="205"/>
      <c r="F46" s="208"/>
      <c r="G46" s="191"/>
    </row>
    <row r="47" spans="1:15" x14ac:dyDescent="0.25">
      <c r="A47" s="209" t="s">
        <v>79</v>
      </c>
      <c r="B47" s="196" t="s">
        <v>5</v>
      </c>
      <c r="C47" s="196" t="s">
        <v>92</v>
      </c>
      <c r="D47" s="210" t="s">
        <v>93</v>
      </c>
      <c r="E47" s="211" t="s">
        <v>94</v>
      </c>
      <c r="F47" s="212" t="s">
        <v>86</v>
      </c>
      <c r="G47" s="169" t="s">
        <v>75</v>
      </c>
    </row>
    <row r="48" spans="1:15" ht="27" x14ac:dyDescent="0.25">
      <c r="A48" s="143" t="s">
        <v>268</v>
      </c>
      <c r="B48" s="144">
        <v>1</v>
      </c>
      <c r="C48" s="145" t="s">
        <v>80</v>
      </c>
      <c r="D48" s="459">
        <v>1.4E-2</v>
      </c>
      <c r="E48" s="147" t="s">
        <v>81</v>
      </c>
      <c r="F48" s="202">
        <v>343988</v>
      </c>
      <c r="G48" s="134">
        <f>ROUND(D48*F48,0)</f>
        <v>4816</v>
      </c>
    </row>
    <row r="49" spans="1:7" x14ac:dyDescent="0.25">
      <c r="A49" s="149" t="s">
        <v>249</v>
      </c>
      <c r="B49" s="144">
        <v>1</v>
      </c>
      <c r="C49" s="145" t="s">
        <v>80</v>
      </c>
      <c r="D49" s="459">
        <v>3.1E-4</v>
      </c>
      <c r="E49" s="147" t="s">
        <v>81</v>
      </c>
      <c r="F49" s="202">
        <v>480000</v>
      </c>
      <c r="G49" s="134">
        <f>ROUND(D49*F49,0)</f>
        <v>149</v>
      </c>
    </row>
    <row r="50" spans="1:7" x14ac:dyDescent="0.25">
      <c r="A50" s="213"/>
      <c r="B50" s="216"/>
      <c r="C50" s="217"/>
      <c r="D50" s="218"/>
      <c r="E50" s="215"/>
      <c r="F50" s="219"/>
      <c r="G50" s="203"/>
    </row>
    <row r="51" spans="1:7" x14ac:dyDescent="0.25">
      <c r="A51" s="164"/>
      <c r="B51" s="165"/>
      <c r="C51" s="166"/>
      <c r="D51" s="204"/>
      <c r="E51" s="205"/>
      <c r="F51" s="206" t="s">
        <v>82</v>
      </c>
      <c r="G51" s="207">
        <f>SUM(G48:G49)</f>
        <v>4965</v>
      </c>
    </row>
    <row r="52" spans="1:7" x14ac:dyDescent="0.25">
      <c r="A52" s="192" t="s">
        <v>83</v>
      </c>
      <c r="B52" s="193"/>
      <c r="C52" s="166"/>
      <c r="D52" s="204"/>
      <c r="E52" s="205"/>
      <c r="F52" s="208"/>
      <c r="G52" s="191"/>
    </row>
    <row r="53" spans="1:7" x14ac:dyDescent="0.25">
      <c r="A53" s="153" t="s">
        <v>31</v>
      </c>
      <c r="B53" s="154"/>
      <c r="C53" s="126"/>
      <c r="D53" s="127" t="s">
        <v>84</v>
      </c>
      <c r="E53" s="155" t="s">
        <v>85</v>
      </c>
      <c r="F53" s="156" t="s">
        <v>86</v>
      </c>
      <c r="G53" s="139" t="s">
        <v>74</v>
      </c>
    </row>
    <row r="54" spans="1:7" ht="16.5" x14ac:dyDescent="0.25">
      <c r="A54" s="157" t="s">
        <v>250</v>
      </c>
      <c r="B54" s="222"/>
      <c r="C54" s="223"/>
      <c r="D54" s="199" t="s">
        <v>87</v>
      </c>
      <c r="E54" s="147">
        <v>36575</v>
      </c>
      <c r="F54" s="224">
        <v>0.05</v>
      </c>
      <c r="G54" s="203">
        <f>ROUND(E54*F54,0)</f>
        <v>1829</v>
      </c>
    </row>
    <row r="55" spans="1:7" ht="16.5" x14ac:dyDescent="0.25">
      <c r="A55" s="161" t="s">
        <v>269</v>
      </c>
      <c r="B55" s="158"/>
      <c r="C55" s="159"/>
      <c r="D55" s="130" t="s">
        <v>87</v>
      </c>
      <c r="E55" s="147">
        <v>7989.12</v>
      </c>
      <c r="F55" s="160">
        <v>1</v>
      </c>
      <c r="G55" s="203">
        <f>ROUND(E55*F55,0)</f>
        <v>7989</v>
      </c>
    </row>
    <row r="56" spans="1:7" ht="16.5" x14ac:dyDescent="0.25">
      <c r="A56" s="225"/>
      <c r="B56" s="222"/>
      <c r="C56" s="223"/>
      <c r="D56" s="199"/>
      <c r="E56" s="215"/>
      <c r="F56" s="224"/>
      <c r="G56" s="203"/>
    </row>
    <row r="57" spans="1:7" ht="16.5" x14ac:dyDescent="0.25">
      <c r="A57" s="225"/>
      <c r="B57" s="222"/>
      <c r="C57" s="223"/>
      <c r="D57" s="199"/>
      <c r="E57" s="215"/>
      <c r="F57" s="224"/>
      <c r="G57" s="203"/>
    </row>
    <row r="58" spans="1:7" x14ac:dyDescent="0.25">
      <c r="A58" s="164"/>
      <c r="B58" s="165"/>
      <c r="C58" s="166"/>
      <c r="D58" s="471"/>
      <c r="E58" s="205"/>
      <c r="F58" s="168" t="s">
        <v>88</v>
      </c>
      <c r="G58" s="207">
        <f>SUM(G54:G55)</f>
        <v>9818</v>
      </c>
    </row>
    <row r="59" spans="1:7" x14ac:dyDescent="0.25">
      <c r="A59" s="192" t="s">
        <v>89</v>
      </c>
      <c r="B59" s="193"/>
      <c r="C59" s="166"/>
      <c r="D59" s="167"/>
      <c r="E59" s="167"/>
      <c r="F59" s="190"/>
      <c r="G59" s="191"/>
    </row>
    <row r="60" spans="1:7" x14ac:dyDescent="0.25">
      <c r="A60" s="624" t="s">
        <v>251</v>
      </c>
      <c r="B60" s="624"/>
      <c r="C60" s="130" t="s">
        <v>252</v>
      </c>
      <c r="D60" s="131">
        <v>226.2</v>
      </c>
      <c r="E60" s="150">
        <v>1.3765000000000001</v>
      </c>
      <c r="F60" s="163">
        <v>1</v>
      </c>
      <c r="G60" s="134">
        <f>D60*E60*F60</f>
        <v>311.36430000000001</v>
      </c>
    </row>
    <row r="61" spans="1:7" x14ac:dyDescent="0.25">
      <c r="A61" s="164"/>
      <c r="B61" s="165"/>
      <c r="C61" s="166"/>
      <c r="D61" s="167"/>
      <c r="E61" s="167"/>
      <c r="F61" s="168" t="s">
        <v>90</v>
      </c>
      <c r="G61" s="169">
        <f>+G60</f>
        <v>311.36430000000001</v>
      </c>
    </row>
    <row r="62" spans="1:7" x14ac:dyDescent="0.25">
      <c r="A62" s="164"/>
      <c r="B62" s="165"/>
      <c r="C62" s="166"/>
      <c r="D62" s="167"/>
      <c r="E62" s="167"/>
      <c r="F62" s="190"/>
      <c r="G62" s="191"/>
    </row>
    <row r="63" spans="1:7" x14ac:dyDescent="0.25">
      <c r="A63" s="226"/>
      <c r="B63" s="227"/>
      <c r="C63" s="228"/>
      <c r="D63" s="229"/>
      <c r="E63" s="230" t="s">
        <v>91</v>
      </c>
      <c r="F63" s="559">
        <f>+G61+G58+G51+G45+0.28</f>
        <v>30395.6443</v>
      </c>
      <c r="G63" s="232">
        <f>ROUND(F63,2)</f>
        <v>30395.64</v>
      </c>
    </row>
    <row r="64" spans="1:7" ht="15.75" thickTop="1" x14ac:dyDescent="0.25"/>
    <row r="65" spans="1:15" ht="15.75" thickBot="1" x14ac:dyDescent="0.3"/>
    <row r="66" spans="1:15" ht="16.5" x14ac:dyDescent="0.25">
      <c r="A66" s="626" t="s">
        <v>270</v>
      </c>
      <c r="B66" s="626"/>
      <c r="C66" s="626"/>
      <c r="D66" s="626"/>
      <c r="E66" s="626"/>
      <c r="F66" s="626"/>
      <c r="G66" s="626"/>
    </row>
    <row r="68" spans="1:15" x14ac:dyDescent="0.25">
      <c r="A68" s="110" t="s">
        <v>2</v>
      </c>
      <c r="B68" s="622" t="s">
        <v>31</v>
      </c>
      <c r="C68" s="622"/>
      <c r="D68" s="622"/>
      <c r="E68" s="622"/>
      <c r="F68" s="111" t="s">
        <v>4</v>
      </c>
      <c r="G68" s="112" t="s">
        <v>71</v>
      </c>
    </row>
    <row r="69" spans="1:15" ht="90" customHeight="1" x14ac:dyDescent="0.25">
      <c r="A69" s="115">
        <f>'MEMORIA  3 - RECUBRIMIENTO SINT'!C10</f>
        <v>3.1</v>
      </c>
      <c r="B69" s="640" t="str">
        <f>'MEMORIA  3 - RECUBRIMIENTO SINT'!C9</f>
        <v>Suministro, transporte y aplicación de recubrimiento sintético en cinco (5) capas para pista de velocidad: incluye una capa de autonivelante, una capa PACK LEVEL, tres capas de recubrimiento sintético LATEX AR, color azul. Demarcación de linea interna, meta y contra meta en color blanco. (Producto Avalado por FEDEPATIN COLOMBIA).</v>
      </c>
      <c r="C69" s="640"/>
      <c r="D69" s="640"/>
      <c r="E69" s="640"/>
      <c r="F69" s="116" t="str">
        <f>'MEMORIA  3 - RECUBRIMIENTO SINT'!L9</f>
        <v>M2</v>
      </c>
      <c r="G69" s="492">
        <f>G95+0.02</f>
        <v>138982.31999999998</v>
      </c>
      <c r="H69" s="5"/>
      <c r="I69" s="5"/>
      <c r="J69" s="5"/>
      <c r="K69" s="5"/>
      <c r="L69" s="5"/>
      <c r="M69" s="5"/>
      <c r="N69" s="5"/>
      <c r="O69" s="684"/>
    </row>
    <row r="70" spans="1:15" x14ac:dyDescent="0.25">
      <c r="A70" s="117"/>
      <c r="B70" s="118"/>
      <c r="C70" s="119"/>
      <c r="D70" s="120"/>
      <c r="E70" s="120"/>
      <c r="F70" s="121"/>
      <c r="G70" s="122"/>
    </row>
    <row r="71" spans="1:15" x14ac:dyDescent="0.25">
      <c r="A71" s="123" t="s">
        <v>9</v>
      </c>
      <c r="B71" s="124"/>
      <c r="C71" s="119"/>
      <c r="D71" s="120"/>
      <c r="E71" s="120"/>
      <c r="F71" s="121"/>
      <c r="G71" s="122"/>
    </row>
    <row r="72" spans="1:15" x14ac:dyDescent="0.25">
      <c r="A72" s="125" t="s">
        <v>31</v>
      </c>
      <c r="B72" s="126"/>
      <c r="C72" s="127" t="s">
        <v>4</v>
      </c>
      <c r="D72" s="127" t="s">
        <v>5</v>
      </c>
      <c r="E72" s="127" t="s">
        <v>73</v>
      </c>
      <c r="F72" s="128" t="s">
        <v>74</v>
      </c>
      <c r="G72" s="129" t="s">
        <v>75</v>
      </c>
    </row>
    <row r="73" spans="1:15" x14ac:dyDescent="0.25">
      <c r="A73" s="624" t="s">
        <v>271</v>
      </c>
      <c r="B73" s="624"/>
      <c r="C73" s="130" t="s">
        <v>272</v>
      </c>
      <c r="D73" s="131">
        <v>0.83938000000000001</v>
      </c>
      <c r="E73" s="132"/>
      <c r="F73" s="133">
        <v>99199</v>
      </c>
      <c r="G73" s="134">
        <f>ROUND(D73*F73,0)</f>
        <v>83266</v>
      </c>
    </row>
    <row r="74" spans="1:15" x14ac:dyDescent="0.25">
      <c r="A74" s="624" t="s">
        <v>273</v>
      </c>
      <c r="B74" s="624"/>
      <c r="C74" s="130" t="s">
        <v>266</v>
      </c>
      <c r="D74" s="131">
        <v>1.31</v>
      </c>
      <c r="E74" s="132"/>
      <c r="F74" s="133">
        <v>1495</v>
      </c>
      <c r="G74" s="134">
        <f>ROUND(D74*F74,0)</f>
        <v>1958</v>
      </c>
    </row>
    <row r="75" spans="1:15" x14ac:dyDescent="0.25">
      <c r="A75" s="624" t="s">
        <v>267</v>
      </c>
      <c r="B75" s="624"/>
      <c r="C75" s="199" t="s">
        <v>266</v>
      </c>
      <c r="D75" s="200">
        <v>1.03</v>
      </c>
      <c r="E75" s="201"/>
      <c r="F75" s="202">
        <v>26489.4</v>
      </c>
      <c r="G75" s="134">
        <f>ROUND(D75*F75,0)</f>
        <v>27284</v>
      </c>
    </row>
    <row r="76" spans="1:15" x14ac:dyDescent="0.25">
      <c r="A76" s="624"/>
      <c r="B76" s="624"/>
      <c r="C76" s="130"/>
      <c r="D76" s="131"/>
      <c r="E76" s="132"/>
      <c r="F76" s="135"/>
      <c r="G76" s="134"/>
    </row>
    <row r="77" spans="1:15" x14ac:dyDescent="0.25">
      <c r="A77" s="624"/>
      <c r="B77" s="624"/>
      <c r="C77" s="130"/>
      <c r="D77" s="131"/>
      <c r="E77" s="132"/>
      <c r="F77" s="135"/>
      <c r="G77" s="134"/>
    </row>
    <row r="78" spans="1:15" x14ac:dyDescent="0.25">
      <c r="A78" s="117"/>
      <c r="B78" s="118"/>
      <c r="C78" s="119"/>
      <c r="D78" s="136"/>
      <c r="E78" s="137"/>
      <c r="F78" s="138" t="s">
        <v>77</v>
      </c>
      <c r="G78" s="139">
        <f>SUM(G73:G77)+0.02</f>
        <v>112508.02</v>
      </c>
    </row>
    <row r="79" spans="1:15" x14ac:dyDescent="0.25">
      <c r="A79" s="123" t="s">
        <v>78</v>
      </c>
      <c r="B79" s="124"/>
      <c r="C79" s="119"/>
      <c r="D79" s="136"/>
      <c r="E79" s="137"/>
      <c r="F79" s="140"/>
      <c r="G79" s="122"/>
    </row>
    <row r="80" spans="1:15" x14ac:dyDescent="0.25">
      <c r="A80" s="141" t="s">
        <v>79</v>
      </c>
      <c r="B80" s="177" t="s">
        <v>5</v>
      </c>
      <c r="C80" s="127" t="s">
        <v>92</v>
      </c>
      <c r="D80" s="127" t="s">
        <v>4</v>
      </c>
      <c r="E80" s="156" t="s">
        <v>86</v>
      </c>
      <c r="F80" s="128" t="s">
        <v>74</v>
      </c>
      <c r="G80" s="139" t="s">
        <v>75</v>
      </c>
    </row>
    <row r="81" spans="1:7" ht="27" x14ac:dyDescent="0.25">
      <c r="A81" s="143" t="s">
        <v>274</v>
      </c>
      <c r="B81" s="144">
        <v>1</v>
      </c>
      <c r="C81" s="145" t="s">
        <v>80</v>
      </c>
      <c r="D81" s="200">
        <v>2.1646223900000001E-2</v>
      </c>
      <c r="E81" s="147" t="s">
        <v>81</v>
      </c>
      <c r="F81" s="202">
        <v>435688</v>
      </c>
      <c r="G81" s="134">
        <f>D81*F81</f>
        <v>9430.9999985432005</v>
      </c>
    </row>
    <row r="82" spans="1:7" x14ac:dyDescent="0.25">
      <c r="A82" s="149" t="s">
        <v>249</v>
      </c>
      <c r="B82" s="144">
        <v>1</v>
      </c>
      <c r="C82" s="145" t="s">
        <v>80</v>
      </c>
      <c r="D82" s="473">
        <v>7.0000000000000001E-3</v>
      </c>
      <c r="E82" s="147" t="s">
        <v>81</v>
      </c>
      <c r="F82" s="202">
        <v>480000</v>
      </c>
      <c r="G82" s="134">
        <f>D82*F82</f>
        <v>3360</v>
      </c>
    </row>
    <row r="83" spans="1:7" x14ac:dyDescent="0.25">
      <c r="A83" s="149"/>
      <c r="B83" s="150"/>
      <c r="C83" s="151"/>
      <c r="D83" s="152"/>
      <c r="E83" s="144"/>
      <c r="F83" s="148"/>
      <c r="G83" s="134"/>
    </row>
    <row r="84" spans="1:7" x14ac:dyDescent="0.25">
      <c r="A84" s="117"/>
      <c r="B84" s="118"/>
      <c r="C84" s="119"/>
      <c r="D84" s="136"/>
      <c r="E84" s="137"/>
      <c r="F84" s="138" t="s">
        <v>82</v>
      </c>
      <c r="G84" s="139">
        <f>SUM(G81:G82)</f>
        <v>12790.9999985432</v>
      </c>
    </row>
    <row r="85" spans="1:7" x14ac:dyDescent="0.25">
      <c r="A85" s="123" t="s">
        <v>83</v>
      </c>
      <c r="B85" s="124"/>
      <c r="C85" s="119"/>
      <c r="D85" s="136"/>
      <c r="E85" s="137"/>
      <c r="F85" s="140"/>
      <c r="G85" s="122"/>
    </row>
    <row r="86" spans="1:7" x14ac:dyDescent="0.25">
      <c r="A86" s="153" t="s">
        <v>31</v>
      </c>
      <c r="B86" s="154"/>
      <c r="C86" s="126"/>
      <c r="D86" s="127" t="s">
        <v>84</v>
      </c>
      <c r="E86" s="155" t="s">
        <v>85</v>
      </c>
      <c r="F86" s="156" t="s">
        <v>86</v>
      </c>
      <c r="G86" s="139" t="s">
        <v>74</v>
      </c>
    </row>
    <row r="87" spans="1:7" ht="16.5" x14ac:dyDescent="0.25">
      <c r="A87" s="157" t="s">
        <v>250</v>
      </c>
      <c r="B87" s="222"/>
      <c r="C87" s="223"/>
      <c r="D87" s="199" t="s">
        <v>87</v>
      </c>
      <c r="E87" s="147">
        <v>36575</v>
      </c>
      <c r="F87" s="224">
        <v>1.4999999999999999E-2</v>
      </c>
      <c r="G87" s="203">
        <f>ROUND(E87*F87,0)</f>
        <v>549</v>
      </c>
    </row>
    <row r="88" spans="1:7" ht="16.5" x14ac:dyDescent="0.25">
      <c r="A88" s="157" t="s">
        <v>275</v>
      </c>
      <c r="B88" s="158"/>
      <c r="C88" s="159"/>
      <c r="D88" s="130" t="s">
        <v>87</v>
      </c>
      <c r="E88" s="147">
        <v>8000</v>
      </c>
      <c r="F88" s="160">
        <v>0.5</v>
      </c>
      <c r="G88" s="203">
        <f>ROUND(E88*F88,0)</f>
        <v>4000</v>
      </c>
    </row>
    <row r="89" spans="1:7" ht="16.5" x14ac:dyDescent="0.25">
      <c r="A89" s="161"/>
      <c r="B89" s="158"/>
      <c r="C89" s="159"/>
      <c r="D89" s="130"/>
      <c r="E89" s="144"/>
      <c r="F89" s="160"/>
      <c r="G89" s="134"/>
    </row>
    <row r="90" spans="1:7" x14ac:dyDescent="0.25">
      <c r="A90" s="117"/>
      <c r="B90" s="118"/>
      <c r="C90" s="119"/>
      <c r="D90" s="120"/>
      <c r="E90" s="137"/>
      <c r="F90" s="162" t="s">
        <v>88</v>
      </c>
      <c r="G90" s="139">
        <f>SUM(G87:G88)</f>
        <v>4549</v>
      </c>
    </row>
    <row r="91" spans="1:7" x14ac:dyDescent="0.25">
      <c r="A91" s="123" t="s">
        <v>89</v>
      </c>
      <c r="B91" s="124"/>
      <c r="C91" s="119"/>
      <c r="D91" s="120"/>
      <c r="E91" s="120"/>
      <c r="F91" s="121"/>
      <c r="G91" s="122"/>
    </row>
    <row r="92" spans="1:7" x14ac:dyDescent="0.25">
      <c r="A92" s="624" t="s">
        <v>251</v>
      </c>
      <c r="B92" s="624"/>
      <c r="C92" s="130" t="s">
        <v>252</v>
      </c>
      <c r="D92" s="131">
        <v>226.2</v>
      </c>
      <c r="E92" s="150">
        <v>40.380000000000003</v>
      </c>
      <c r="F92" s="163">
        <v>1</v>
      </c>
      <c r="G92" s="134">
        <f>D92*E92*F92</f>
        <v>9133.9560000000001</v>
      </c>
    </row>
    <row r="93" spans="1:7" x14ac:dyDescent="0.25">
      <c r="A93" s="164"/>
      <c r="B93" s="165"/>
      <c r="C93" s="166"/>
      <c r="D93" s="167"/>
      <c r="E93" s="167"/>
      <c r="F93" s="168" t="s">
        <v>90</v>
      </c>
      <c r="G93" s="169">
        <f>+G92</f>
        <v>9133.9560000000001</v>
      </c>
    </row>
    <row r="94" spans="1:7" x14ac:dyDescent="0.25">
      <c r="A94" s="117"/>
      <c r="B94" s="118"/>
      <c r="C94" s="119"/>
      <c r="D94" s="120"/>
      <c r="E94" s="120"/>
      <c r="F94" s="121"/>
      <c r="G94" s="122"/>
    </row>
    <row r="95" spans="1:7" x14ac:dyDescent="0.25">
      <c r="A95" s="170"/>
      <c r="B95" s="171"/>
      <c r="C95" s="172"/>
      <c r="D95" s="173"/>
      <c r="E95" s="174" t="s">
        <v>91</v>
      </c>
      <c r="F95" s="175">
        <f>+G93+G90+G84+G78+0.3</f>
        <v>138982.27599854319</v>
      </c>
      <c r="G95" s="176">
        <f>ROUND(F95,1)</f>
        <v>138982.29999999999</v>
      </c>
    </row>
    <row r="96" spans="1:7" ht="15.75" thickTop="1" x14ac:dyDescent="0.25"/>
    <row r="97" spans="1:16" ht="15.75" thickBot="1" x14ac:dyDescent="0.3"/>
    <row r="98" spans="1:16" ht="16.5" x14ac:dyDescent="0.25">
      <c r="A98" s="626" t="s">
        <v>276</v>
      </c>
      <c r="B98" s="626"/>
      <c r="C98" s="626"/>
      <c r="D98" s="626"/>
      <c r="E98" s="626"/>
      <c r="F98" s="626"/>
      <c r="G98" s="626"/>
    </row>
    <row r="100" spans="1:16" ht="15" customHeight="1" x14ac:dyDescent="0.25">
      <c r="A100" s="233" t="s">
        <v>2</v>
      </c>
      <c r="B100" s="633" t="s">
        <v>31</v>
      </c>
      <c r="C100" s="633"/>
      <c r="D100" s="633"/>
      <c r="E100" s="633"/>
      <c r="F100" s="234" t="s">
        <v>4</v>
      </c>
      <c r="G100" s="235" t="s">
        <v>71</v>
      </c>
    </row>
    <row r="101" spans="1:16" ht="39" customHeight="1" x14ac:dyDescent="0.25">
      <c r="A101" s="188">
        <f>'MEMORIA  4 - REDUCTORES DE VELO'!C10</f>
        <v>4.0999999999999996</v>
      </c>
      <c r="B101" s="634" t="str">
        <f>'MEMORIA  4 - REDUCTORES DE VELO'!C9</f>
        <v>Suministro, transporte e instalación de reductores de velocidad. Garantia por instalación 6 meses. (Producto Avalado por FEDEPATIN COLOMBIA).</v>
      </c>
      <c r="C101" s="634"/>
      <c r="D101" s="634"/>
      <c r="E101" s="634"/>
      <c r="F101" s="189" t="str">
        <f>'MEMORIA  4 - REDUCTORES DE VELO'!L9</f>
        <v>UND</v>
      </c>
      <c r="G101" s="543">
        <f>G131+0.05</f>
        <v>36650.960000000006</v>
      </c>
      <c r="H101" s="5"/>
      <c r="I101" s="5"/>
      <c r="J101" s="5"/>
      <c r="K101" s="5"/>
      <c r="L101" s="5"/>
      <c r="M101" s="5"/>
      <c r="N101" s="5"/>
      <c r="O101" s="684"/>
    </row>
    <row r="102" spans="1:16" x14ac:dyDescent="0.25">
      <c r="A102" s="164"/>
      <c r="B102" s="165"/>
      <c r="C102" s="166"/>
      <c r="D102" s="167"/>
      <c r="E102" s="167"/>
      <c r="F102" s="190"/>
      <c r="G102" s="191"/>
    </row>
    <row r="103" spans="1:16" x14ac:dyDescent="0.25">
      <c r="A103" s="192" t="s">
        <v>9</v>
      </c>
      <c r="B103" s="193"/>
      <c r="C103" s="166"/>
      <c r="D103" s="167"/>
      <c r="E103" s="167"/>
      <c r="F103" s="190"/>
      <c r="G103" s="191"/>
    </row>
    <row r="104" spans="1:16" x14ac:dyDescent="0.25">
      <c r="A104" s="194" t="s">
        <v>31</v>
      </c>
      <c r="B104" s="195"/>
      <c r="C104" s="196" t="s">
        <v>4</v>
      </c>
      <c r="D104" s="196" t="s">
        <v>5</v>
      </c>
      <c r="E104" s="212" t="s">
        <v>86</v>
      </c>
      <c r="F104" s="197" t="s">
        <v>74</v>
      </c>
      <c r="G104" s="198" t="s">
        <v>75</v>
      </c>
    </row>
    <row r="105" spans="1:16" ht="15" customHeight="1" x14ac:dyDescent="0.25">
      <c r="A105" s="635" t="s">
        <v>281</v>
      </c>
      <c r="B105" s="635"/>
      <c r="C105" s="199" t="s">
        <v>76</v>
      </c>
      <c r="D105" s="200">
        <f>313.52</f>
        <v>313.52</v>
      </c>
      <c r="E105" s="201">
        <v>0.98880000000000001</v>
      </c>
      <c r="F105" s="472">
        <f>63989/810</f>
        <v>78.998765432098764</v>
      </c>
      <c r="G105" s="203">
        <f>ROUND(E105*F105*D105,0)</f>
        <v>24490</v>
      </c>
      <c r="H105" s="507"/>
      <c r="O105" s="487"/>
      <c r="P105" s="493"/>
    </row>
    <row r="106" spans="1:16" ht="15" customHeight="1" x14ac:dyDescent="0.25">
      <c r="A106" s="630" t="s">
        <v>282</v>
      </c>
      <c r="B106" s="630"/>
      <c r="C106" s="199" t="s">
        <v>76</v>
      </c>
      <c r="D106" s="200">
        <v>802</v>
      </c>
      <c r="E106" s="201">
        <v>1</v>
      </c>
      <c r="F106" s="472">
        <f>7357.77/810</f>
        <v>9.0836666666666677</v>
      </c>
      <c r="G106" s="203">
        <f t="shared" ref="G106:G108" si="0">ROUND(E106*F106*D106,0)</f>
        <v>7285</v>
      </c>
      <c r="H106" s="507"/>
      <c r="O106" s="487"/>
      <c r="P106" s="493"/>
    </row>
    <row r="107" spans="1:16" ht="15" customHeight="1" x14ac:dyDescent="0.25">
      <c r="A107" s="629" t="s">
        <v>283</v>
      </c>
      <c r="B107" s="629"/>
      <c r="C107" s="237" t="s">
        <v>76</v>
      </c>
      <c r="D107" s="200">
        <v>323.8</v>
      </c>
      <c r="E107" s="201">
        <v>1</v>
      </c>
      <c r="F107" s="472">
        <f>6669.5/810</f>
        <v>8.2339506172839503</v>
      </c>
      <c r="G107" s="203">
        <f t="shared" si="0"/>
        <v>2666</v>
      </c>
      <c r="H107" s="507"/>
      <c r="O107" s="487"/>
      <c r="P107" s="493"/>
    </row>
    <row r="108" spans="1:16" x14ac:dyDescent="0.25">
      <c r="A108" s="238" t="s">
        <v>284</v>
      </c>
      <c r="B108" s="239"/>
      <c r="C108" s="237" t="s">
        <v>99</v>
      </c>
      <c r="D108" s="200">
        <v>8.9995499999999993</v>
      </c>
      <c r="E108" s="201">
        <v>1</v>
      </c>
      <c r="F108" s="472">
        <f>152763.6/810</f>
        <v>188.59703703703704</v>
      </c>
      <c r="G108" s="203">
        <f t="shared" si="0"/>
        <v>1697</v>
      </c>
      <c r="H108" s="507"/>
      <c r="O108" s="487"/>
      <c r="P108" s="493"/>
    </row>
    <row r="109" spans="1:16" x14ac:dyDescent="0.25">
      <c r="A109" s="238"/>
      <c r="B109" s="239"/>
      <c r="C109" s="237"/>
      <c r="D109" s="200"/>
      <c r="E109" s="201"/>
      <c r="F109" s="202"/>
      <c r="G109" s="203">
        <f t="shared" ref="G109:G111" si="1">ROUND(E109*F109,0)</f>
        <v>0</v>
      </c>
      <c r="O109" s="487"/>
      <c r="P109" s="493"/>
    </row>
    <row r="110" spans="1:16" ht="15" customHeight="1" x14ac:dyDescent="0.25">
      <c r="A110" s="629"/>
      <c r="B110" s="629"/>
      <c r="C110" s="237"/>
      <c r="D110" s="200"/>
      <c r="E110" s="201"/>
      <c r="F110" s="202"/>
      <c r="G110" s="203">
        <f t="shared" si="1"/>
        <v>0</v>
      </c>
      <c r="O110" s="487"/>
      <c r="P110" s="493"/>
    </row>
    <row r="111" spans="1:16" ht="15" customHeight="1" x14ac:dyDescent="0.25">
      <c r="A111" s="636"/>
      <c r="B111" s="636"/>
      <c r="C111" s="237"/>
      <c r="D111" s="200"/>
      <c r="E111" s="201"/>
      <c r="F111" s="202"/>
      <c r="G111" s="203">
        <f t="shared" si="1"/>
        <v>0</v>
      </c>
      <c r="O111" s="487"/>
      <c r="P111" s="493"/>
    </row>
    <row r="112" spans="1:16" x14ac:dyDescent="0.25">
      <c r="A112" s="631"/>
      <c r="B112" s="631"/>
      <c r="C112" s="130"/>
      <c r="D112" s="131"/>
      <c r="E112" s="132"/>
      <c r="F112" s="240"/>
      <c r="G112" s="134">
        <f>ROUND(D112*E112*F112,0)</f>
        <v>0</v>
      </c>
      <c r="O112" s="487"/>
      <c r="P112" s="493"/>
    </row>
    <row r="113" spans="1:16" x14ac:dyDescent="0.25">
      <c r="A113" s="164"/>
      <c r="B113" s="165"/>
      <c r="C113" s="166"/>
      <c r="D113" s="204"/>
      <c r="E113" s="205"/>
      <c r="F113" s="206" t="s">
        <v>77</v>
      </c>
      <c r="G113" s="207">
        <f>SUM(G105:G112)</f>
        <v>36138</v>
      </c>
      <c r="H113" s="554"/>
      <c r="O113" s="487"/>
      <c r="P113" s="493"/>
    </row>
    <row r="114" spans="1:16" x14ac:dyDescent="0.25">
      <c r="A114" s="192" t="s">
        <v>78</v>
      </c>
      <c r="B114" s="193"/>
      <c r="C114" s="166"/>
      <c r="D114" s="204"/>
      <c r="E114" s="205"/>
      <c r="F114" s="208"/>
      <c r="G114" s="191"/>
      <c r="O114" s="487"/>
      <c r="P114" s="493"/>
    </row>
    <row r="115" spans="1:16" x14ac:dyDescent="0.25">
      <c r="A115" s="209" t="s">
        <v>79</v>
      </c>
      <c r="B115" s="196" t="s">
        <v>5</v>
      </c>
      <c r="C115" s="196" t="s">
        <v>4</v>
      </c>
      <c r="D115" s="196" t="s">
        <v>5</v>
      </c>
      <c r="E115" s="212" t="s">
        <v>86</v>
      </c>
      <c r="F115" s="197" t="s">
        <v>74</v>
      </c>
      <c r="G115" s="169" t="s">
        <v>75</v>
      </c>
      <c r="O115" s="487"/>
      <c r="P115" s="493"/>
    </row>
    <row r="116" spans="1:16" ht="27" x14ac:dyDescent="0.25">
      <c r="A116" s="143" t="s">
        <v>274</v>
      </c>
      <c r="B116" s="144">
        <v>1</v>
      </c>
      <c r="C116" s="145" t="s">
        <v>80</v>
      </c>
      <c r="D116" s="200">
        <v>1.6137694899999999E-2</v>
      </c>
      <c r="E116" s="147" t="s">
        <v>81</v>
      </c>
      <c r="F116" s="202">
        <f>405000/810</f>
        <v>500</v>
      </c>
      <c r="G116" s="134">
        <f>D116*F116</f>
        <v>8.0688474499999998</v>
      </c>
      <c r="H116" s="507"/>
      <c r="O116" s="487"/>
      <c r="P116" s="493"/>
    </row>
    <row r="117" spans="1:16" x14ac:dyDescent="0.25">
      <c r="A117" s="149" t="s">
        <v>249</v>
      </c>
      <c r="B117" s="144">
        <v>1</v>
      </c>
      <c r="C117" s="145" t="s">
        <v>80</v>
      </c>
      <c r="D117" s="200">
        <v>0.1446416458</v>
      </c>
      <c r="E117" s="147" t="s">
        <v>81</v>
      </c>
      <c r="F117" s="202">
        <f>479545.3441/810</f>
        <v>592.03128901234561</v>
      </c>
      <c r="G117" s="134">
        <f>D117*F117</f>
        <v>85.632380007841121</v>
      </c>
      <c r="H117" s="507"/>
      <c r="O117" s="487"/>
      <c r="P117" s="493"/>
    </row>
    <row r="118" spans="1:16" x14ac:dyDescent="0.25">
      <c r="A118" s="213"/>
      <c r="B118" s="216"/>
      <c r="C118" s="217"/>
      <c r="D118" s="218"/>
      <c r="E118" s="215"/>
      <c r="F118" s="219"/>
      <c r="G118" s="203"/>
      <c r="O118" s="487"/>
      <c r="P118" s="493"/>
    </row>
    <row r="119" spans="1:16" x14ac:dyDescent="0.25">
      <c r="A119" s="164"/>
      <c r="B119" s="165"/>
      <c r="C119" s="166"/>
      <c r="D119" s="204"/>
      <c r="E119" s="205"/>
      <c r="F119" s="206" t="s">
        <v>82</v>
      </c>
      <c r="G119" s="207">
        <f>SUM(G116:G118)</f>
        <v>93.701227457841128</v>
      </c>
      <c r="H119" s="554"/>
      <c r="O119" s="487"/>
      <c r="P119" s="493"/>
    </row>
    <row r="120" spans="1:16" x14ac:dyDescent="0.25">
      <c r="A120" s="192" t="s">
        <v>83</v>
      </c>
      <c r="B120" s="193"/>
      <c r="C120" s="166"/>
      <c r="D120" s="204"/>
      <c r="E120" s="205"/>
      <c r="F120" s="208"/>
      <c r="G120" s="191"/>
      <c r="O120" s="487"/>
      <c r="P120" s="493"/>
    </row>
    <row r="121" spans="1:16" x14ac:dyDescent="0.25">
      <c r="A121" s="153" t="s">
        <v>31</v>
      </c>
      <c r="B121" s="154"/>
      <c r="C121" s="126"/>
      <c r="D121" s="127" t="s">
        <v>84</v>
      </c>
      <c r="E121" s="155" t="s">
        <v>85</v>
      </c>
      <c r="F121" s="156" t="s">
        <v>86</v>
      </c>
      <c r="G121" s="139" t="s">
        <v>74</v>
      </c>
      <c r="O121" s="487"/>
      <c r="P121" s="493"/>
    </row>
    <row r="122" spans="1:16" ht="16.5" x14ac:dyDescent="0.25">
      <c r="A122" s="157" t="s">
        <v>250</v>
      </c>
      <c r="B122" s="222"/>
      <c r="C122" s="223"/>
      <c r="D122" s="199" t="s">
        <v>87</v>
      </c>
      <c r="E122" s="147">
        <f>37000/810</f>
        <v>45.679012345679013</v>
      </c>
      <c r="F122" s="224">
        <v>8.0899000000000001</v>
      </c>
      <c r="G122" s="203">
        <f>ROUND(E122*F122,0)</f>
        <v>370</v>
      </c>
      <c r="H122" s="507"/>
      <c r="P122" s="493"/>
    </row>
    <row r="123" spans="1:16" ht="16.5" x14ac:dyDescent="0.25">
      <c r="A123" s="157"/>
      <c r="B123" s="158"/>
      <c r="C123" s="159"/>
      <c r="D123" s="130"/>
      <c r="E123" s="147"/>
      <c r="F123" s="160"/>
      <c r="G123" s="203">
        <f>ROUND(E123*F123,0)</f>
        <v>0</v>
      </c>
      <c r="O123" s="487"/>
      <c r="P123" s="493"/>
    </row>
    <row r="124" spans="1:16" x14ac:dyDescent="0.25">
      <c r="A124" s="242"/>
      <c r="B124" s="243"/>
      <c r="C124" s="244"/>
      <c r="D124" s="130"/>
      <c r="E124" s="245"/>
      <c r="F124" s="147"/>
      <c r="G124" s="134">
        <f>ROUND(E124*F124,0)</f>
        <v>0</v>
      </c>
      <c r="O124" s="487"/>
      <c r="P124" s="493"/>
    </row>
    <row r="125" spans="1:16" ht="16.5" x14ac:dyDescent="0.25">
      <c r="A125" s="225"/>
      <c r="B125" s="222"/>
      <c r="C125" s="223"/>
      <c r="D125" s="199"/>
      <c r="E125" s="215"/>
      <c r="F125" s="224"/>
      <c r="G125" s="203"/>
      <c r="P125" s="493"/>
    </row>
    <row r="126" spans="1:16" x14ac:dyDescent="0.25">
      <c r="A126" s="164"/>
      <c r="B126" s="165"/>
      <c r="C126" s="166"/>
      <c r="D126" s="167"/>
      <c r="E126" s="205"/>
      <c r="F126" s="168" t="s">
        <v>88</v>
      </c>
      <c r="G126" s="207">
        <f>SUM(G122:G125)</f>
        <v>370</v>
      </c>
      <c r="H126" s="554"/>
      <c r="O126" s="487"/>
      <c r="P126" s="493"/>
    </row>
    <row r="127" spans="1:16" x14ac:dyDescent="0.25">
      <c r="A127" s="192" t="s">
        <v>89</v>
      </c>
      <c r="B127" s="193"/>
      <c r="C127" s="166"/>
      <c r="D127" s="167"/>
      <c r="E127" s="167"/>
      <c r="F127" s="190"/>
      <c r="G127" s="191"/>
      <c r="O127" s="487"/>
      <c r="P127" s="493"/>
    </row>
    <row r="128" spans="1:16" x14ac:dyDescent="0.25">
      <c r="A128" s="624" t="s">
        <v>251</v>
      </c>
      <c r="B128" s="624"/>
      <c r="C128" s="130" t="s">
        <v>252</v>
      </c>
      <c r="D128" s="131">
        <v>226.2</v>
      </c>
      <c r="E128" s="150">
        <f>174.51/809</f>
        <v>0.2157107540173053</v>
      </c>
      <c r="F128" s="163">
        <v>1</v>
      </c>
      <c r="G128" s="134">
        <f>D128*E128*F128</f>
        <v>48.793772558714458</v>
      </c>
      <c r="H128" s="507"/>
      <c r="O128" s="487"/>
      <c r="P128" s="493"/>
    </row>
    <row r="129" spans="1:16" x14ac:dyDescent="0.25">
      <c r="A129" s="164"/>
      <c r="B129" s="165"/>
      <c r="C129" s="166"/>
      <c r="D129" s="167"/>
      <c r="E129" s="167"/>
      <c r="F129" s="168" t="s">
        <v>90</v>
      </c>
      <c r="G129" s="494">
        <f>+G128</f>
        <v>48.793772558714458</v>
      </c>
      <c r="H129" s="555"/>
      <c r="O129" s="487"/>
      <c r="P129" s="493"/>
    </row>
    <row r="130" spans="1:16" x14ac:dyDescent="0.25">
      <c r="A130" s="164"/>
      <c r="B130" s="165"/>
      <c r="C130" s="166"/>
      <c r="D130" s="167"/>
      <c r="E130" s="167"/>
      <c r="F130" s="190"/>
      <c r="G130" s="191"/>
      <c r="O130" s="487"/>
      <c r="P130" s="493"/>
    </row>
    <row r="131" spans="1:16" ht="15.75" thickBot="1" x14ac:dyDescent="0.3">
      <c r="A131" s="226"/>
      <c r="B131" s="227"/>
      <c r="C131" s="228"/>
      <c r="D131" s="229"/>
      <c r="E131" s="230" t="s">
        <v>91</v>
      </c>
      <c r="F131" s="231">
        <f>+G129+G126+G119+G113+0.41</f>
        <v>36650.905000016559</v>
      </c>
      <c r="G131" s="495">
        <f>ROUND(F131,2)</f>
        <v>36650.910000000003</v>
      </c>
      <c r="H131" s="36"/>
      <c r="O131" s="487"/>
      <c r="P131" s="493"/>
    </row>
    <row r="132" spans="1:16" ht="15.75" thickTop="1" x14ac:dyDescent="0.25"/>
    <row r="133" spans="1:16" ht="15.75" thickBot="1" x14ac:dyDescent="0.3"/>
    <row r="134" spans="1:16" ht="17.25" thickBot="1" x14ac:dyDescent="0.3">
      <c r="A134" s="637" t="s">
        <v>285</v>
      </c>
      <c r="B134" s="638"/>
      <c r="C134" s="638"/>
      <c r="D134" s="638"/>
      <c r="E134" s="638"/>
      <c r="F134" s="638"/>
      <c r="G134" s="639"/>
    </row>
    <row r="135" spans="1:16" ht="15.75" thickBot="1" x14ac:dyDescent="0.3"/>
    <row r="136" spans="1:16" ht="15.75" thickTop="1" x14ac:dyDescent="0.25">
      <c r="A136" s="110" t="s">
        <v>2</v>
      </c>
      <c r="B136" s="622" t="s">
        <v>31</v>
      </c>
      <c r="C136" s="622"/>
      <c r="D136" s="622"/>
      <c r="E136" s="622"/>
      <c r="F136" s="111" t="s">
        <v>4</v>
      </c>
      <c r="G136" s="112" t="s">
        <v>71</v>
      </c>
    </row>
    <row r="137" spans="1:16" ht="270" customHeight="1" x14ac:dyDescent="0.25">
      <c r="A137" s="115">
        <f>'MEMORIA  5 - BARANDA DE PROTECC'!C10</f>
        <v>5.0999999999999996</v>
      </c>
      <c r="B137" s="623" t="str">
        <f>'MEMORIA  5 - BARANDA DE PROTECC'!C9</f>
        <v>Suministro, transporte y colocación de pasamanos metálico de protección para pista de patinaje de VELOCIDAD, con policarbonato de 6 mm, fijado a estructura por medio de remaches POP  de 5/32 x 5/8" 5-8. Bolillo interior en tubería negra pesada de 2" x 1.5 mm. Con parales principales verticales en tuberia negra redonda de 2", de altura 1.20 metros separados cada 2.90 a 3,00 mt anclados a piso con platina en acero tipo ASTM A36 de 10 x 15 cm de 1/8" y cuatro chazos concreto expansivo de 3/8" x 1-7/8". Parales intermedios rectangulares de 2" x 1" calibre 20,  de altura 1.20 metros, anclados a piso con varilla de hierro de 3/8", separados cada 2.90 a 3,00 metros. Angulo de 1" x 1/8" para soporte de policarbonato. Bandeja inferior en lámina galvanizada de 22,5 cm calibre 22, con banda de protección en neopreno de 20 cm de alto y 6 mm de espesor, adherido a la lámina por medio de pegante sintético. Incluye: soldadura de acabado, pulida y masillada, una mano de anticorrosivo tipo 1 y dos manos de pintura esmalte tipo pintulux 3 en 1 y todo lo necesario para su correcta instalación y funcionamiento. (Producto Avalado por FEDEPATIN). Incluye aprovechamiento de bolillo superior e intermedio de la baranda actual.</v>
      </c>
      <c r="C137" s="623"/>
      <c r="D137" s="623"/>
      <c r="E137" s="623"/>
      <c r="F137" s="116" t="str">
        <f>'MEMORIA  5 - BARANDA DE PROTECC'!L9</f>
        <v>ML</v>
      </c>
      <c r="G137" s="492">
        <f>G176+0.03</f>
        <v>850340.73</v>
      </c>
      <c r="H137" s="5"/>
      <c r="I137" s="5"/>
      <c r="J137" s="5"/>
      <c r="K137" s="5"/>
      <c r="L137" s="5"/>
      <c r="M137" s="5"/>
      <c r="N137" s="5"/>
      <c r="O137" s="684"/>
    </row>
    <row r="138" spans="1:16" x14ac:dyDescent="0.25">
      <c r="A138" s="117"/>
      <c r="B138" s="118"/>
      <c r="C138" s="119"/>
      <c r="D138" s="120"/>
      <c r="E138" s="120"/>
      <c r="F138" s="121"/>
      <c r="G138" s="122"/>
    </row>
    <row r="139" spans="1:16" x14ac:dyDescent="0.25">
      <c r="A139" s="123" t="s">
        <v>9</v>
      </c>
      <c r="B139" s="124"/>
      <c r="C139" s="119"/>
      <c r="D139" s="120"/>
      <c r="E139" s="120"/>
      <c r="F139" s="121"/>
      <c r="G139" s="122"/>
    </row>
    <row r="140" spans="1:16" x14ac:dyDescent="0.25">
      <c r="A140" s="125" t="s">
        <v>31</v>
      </c>
      <c r="B140" s="126"/>
      <c r="C140" s="127" t="s">
        <v>4</v>
      </c>
      <c r="D140" s="127" t="s">
        <v>5</v>
      </c>
      <c r="E140" s="127" t="s">
        <v>73</v>
      </c>
      <c r="F140" s="128" t="s">
        <v>74</v>
      </c>
      <c r="G140" s="129" t="s">
        <v>75</v>
      </c>
    </row>
    <row r="141" spans="1:16" x14ac:dyDescent="0.25">
      <c r="A141" s="624" t="s">
        <v>289</v>
      </c>
      <c r="B141" s="624"/>
      <c r="C141" s="130" t="s">
        <v>76</v>
      </c>
      <c r="D141" s="131">
        <v>1.1499999999999999</v>
      </c>
      <c r="E141" s="132"/>
      <c r="F141" s="133">
        <v>43977</v>
      </c>
      <c r="G141" s="134">
        <f>ROUND(D141*F141,0)</f>
        <v>50574</v>
      </c>
    </row>
    <row r="142" spans="1:16" x14ac:dyDescent="0.25">
      <c r="A142" s="624" t="s">
        <v>290</v>
      </c>
      <c r="B142" s="624"/>
      <c r="C142" s="130" t="s">
        <v>96</v>
      </c>
      <c r="D142" s="131">
        <v>0.3</v>
      </c>
      <c r="E142" s="132"/>
      <c r="F142" s="133">
        <v>24860</v>
      </c>
      <c r="G142" s="134">
        <f t="shared" ref="G142:G156" si="2">ROUND(D142*F142,0)</f>
        <v>7458</v>
      </c>
    </row>
    <row r="143" spans="1:16" x14ac:dyDescent="0.25">
      <c r="A143" s="624" t="s">
        <v>291</v>
      </c>
      <c r="B143" s="624"/>
      <c r="C143" s="130" t="s">
        <v>305</v>
      </c>
      <c r="D143" s="131">
        <v>0.05</v>
      </c>
      <c r="E143" s="132"/>
      <c r="F143" s="133">
        <v>99340</v>
      </c>
      <c r="G143" s="134">
        <f t="shared" si="2"/>
        <v>4967</v>
      </c>
    </row>
    <row r="144" spans="1:16" x14ac:dyDescent="0.25">
      <c r="A144" s="624" t="s">
        <v>292</v>
      </c>
      <c r="B144" s="624"/>
      <c r="C144" s="130" t="s">
        <v>76</v>
      </c>
      <c r="D144" s="131">
        <v>7.0000000000000007E-2</v>
      </c>
      <c r="E144" s="132"/>
      <c r="F144" s="133">
        <v>62450</v>
      </c>
      <c r="G144" s="134">
        <f t="shared" si="2"/>
        <v>4372</v>
      </c>
    </row>
    <row r="145" spans="1:7" x14ac:dyDescent="0.25">
      <c r="A145" s="624" t="s">
        <v>293</v>
      </c>
      <c r="B145" s="624"/>
      <c r="C145" s="130" t="s">
        <v>306</v>
      </c>
      <c r="D145" s="131">
        <v>0.60814999999999997</v>
      </c>
      <c r="E145" s="132"/>
      <c r="F145" s="133">
        <v>63000</v>
      </c>
      <c r="G145" s="134">
        <f t="shared" si="2"/>
        <v>38313</v>
      </c>
    </row>
    <row r="146" spans="1:7" x14ac:dyDescent="0.25">
      <c r="A146" s="624" t="s">
        <v>294</v>
      </c>
      <c r="B146" s="624"/>
      <c r="C146" s="130" t="s">
        <v>306</v>
      </c>
      <c r="D146" s="131">
        <v>3.4</v>
      </c>
      <c r="E146" s="132"/>
      <c r="F146" s="133">
        <v>8900</v>
      </c>
      <c r="G146" s="134">
        <f t="shared" si="2"/>
        <v>30260</v>
      </c>
    </row>
    <row r="147" spans="1:7" x14ac:dyDescent="0.25">
      <c r="A147" s="624" t="s">
        <v>295</v>
      </c>
      <c r="B147" s="624"/>
      <c r="C147" s="130" t="s">
        <v>76</v>
      </c>
      <c r="D147" s="131">
        <v>0.88</v>
      </c>
      <c r="E147" s="132"/>
      <c r="F147" s="133">
        <v>519728</v>
      </c>
      <c r="G147" s="134">
        <f t="shared" si="2"/>
        <v>457361</v>
      </c>
    </row>
    <row r="148" spans="1:7" x14ac:dyDescent="0.25">
      <c r="A148" s="624" t="s">
        <v>296</v>
      </c>
      <c r="B148" s="624"/>
      <c r="C148" s="130" t="s">
        <v>76</v>
      </c>
      <c r="D148" s="131">
        <v>0.9</v>
      </c>
      <c r="E148" s="132"/>
      <c r="F148" s="133">
        <v>34200</v>
      </c>
      <c r="G148" s="134">
        <f t="shared" si="2"/>
        <v>30780</v>
      </c>
    </row>
    <row r="149" spans="1:7" x14ac:dyDescent="0.25">
      <c r="A149" s="624" t="s">
        <v>297</v>
      </c>
      <c r="B149" s="624"/>
      <c r="C149" s="130" t="s">
        <v>306</v>
      </c>
      <c r="D149" s="131">
        <v>0.01</v>
      </c>
      <c r="E149" s="132"/>
      <c r="F149" s="133">
        <v>1200</v>
      </c>
      <c r="G149" s="134">
        <f t="shared" si="2"/>
        <v>12</v>
      </c>
    </row>
    <row r="150" spans="1:7" x14ac:dyDescent="0.25">
      <c r="A150" s="624" t="s">
        <v>298</v>
      </c>
      <c r="B150" s="624"/>
      <c r="C150" s="130" t="s">
        <v>305</v>
      </c>
      <c r="D150" s="131">
        <v>4.4999999999999998E-2</v>
      </c>
      <c r="E150" s="132"/>
      <c r="F150" s="133">
        <v>13560</v>
      </c>
      <c r="G150" s="134">
        <f t="shared" si="2"/>
        <v>610</v>
      </c>
    </row>
    <row r="151" spans="1:7" x14ac:dyDescent="0.25">
      <c r="A151" s="624" t="s">
        <v>299</v>
      </c>
      <c r="B151" s="624"/>
      <c r="C151" s="130" t="s">
        <v>76</v>
      </c>
      <c r="D151" s="131">
        <v>2.1</v>
      </c>
      <c r="E151" s="132"/>
      <c r="F151" s="133">
        <v>33490</v>
      </c>
      <c r="G151" s="134">
        <f t="shared" si="2"/>
        <v>70329</v>
      </c>
    </row>
    <row r="152" spans="1:7" x14ac:dyDescent="0.25">
      <c r="A152" s="624" t="s">
        <v>300</v>
      </c>
      <c r="B152" s="624"/>
      <c r="C152" s="130" t="s">
        <v>305</v>
      </c>
      <c r="D152" s="131">
        <v>0.11700000000000001</v>
      </c>
      <c r="E152" s="132"/>
      <c r="F152" s="133">
        <v>38619</v>
      </c>
      <c r="G152" s="134">
        <f t="shared" si="2"/>
        <v>4518</v>
      </c>
    </row>
    <row r="153" spans="1:7" x14ac:dyDescent="0.25">
      <c r="A153" s="624" t="s">
        <v>301</v>
      </c>
      <c r="B153" s="624"/>
      <c r="C153" s="130" t="s">
        <v>76</v>
      </c>
      <c r="D153" s="131">
        <v>2.97</v>
      </c>
      <c r="E153" s="132"/>
      <c r="F153" s="133">
        <v>2569</v>
      </c>
      <c r="G153" s="134">
        <f t="shared" si="2"/>
        <v>7630</v>
      </c>
    </row>
    <row r="154" spans="1:7" x14ac:dyDescent="0.25">
      <c r="A154" s="624" t="s">
        <v>302</v>
      </c>
      <c r="B154" s="624"/>
      <c r="C154" s="130" t="s">
        <v>306</v>
      </c>
      <c r="D154" s="131">
        <v>15</v>
      </c>
      <c r="E154" s="132"/>
      <c r="F154" s="135">
        <v>450</v>
      </c>
      <c r="G154" s="134">
        <f t="shared" si="2"/>
        <v>6750</v>
      </c>
    </row>
    <row r="155" spans="1:7" x14ac:dyDescent="0.25">
      <c r="A155" s="624" t="s">
        <v>303</v>
      </c>
      <c r="B155" s="624"/>
      <c r="C155" s="130" t="s">
        <v>76</v>
      </c>
      <c r="D155" s="131">
        <v>0.9</v>
      </c>
      <c r="E155" s="132"/>
      <c r="F155" s="135">
        <v>31300</v>
      </c>
      <c r="G155" s="134">
        <f t="shared" si="2"/>
        <v>28170</v>
      </c>
    </row>
    <row r="156" spans="1:7" x14ac:dyDescent="0.25">
      <c r="A156" s="624" t="s">
        <v>304</v>
      </c>
      <c r="B156" s="624"/>
      <c r="C156" s="130" t="s">
        <v>306</v>
      </c>
      <c r="D156" s="131">
        <v>3.6</v>
      </c>
      <c r="E156" s="132"/>
      <c r="F156" s="135">
        <v>696</v>
      </c>
      <c r="G156" s="134">
        <f t="shared" si="2"/>
        <v>2506</v>
      </c>
    </row>
    <row r="157" spans="1:7" x14ac:dyDescent="0.25">
      <c r="A157" s="117"/>
      <c r="B157" s="118"/>
      <c r="C157" s="119"/>
      <c r="D157" s="136"/>
      <c r="E157" s="137"/>
      <c r="F157" s="138" t="s">
        <v>77</v>
      </c>
      <c r="G157" s="139">
        <f>SUM(G141:G156)</f>
        <v>744610</v>
      </c>
    </row>
    <row r="158" spans="1:7" x14ac:dyDescent="0.25">
      <c r="A158" s="123" t="s">
        <v>78</v>
      </c>
      <c r="B158" s="124"/>
      <c r="C158" s="119"/>
      <c r="D158" s="136"/>
      <c r="E158" s="137"/>
      <c r="F158" s="140"/>
      <c r="G158" s="122"/>
    </row>
    <row r="159" spans="1:7" x14ac:dyDescent="0.25">
      <c r="A159" s="141" t="s">
        <v>79</v>
      </c>
      <c r="B159" s="177" t="s">
        <v>5</v>
      </c>
      <c r="C159" s="127" t="s">
        <v>4</v>
      </c>
      <c r="D159" s="127" t="s">
        <v>5</v>
      </c>
      <c r="E159" s="127" t="s">
        <v>86</v>
      </c>
      <c r="F159" s="128" t="s">
        <v>74</v>
      </c>
      <c r="G159" s="139" t="s">
        <v>75</v>
      </c>
    </row>
    <row r="160" spans="1:7" ht="27" x14ac:dyDescent="0.25">
      <c r="A160" s="143" t="s">
        <v>307</v>
      </c>
      <c r="B160" s="144">
        <v>1</v>
      </c>
      <c r="C160" s="145" t="s">
        <v>76</v>
      </c>
      <c r="D160" s="200">
        <v>0.1805801947</v>
      </c>
      <c r="E160" s="147" t="s">
        <v>81</v>
      </c>
      <c r="F160" s="202">
        <v>343988</v>
      </c>
      <c r="G160" s="134">
        <f>ROUND(D160*F160,0)</f>
        <v>62117</v>
      </c>
    </row>
    <row r="161" spans="1:7" x14ac:dyDescent="0.25">
      <c r="A161" s="149"/>
      <c r="B161" s="144"/>
      <c r="C161" s="145"/>
      <c r="D161" s="146"/>
      <c r="E161" s="147"/>
      <c r="F161" s="148"/>
      <c r="G161" s="134"/>
    </row>
    <row r="162" spans="1:7" x14ac:dyDescent="0.25">
      <c r="A162" s="149"/>
      <c r="B162" s="150"/>
      <c r="C162" s="151"/>
      <c r="D162" s="152"/>
      <c r="E162" s="144"/>
      <c r="F162" s="148"/>
      <c r="G162" s="134"/>
    </row>
    <row r="163" spans="1:7" x14ac:dyDescent="0.25">
      <c r="A163" s="117"/>
      <c r="B163" s="118"/>
      <c r="C163" s="119"/>
      <c r="D163" s="136"/>
      <c r="E163" s="137"/>
      <c r="F163" s="138" t="s">
        <v>82</v>
      </c>
      <c r="G163" s="139">
        <f>SUM(G160:G161)</f>
        <v>62117</v>
      </c>
    </row>
    <row r="164" spans="1:7" x14ac:dyDescent="0.25">
      <c r="A164" s="123" t="s">
        <v>83</v>
      </c>
      <c r="B164" s="124"/>
      <c r="C164" s="119"/>
      <c r="D164" s="136"/>
      <c r="E164" s="137"/>
      <c r="F164" s="140"/>
      <c r="G164" s="122"/>
    </row>
    <row r="165" spans="1:7" x14ac:dyDescent="0.25">
      <c r="A165" s="153" t="s">
        <v>31</v>
      </c>
      <c r="B165" s="154"/>
      <c r="C165" s="126"/>
      <c r="D165" s="127" t="s">
        <v>84</v>
      </c>
      <c r="E165" s="155" t="s">
        <v>85</v>
      </c>
      <c r="F165" s="156" t="s">
        <v>86</v>
      </c>
      <c r="G165" s="139" t="s">
        <v>74</v>
      </c>
    </row>
    <row r="166" spans="1:7" ht="16.5" x14ac:dyDescent="0.25">
      <c r="A166" s="157" t="s">
        <v>250</v>
      </c>
      <c r="B166" s="222"/>
      <c r="C166" s="223"/>
      <c r="D166" s="199" t="s">
        <v>87</v>
      </c>
      <c r="E166" s="147">
        <v>36556</v>
      </c>
      <c r="F166" s="224">
        <v>0.24</v>
      </c>
      <c r="G166" s="203">
        <f>ROUND(E166*F166,0)</f>
        <v>8773</v>
      </c>
    </row>
    <row r="167" spans="1:7" ht="16.5" x14ac:dyDescent="0.25">
      <c r="A167" s="161" t="s">
        <v>308</v>
      </c>
      <c r="B167" s="158"/>
      <c r="C167" s="159"/>
      <c r="D167" s="130" t="s">
        <v>87</v>
      </c>
      <c r="E167" s="147">
        <v>90000</v>
      </c>
      <c r="F167" s="224">
        <v>0.317</v>
      </c>
      <c r="G167" s="134">
        <f>ROUND(E167*F167,0)</f>
        <v>28530</v>
      </c>
    </row>
    <row r="168" spans="1:7" x14ac:dyDescent="0.25">
      <c r="A168" s="149"/>
      <c r="B168" s="247"/>
      <c r="C168" s="248"/>
      <c r="D168" s="130"/>
      <c r="E168" s="246"/>
      <c r="F168" s="240"/>
      <c r="G168" s="134">
        <f>ROUND((+F168*E168),0)</f>
        <v>0</v>
      </c>
    </row>
    <row r="169" spans="1:7" x14ac:dyDescent="0.25">
      <c r="A169" s="632"/>
      <c r="B169" s="632"/>
      <c r="C169" s="632"/>
      <c r="D169" s="130"/>
      <c r="E169" s="178"/>
      <c r="F169" s="163"/>
      <c r="G169" s="134">
        <f>E169*F169</f>
        <v>0</v>
      </c>
    </row>
    <row r="170" spans="1:7" ht="16.5" x14ac:dyDescent="0.25">
      <c r="A170" s="161"/>
      <c r="B170" s="158"/>
      <c r="C170" s="159"/>
      <c r="D170" s="130"/>
      <c r="E170" s="144"/>
      <c r="F170" s="160"/>
      <c r="G170" s="134"/>
    </row>
    <row r="171" spans="1:7" x14ac:dyDescent="0.25">
      <c r="A171" s="117"/>
      <c r="B171" s="118"/>
      <c r="C171" s="119"/>
      <c r="D171" s="120"/>
      <c r="E171" s="137"/>
      <c r="F171" s="162" t="s">
        <v>88</v>
      </c>
      <c r="G171" s="139">
        <f>SUM(G166:G169)</f>
        <v>37303</v>
      </c>
    </row>
    <row r="172" spans="1:7" x14ac:dyDescent="0.25">
      <c r="A172" s="123" t="s">
        <v>97</v>
      </c>
      <c r="B172" s="124"/>
      <c r="C172" s="119"/>
      <c r="D172" s="120"/>
      <c r="E172" s="120"/>
      <c r="F172" s="121"/>
      <c r="G172" s="122"/>
    </row>
    <row r="173" spans="1:7" x14ac:dyDescent="0.25">
      <c r="A173" s="624" t="s">
        <v>251</v>
      </c>
      <c r="B173" s="624"/>
      <c r="C173" s="130" t="s">
        <v>252</v>
      </c>
      <c r="D173" s="131">
        <v>226.2</v>
      </c>
      <c r="E173" s="150">
        <v>27.902000000000001</v>
      </c>
      <c r="F173" s="163">
        <v>1</v>
      </c>
      <c r="G173" s="134">
        <f>D173*E173*F173</f>
        <v>6311.4323999999997</v>
      </c>
    </row>
    <row r="174" spans="1:7" x14ac:dyDescent="0.25">
      <c r="A174" s="117"/>
      <c r="B174" s="118"/>
      <c r="C174" s="119"/>
      <c r="D174" s="120"/>
      <c r="E174" s="120"/>
      <c r="F174" s="162" t="s">
        <v>98</v>
      </c>
      <c r="G174" s="139">
        <f>G173</f>
        <v>6311.4323999999997</v>
      </c>
    </row>
    <row r="175" spans="1:7" x14ac:dyDescent="0.25">
      <c r="A175" s="117"/>
      <c r="B175" s="118"/>
      <c r="C175" s="119"/>
      <c r="D175" s="120"/>
      <c r="E175" s="120"/>
      <c r="F175" s="121"/>
      <c r="G175" s="122"/>
    </row>
    <row r="176" spans="1:7" x14ac:dyDescent="0.25">
      <c r="A176" s="170"/>
      <c r="B176" s="171"/>
      <c r="C176" s="172"/>
      <c r="D176" s="173"/>
      <c r="E176" s="174" t="s">
        <v>91</v>
      </c>
      <c r="F176" s="175">
        <f>+G174+G171+G163+G157-0.73</f>
        <v>850340.70240000007</v>
      </c>
      <c r="G176" s="176">
        <f>ROUND(F176,2)</f>
        <v>850340.7</v>
      </c>
    </row>
    <row r="179" spans="1:15" ht="16.5" x14ac:dyDescent="0.25">
      <c r="A179" s="626" t="s">
        <v>309</v>
      </c>
      <c r="B179" s="626"/>
      <c r="C179" s="626"/>
      <c r="D179" s="626"/>
      <c r="E179" s="626"/>
      <c r="F179" s="626"/>
      <c r="G179" s="626"/>
    </row>
    <row r="181" spans="1:15" x14ac:dyDescent="0.25">
      <c r="A181" s="110" t="s">
        <v>2</v>
      </c>
      <c r="B181" s="622" t="s">
        <v>31</v>
      </c>
      <c r="C181" s="622"/>
      <c r="D181" s="622"/>
      <c r="E181" s="622"/>
      <c r="F181" s="111" t="s">
        <v>4</v>
      </c>
      <c r="G181" s="112" t="s">
        <v>71</v>
      </c>
    </row>
    <row r="182" spans="1:15" ht="45.95" customHeight="1" x14ac:dyDescent="0.25">
      <c r="A182" s="115">
        <f>'MEMORIA 6 - DESMONTE BARANDA EX'!C10</f>
        <v>6.1</v>
      </c>
      <c r="B182" s="623" t="str">
        <f>'MEMORIA 6 - DESMONTE BARANDA EX'!C9</f>
        <v>Desmonte de baranda de protección existente con personal calificado para recuperación de la misma y su futura utilización por parte de la Administración en otros escenarios y acopio en situ del material resultante. No incluye botada ni transporte.</v>
      </c>
      <c r="C182" s="623"/>
      <c r="D182" s="623"/>
      <c r="E182" s="623"/>
      <c r="F182" s="116" t="str">
        <f>'MEMORIA 6 - DESMONTE BARANDA EX'!$L$9</f>
        <v>ML</v>
      </c>
      <c r="G182" s="492">
        <f>G206+0.43</f>
        <v>63367.43</v>
      </c>
      <c r="H182" s="5"/>
      <c r="I182" s="5"/>
      <c r="J182" s="5"/>
      <c r="K182" s="5"/>
      <c r="L182" s="5"/>
      <c r="M182" s="5"/>
      <c r="N182" s="5"/>
      <c r="O182" s="684"/>
    </row>
    <row r="183" spans="1:15" x14ac:dyDescent="0.25">
      <c r="A183" s="117"/>
      <c r="B183" s="118"/>
      <c r="C183" s="119"/>
      <c r="D183" s="120"/>
      <c r="E183" s="120"/>
      <c r="F183" s="121"/>
      <c r="G183" s="122"/>
    </row>
    <row r="184" spans="1:15" x14ac:dyDescent="0.25">
      <c r="A184" s="192" t="s">
        <v>9</v>
      </c>
      <c r="B184" s="193"/>
      <c r="C184" s="166"/>
      <c r="D184" s="167"/>
      <c r="E184" s="167"/>
      <c r="F184" s="190"/>
      <c r="G184" s="191"/>
    </row>
    <row r="185" spans="1:15" x14ac:dyDescent="0.25">
      <c r="A185" s="194" t="s">
        <v>31</v>
      </c>
      <c r="B185" s="195"/>
      <c r="C185" s="196" t="s">
        <v>4</v>
      </c>
      <c r="D185" s="196" t="s">
        <v>5</v>
      </c>
      <c r="E185" s="212" t="s">
        <v>86</v>
      </c>
      <c r="F185" s="197" t="s">
        <v>74</v>
      </c>
      <c r="G185" s="198" t="s">
        <v>75</v>
      </c>
    </row>
    <row r="186" spans="1:15" ht="15" customHeight="1" x14ac:dyDescent="0.25">
      <c r="A186" s="629"/>
      <c r="B186" s="629"/>
      <c r="C186" s="237"/>
      <c r="D186" s="200"/>
      <c r="E186" s="201"/>
      <c r="F186" s="202"/>
      <c r="G186" s="203">
        <f>ROUND(E186*F186,0)</f>
        <v>0</v>
      </c>
    </row>
    <row r="187" spans="1:15" x14ac:dyDescent="0.25">
      <c r="A187" s="238"/>
      <c r="B187" s="239"/>
      <c r="C187" s="237"/>
      <c r="D187" s="200"/>
      <c r="E187" s="201"/>
      <c r="F187" s="202"/>
      <c r="G187" s="203">
        <f>ROUND(E187*F187,0)</f>
        <v>0</v>
      </c>
    </row>
    <row r="188" spans="1:15" x14ac:dyDescent="0.25">
      <c r="A188" s="630"/>
      <c r="B188" s="630"/>
      <c r="C188" s="199"/>
      <c r="D188" s="200"/>
      <c r="E188" s="201"/>
      <c r="F188" s="202"/>
      <c r="G188" s="203"/>
    </row>
    <row r="189" spans="1:15" x14ac:dyDescent="0.25">
      <c r="A189" s="164"/>
      <c r="B189" s="165"/>
      <c r="C189" s="166"/>
      <c r="D189" s="204"/>
      <c r="E189" s="205"/>
      <c r="F189" s="206" t="s">
        <v>77</v>
      </c>
      <c r="G189" s="207">
        <f>SUM(G186:G188)</f>
        <v>0</v>
      </c>
    </row>
    <row r="190" spans="1:15" x14ac:dyDescent="0.25">
      <c r="A190" s="192" t="s">
        <v>78</v>
      </c>
      <c r="B190" s="193"/>
      <c r="C190" s="166"/>
      <c r="D190" s="204"/>
      <c r="E190" s="205"/>
      <c r="F190" s="208"/>
      <c r="G190" s="191"/>
    </row>
    <row r="191" spans="1:15" x14ac:dyDescent="0.25">
      <c r="A191" s="209" t="s">
        <v>79</v>
      </c>
      <c r="B191" s="196" t="s">
        <v>5</v>
      </c>
      <c r="C191" s="196" t="s">
        <v>4</v>
      </c>
      <c r="D191" s="196" t="s">
        <v>5</v>
      </c>
      <c r="E191" s="212" t="s">
        <v>86</v>
      </c>
      <c r="F191" s="197" t="s">
        <v>74</v>
      </c>
      <c r="G191" s="169" t="s">
        <v>75</v>
      </c>
    </row>
    <row r="192" spans="1:15" ht="27" x14ac:dyDescent="0.25">
      <c r="A192" s="143" t="s">
        <v>307</v>
      </c>
      <c r="B192" s="144">
        <v>1</v>
      </c>
      <c r="C192" s="145" t="s">
        <v>76</v>
      </c>
      <c r="D192" s="200">
        <v>9.8599999999999993E-2</v>
      </c>
      <c r="E192" s="147" t="s">
        <v>81</v>
      </c>
      <c r="F192" s="202">
        <v>343988</v>
      </c>
      <c r="G192" s="134">
        <f>ROUND(D192*F192,0)</f>
        <v>33917</v>
      </c>
    </row>
    <row r="193" spans="1:7" x14ac:dyDescent="0.25">
      <c r="A193" s="213"/>
      <c r="B193" s="214"/>
      <c r="C193" s="145"/>
      <c r="D193" s="146"/>
      <c r="E193" s="241"/>
      <c r="F193" s="219"/>
      <c r="G193" s="203"/>
    </row>
    <row r="194" spans="1:7" x14ac:dyDescent="0.25">
      <c r="A194" s="213"/>
      <c r="B194" s="216"/>
      <c r="C194" s="217"/>
      <c r="D194" s="218"/>
      <c r="E194" s="215"/>
      <c r="F194" s="219"/>
      <c r="G194" s="203"/>
    </row>
    <row r="195" spans="1:7" x14ac:dyDescent="0.25">
      <c r="A195" s="164"/>
      <c r="B195" s="165"/>
      <c r="C195" s="166"/>
      <c r="D195" s="204"/>
      <c r="E195" s="205"/>
      <c r="F195" s="206" t="s">
        <v>82</v>
      </c>
      <c r="G195" s="207">
        <f>SUM(G192:G194)</f>
        <v>33917</v>
      </c>
    </row>
    <row r="196" spans="1:7" x14ac:dyDescent="0.25">
      <c r="A196" s="192" t="s">
        <v>83</v>
      </c>
      <c r="B196" s="193"/>
      <c r="C196" s="166"/>
      <c r="D196" s="204"/>
      <c r="E196" s="205"/>
      <c r="F196" s="208"/>
      <c r="G196" s="191"/>
    </row>
    <row r="197" spans="1:7" x14ac:dyDescent="0.25">
      <c r="A197" s="220" t="s">
        <v>31</v>
      </c>
      <c r="B197" s="221"/>
      <c r="C197" s="196" t="s">
        <v>4</v>
      </c>
      <c r="D197" s="196" t="s">
        <v>5</v>
      </c>
      <c r="E197" s="212" t="s">
        <v>86</v>
      </c>
      <c r="F197" s="197" t="s">
        <v>74</v>
      </c>
      <c r="G197" s="169" t="s">
        <v>74</v>
      </c>
    </row>
    <row r="198" spans="1:7" ht="16.5" x14ac:dyDescent="0.25">
      <c r="A198" s="157" t="s">
        <v>250</v>
      </c>
      <c r="B198" s="222"/>
      <c r="C198" s="223"/>
      <c r="D198" s="199" t="s">
        <v>87</v>
      </c>
      <c r="E198" s="147">
        <v>36556</v>
      </c>
      <c r="F198" s="224">
        <v>0.24</v>
      </c>
      <c r="G198" s="203">
        <f>ROUND(E198*F198,0)</f>
        <v>8773</v>
      </c>
    </row>
    <row r="199" spans="1:7" ht="16.5" x14ac:dyDescent="0.25">
      <c r="A199" s="161" t="s">
        <v>308</v>
      </c>
      <c r="B199" s="158"/>
      <c r="C199" s="159"/>
      <c r="D199" s="130"/>
      <c r="E199" s="147">
        <v>90000</v>
      </c>
      <c r="F199" s="224">
        <v>0.21057999999999999</v>
      </c>
      <c r="G199" s="134">
        <f>ROUND(E199*F199,0)</f>
        <v>18952</v>
      </c>
    </row>
    <row r="200" spans="1:7" ht="16.5" x14ac:dyDescent="0.25">
      <c r="A200" s="225"/>
      <c r="B200" s="222"/>
      <c r="C200" s="223"/>
      <c r="D200" s="199"/>
      <c r="E200" s="215"/>
      <c r="F200" s="224"/>
      <c r="G200" s="203"/>
    </row>
    <row r="201" spans="1:7" x14ac:dyDescent="0.25">
      <c r="A201" s="164"/>
      <c r="B201" s="165"/>
      <c r="C201" s="166"/>
      <c r="D201" s="167"/>
      <c r="E201" s="205"/>
      <c r="F201" s="168" t="s">
        <v>88</v>
      </c>
      <c r="G201" s="207">
        <f>SUM(G198:G200)</f>
        <v>27725</v>
      </c>
    </row>
    <row r="202" spans="1:7" x14ac:dyDescent="0.25">
      <c r="A202" s="192" t="s">
        <v>89</v>
      </c>
      <c r="B202" s="193"/>
      <c r="C202" s="166"/>
      <c r="D202" s="167"/>
      <c r="E202" s="167"/>
      <c r="F202" s="190"/>
      <c r="G202" s="191"/>
    </row>
    <row r="203" spans="1:7" x14ac:dyDescent="0.25">
      <c r="A203" s="624" t="s">
        <v>315</v>
      </c>
      <c r="B203" s="624"/>
      <c r="C203" s="130" t="s">
        <v>252</v>
      </c>
      <c r="D203" s="131">
        <v>0.25</v>
      </c>
      <c r="E203" s="150">
        <v>27.902000000000001</v>
      </c>
      <c r="F203" s="163">
        <v>61.787685500000002</v>
      </c>
      <c r="G203" s="134">
        <f>ROUND(E203*F203,0)</f>
        <v>1724</v>
      </c>
    </row>
    <row r="204" spans="1:7" x14ac:dyDescent="0.25">
      <c r="A204" s="164"/>
      <c r="B204" s="165"/>
      <c r="C204" s="166"/>
      <c r="D204" s="167"/>
      <c r="E204" s="167"/>
      <c r="F204" s="168" t="s">
        <v>90</v>
      </c>
      <c r="G204" s="169">
        <f>+G203</f>
        <v>1724</v>
      </c>
    </row>
    <row r="205" spans="1:7" x14ac:dyDescent="0.25">
      <c r="A205" s="164"/>
      <c r="B205" s="165"/>
      <c r="C205" s="166"/>
      <c r="D205" s="167"/>
      <c r="E205" s="167"/>
      <c r="F205" s="190"/>
      <c r="G205" s="191"/>
    </row>
    <row r="206" spans="1:7" x14ac:dyDescent="0.25">
      <c r="A206" s="226"/>
      <c r="B206" s="227"/>
      <c r="C206" s="228"/>
      <c r="D206" s="229"/>
      <c r="E206" s="230" t="s">
        <v>91</v>
      </c>
      <c r="F206" s="231">
        <f>+G204+G201+G195+G189+1</f>
        <v>63367</v>
      </c>
      <c r="G206" s="232">
        <f>ROUND(F206,2)</f>
        <v>63367</v>
      </c>
    </row>
    <row r="208" spans="1:7" ht="15.75" thickBot="1" x14ac:dyDescent="0.3"/>
    <row r="209" spans="1:16" ht="17.25" thickBot="1" x14ac:dyDescent="0.3">
      <c r="A209" s="626" t="s">
        <v>311</v>
      </c>
      <c r="B209" s="626"/>
      <c r="C209" s="626"/>
      <c r="D209" s="626"/>
      <c r="E209" s="626"/>
      <c r="F209" s="626"/>
      <c r="G209" s="626"/>
    </row>
    <row r="211" spans="1:16" ht="15.75" thickTop="1" x14ac:dyDescent="0.25">
      <c r="A211" s="110" t="s">
        <v>2</v>
      </c>
      <c r="B211" s="622" t="s">
        <v>31</v>
      </c>
      <c r="C211" s="622"/>
      <c r="D211" s="622"/>
      <c r="E211" s="622"/>
      <c r="F211" s="111" t="s">
        <v>4</v>
      </c>
      <c r="G211" s="112" t="s">
        <v>71</v>
      </c>
    </row>
    <row r="212" spans="1:16" ht="59.45" customHeight="1" x14ac:dyDescent="0.25">
      <c r="A212" s="115">
        <v>7.1</v>
      </c>
      <c r="B212" s="623" t="str">
        <f>'MEMORIA 7 - LAV Y DESCON CARCAM'!C9</f>
        <v>Lavada y descontaminación de cárcamo. Incluye lavado apresión con hidrolavadarora de 4000 psi de paredes internas y tapas externas. Recuperación de tapas por medio de aplicación de pintura acrílica base agua para exteriores de alta resistencia</v>
      </c>
      <c r="C212" s="623"/>
      <c r="D212" s="623"/>
      <c r="E212" s="623"/>
      <c r="F212" s="116" t="str">
        <f>'MEMORIA 7 - LAV Y DESCON CARCAM'!L9</f>
        <v>ML</v>
      </c>
      <c r="G212" s="492">
        <f>G238+0.25</f>
        <v>53826.25</v>
      </c>
      <c r="H212" s="5"/>
      <c r="I212" s="5"/>
      <c r="J212" s="5"/>
      <c r="K212" s="5"/>
      <c r="L212" s="5"/>
      <c r="M212" s="5"/>
      <c r="N212" s="5"/>
      <c r="O212" s="684"/>
      <c r="P212" s="475"/>
    </row>
    <row r="213" spans="1:16" x14ac:dyDescent="0.25">
      <c r="A213" s="117"/>
      <c r="B213" s="118"/>
      <c r="C213" s="119"/>
      <c r="D213" s="120"/>
      <c r="E213" s="120"/>
      <c r="F213" s="121"/>
      <c r="G213" s="122"/>
    </row>
    <row r="214" spans="1:16" x14ac:dyDescent="0.25">
      <c r="A214" s="123" t="s">
        <v>9</v>
      </c>
      <c r="B214" s="124"/>
      <c r="C214" s="119"/>
      <c r="D214" s="120"/>
      <c r="E214" s="120"/>
      <c r="F214" s="121"/>
      <c r="G214" s="122"/>
    </row>
    <row r="215" spans="1:16" x14ac:dyDescent="0.25">
      <c r="A215" s="125" t="s">
        <v>31</v>
      </c>
      <c r="B215" s="126"/>
      <c r="C215" s="127" t="s">
        <v>4</v>
      </c>
      <c r="D215" s="127" t="s">
        <v>5</v>
      </c>
      <c r="E215" s="127" t="s">
        <v>73</v>
      </c>
      <c r="F215" s="128" t="s">
        <v>74</v>
      </c>
      <c r="G215" s="129" t="s">
        <v>75</v>
      </c>
    </row>
    <row r="216" spans="1:16" x14ac:dyDescent="0.25">
      <c r="A216" s="624" t="s">
        <v>314</v>
      </c>
      <c r="B216" s="624"/>
      <c r="C216" s="130" t="s">
        <v>305</v>
      </c>
      <c r="D216" s="131">
        <v>0.22262000000000001</v>
      </c>
      <c r="E216" s="132"/>
      <c r="F216" s="133">
        <v>172060</v>
      </c>
      <c r="G216" s="134">
        <f>+ROUND(D216*F216,0)</f>
        <v>38304</v>
      </c>
    </row>
    <row r="217" spans="1:16" x14ac:dyDescent="0.25">
      <c r="A217" s="631"/>
      <c r="B217" s="631"/>
      <c r="C217" s="130"/>
      <c r="D217" s="131"/>
      <c r="E217" s="132"/>
      <c r="F217" s="240"/>
      <c r="G217" s="134">
        <f>+ROUND(D217*F217,0)</f>
        <v>0</v>
      </c>
    </row>
    <row r="218" spans="1:16" ht="15" customHeight="1" x14ac:dyDescent="0.25">
      <c r="A218" s="625"/>
      <c r="B218" s="625"/>
      <c r="C218" s="130"/>
      <c r="D218" s="131"/>
      <c r="E218" s="249"/>
      <c r="F218" s="240"/>
      <c r="G218" s="134">
        <f>+ROUND(D218*F218,0)</f>
        <v>0</v>
      </c>
    </row>
    <row r="219" spans="1:16" x14ac:dyDescent="0.25">
      <c r="A219" s="624"/>
      <c r="B219" s="624"/>
      <c r="C219" s="130"/>
      <c r="D219" s="131"/>
      <c r="E219" s="132"/>
      <c r="F219" s="240"/>
      <c r="G219" s="134">
        <f>+ROUND(D219*F219,0)</f>
        <v>0</v>
      </c>
    </row>
    <row r="220" spans="1:16" x14ac:dyDescent="0.25">
      <c r="A220" s="117"/>
      <c r="B220" s="118"/>
      <c r="C220" s="119"/>
      <c r="D220" s="136"/>
      <c r="E220" s="137"/>
      <c r="F220" s="138" t="s">
        <v>77</v>
      </c>
      <c r="G220" s="139">
        <f>SUM(G216:G219)</f>
        <v>38304</v>
      </c>
    </row>
    <row r="221" spans="1:16" x14ac:dyDescent="0.25">
      <c r="A221" s="123" t="s">
        <v>78</v>
      </c>
      <c r="B221" s="124"/>
      <c r="C221" s="119"/>
      <c r="D221" s="136"/>
      <c r="E221" s="137"/>
      <c r="F221" s="140"/>
      <c r="G221" s="122"/>
    </row>
    <row r="222" spans="1:16" x14ac:dyDescent="0.25">
      <c r="A222" s="141" t="s">
        <v>79</v>
      </c>
      <c r="B222" s="177" t="s">
        <v>5</v>
      </c>
      <c r="C222" s="127" t="s">
        <v>4</v>
      </c>
      <c r="D222" s="127" t="s">
        <v>5</v>
      </c>
      <c r="E222" s="127" t="s">
        <v>86</v>
      </c>
      <c r="F222" s="128" t="s">
        <v>74</v>
      </c>
      <c r="G222" s="139" t="s">
        <v>75</v>
      </c>
    </row>
    <row r="223" spans="1:16" ht="25.9" customHeight="1" x14ac:dyDescent="0.25">
      <c r="A223" s="143" t="s">
        <v>268</v>
      </c>
      <c r="B223" s="144">
        <v>1</v>
      </c>
      <c r="C223" s="145" t="s">
        <v>80</v>
      </c>
      <c r="D223" s="131">
        <v>1.1183999999999999E-2</v>
      </c>
      <c r="E223" s="147" t="s">
        <v>81</v>
      </c>
      <c r="F223" s="202">
        <v>343988</v>
      </c>
      <c r="G223" s="134">
        <f>ROUND(D223*F223,0)</f>
        <v>3847</v>
      </c>
    </row>
    <row r="224" spans="1:16" x14ac:dyDescent="0.25">
      <c r="A224" s="149" t="s">
        <v>249</v>
      </c>
      <c r="B224" s="144">
        <v>1</v>
      </c>
      <c r="C224" s="145" t="s">
        <v>80</v>
      </c>
      <c r="D224" s="131">
        <v>3.2534583E-3</v>
      </c>
      <c r="E224" s="147" t="s">
        <v>81</v>
      </c>
      <c r="F224" s="202">
        <v>480000</v>
      </c>
      <c r="G224" s="134">
        <f>D224*F224</f>
        <v>1561.6599839999999</v>
      </c>
    </row>
    <row r="225" spans="1:7" x14ac:dyDescent="0.25">
      <c r="A225" s="628"/>
      <c r="B225" s="628"/>
      <c r="C225" s="151"/>
      <c r="D225" s="152"/>
      <c r="E225" s="144"/>
      <c r="F225" s="148"/>
      <c r="G225" s="134"/>
    </row>
    <row r="226" spans="1:7" x14ac:dyDescent="0.25">
      <c r="A226" s="117"/>
      <c r="B226" s="118"/>
      <c r="C226" s="119"/>
      <c r="D226" s="136"/>
      <c r="E226" s="137"/>
      <c r="F226" s="138" t="s">
        <v>82</v>
      </c>
      <c r="G226" s="139">
        <f>SUM(G223:G224)</f>
        <v>5408.6599839999999</v>
      </c>
    </row>
    <row r="227" spans="1:7" x14ac:dyDescent="0.25">
      <c r="A227" s="123" t="s">
        <v>83</v>
      </c>
      <c r="B227" s="124"/>
      <c r="C227" s="119"/>
      <c r="D227" s="136"/>
      <c r="E227" s="137"/>
      <c r="F227" s="140"/>
      <c r="G227" s="122"/>
    </row>
    <row r="228" spans="1:7" x14ac:dyDescent="0.25">
      <c r="A228" s="153" t="s">
        <v>31</v>
      </c>
      <c r="B228" s="154"/>
      <c r="C228" s="126"/>
      <c r="D228" s="127" t="s">
        <v>84</v>
      </c>
      <c r="E228" s="155" t="s">
        <v>85</v>
      </c>
      <c r="F228" s="156" t="s">
        <v>86</v>
      </c>
      <c r="G228" s="139" t="s">
        <v>74</v>
      </c>
    </row>
    <row r="229" spans="1:7" ht="16.5" x14ac:dyDescent="0.25">
      <c r="A229" s="157" t="s">
        <v>250</v>
      </c>
      <c r="B229" s="222"/>
      <c r="C229" s="223"/>
      <c r="D229" s="199" t="s">
        <v>87</v>
      </c>
      <c r="E229" s="147">
        <v>36575</v>
      </c>
      <c r="F229" s="131">
        <v>4.9979494200000002E-2</v>
      </c>
      <c r="G229" s="134">
        <f>ROUND(E229*F229,0)</f>
        <v>1828</v>
      </c>
    </row>
    <row r="230" spans="1:7" ht="16.5" x14ac:dyDescent="0.25">
      <c r="A230" s="161" t="s">
        <v>269</v>
      </c>
      <c r="B230" s="158"/>
      <c r="C230" s="159"/>
      <c r="D230" s="130" t="s">
        <v>87</v>
      </c>
      <c r="E230" s="147">
        <v>7989.12</v>
      </c>
      <c r="F230" s="160">
        <v>0.78220052569999998</v>
      </c>
      <c r="G230" s="203">
        <f>ROUND(E230*F230,0)</f>
        <v>6249</v>
      </c>
    </row>
    <row r="231" spans="1:7" ht="16.5" x14ac:dyDescent="0.25">
      <c r="A231" s="161"/>
      <c r="B231" s="158"/>
      <c r="C231" s="159"/>
      <c r="D231" s="130"/>
      <c r="E231" s="144"/>
      <c r="F231" s="131">
        <v>4.9979494200000002E-2</v>
      </c>
      <c r="G231" s="134"/>
    </row>
    <row r="232" spans="1:7" x14ac:dyDescent="0.25">
      <c r="A232" s="117"/>
      <c r="B232" s="118"/>
      <c r="C232" s="119"/>
      <c r="D232" s="120"/>
      <c r="E232" s="137"/>
      <c r="F232" s="162" t="s">
        <v>88</v>
      </c>
      <c r="G232" s="139">
        <f>SUM(G229:G230)</f>
        <v>8077</v>
      </c>
    </row>
    <row r="233" spans="1:7" x14ac:dyDescent="0.25">
      <c r="A233" s="123" t="s">
        <v>97</v>
      </c>
      <c r="B233" s="124"/>
      <c r="C233" s="119"/>
      <c r="D233" s="120"/>
      <c r="E233" s="120"/>
      <c r="F233" s="121"/>
      <c r="G233" s="122"/>
    </row>
    <row r="234" spans="1:7" x14ac:dyDescent="0.25">
      <c r="A234" s="624" t="s">
        <v>251</v>
      </c>
      <c r="B234" s="624"/>
      <c r="C234" s="130" t="s">
        <v>252</v>
      </c>
      <c r="D234" s="131">
        <v>226.2</v>
      </c>
      <c r="E234" s="150">
        <v>27.902000000000001</v>
      </c>
      <c r="F234" s="163">
        <v>0.32258920000000002</v>
      </c>
      <c r="G234" s="134">
        <f>D234*E234*F234</f>
        <v>2035.99992877008</v>
      </c>
    </row>
    <row r="235" spans="1:7" x14ac:dyDescent="0.25">
      <c r="A235" s="624"/>
      <c r="B235" s="624"/>
      <c r="C235" s="130"/>
      <c r="D235" s="131"/>
      <c r="E235" s="150"/>
      <c r="F235" s="163"/>
      <c r="G235" s="134">
        <f>ROUND(E235*F235,0)</f>
        <v>0</v>
      </c>
    </row>
    <row r="236" spans="1:7" x14ac:dyDescent="0.25">
      <c r="A236" s="117"/>
      <c r="B236" s="118"/>
      <c r="C236" s="119"/>
      <c r="D236" s="120"/>
      <c r="E236" s="120"/>
      <c r="F236" s="162" t="s">
        <v>98</v>
      </c>
      <c r="G236" s="139">
        <f>G234+G235</f>
        <v>2035.99992877008</v>
      </c>
    </row>
    <row r="237" spans="1:7" x14ac:dyDescent="0.25">
      <c r="A237" s="117"/>
      <c r="B237" s="118"/>
      <c r="C237" s="119"/>
      <c r="D237" s="120"/>
      <c r="E237" s="120"/>
      <c r="F237" s="121"/>
      <c r="G237" s="122"/>
    </row>
    <row r="238" spans="1:7" x14ac:dyDescent="0.25">
      <c r="A238" s="170"/>
      <c r="B238" s="171"/>
      <c r="C238" s="172"/>
      <c r="D238" s="173"/>
      <c r="E238" s="174" t="s">
        <v>91</v>
      </c>
      <c r="F238" s="175">
        <f>+G236+G232+G226+G220+0.34</f>
        <v>53825.999912770072</v>
      </c>
      <c r="G238" s="176">
        <f>ROUND(F238,2)</f>
        <v>53826</v>
      </c>
    </row>
    <row r="239" spans="1:7" ht="15.75" thickTop="1" x14ac:dyDescent="0.25"/>
    <row r="240" spans="1:7" ht="15.75" thickBot="1" x14ac:dyDescent="0.3"/>
    <row r="241" spans="1:15" ht="16.5" x14ac:dyDescent="0.25">
      <c r="A241" s="626" t="s">
        <v>27</v>
      </c>
      <c r="B241" s="626"/>
      <c r="C241" s="626"/>
      <c r="D241" s="626"/>
      <c r="E241" s="626"/>
      <c r="F241" s="626"/>
      <c r="G241" s="626"/>
    </row>
    <row r="244" spans="1:15" x14ac:dyDescent="0.25">
      <c r="A244" s="110" t="s">
        <v>2</v>
      </c>
      <c r="B244" s="622" t="s">
        <v>31</v>
      </c>
      <c r="C244" s="622"/>
      <c r="D244" s="622"/>
      <c r="E244" s="622"/>
      <c r="F244" s="111" t="s">
        <v>4</v>
      </c>
      <c r="G244" s="112" t="s">
        <v>71</v>
      </c>
    </row>
    <row r="245" spans="1:15" ht="72.599999999999994" customHeight="1" x14ac:dyDescent="0.25">
      <c r="A245" s="115">
        <v>8.1</v>
      </c>
      <c r="B245" s="623" t="str">
        <f>'MEMORIA 8 - HOMOLOGACION FEDEPA'!C9</f>
        <v>Aval de la pista de velocidad, tramitado y otorgado bajo responsabilidad del contratista, por la FEDEPATIN Colombia según normativa - Escenarios de patinaje - 2024 "Normativa oficial para el diseño de escenarios de patinaje - vigencia 2024". Incluye hasta tres desplazamientos del personal técnico de FEDEPATIN.</v>
      </c>
      <c r="C245" s="623"/>
      <c r="D245" s="623"/>
      <c r="E245" s="623"/>
      <c r="F245" s="116" t="str">
        <f>'MEMORIA 8 - HOMOLOGACION FEDEPA'!L9</f>
        <v>UND</v>
      </c>
      <c r="G245" s="492">
        <f>G274+0.32</f>
        <v>42383610.560000002</v>
      </c>
      <c r="H245" s="5"/>
      <c r="I245" s="5"/>
      <c r="J245" s="5"/>
      <c r="K245" s="5"/>
      <c r="L245" s="5"/>
      <c r="M245" s="5"/>
      <c r="N245" s="5"/>
      <c r="O245" s="684"/>
    </row>
    <row r="246" spans="1:15" x14ac:dyDescent="0.25">
      <c r="A246" s="117"/>
      <c r="B246" s="118"/>
      <c r="C246" s="119"/>
      <c r="D246" s="120"/>
      <c r="E246" s="120"/>
      <c r="F246" s="121"/>
      <c r="G246" s="122"/>
    </row>
    <row r="247" spans="1:15" x14ac:dyDescent="0.25">
      <c r="A247" s="123" t="s">
        <v>9</v>
      </c>
      <c r="B247" s="124"/>
      <c r="C247" s="119"/>
      <c r="D247" s="120"/>
      <c r="E247" s="120"/>
      <c r="F247" s="121"/>
      <c r="G247" s="122"/>
    </row>
    <row r="248" spans="1:15" x14ac:dyDescent="0.25">
      <c r="A248" s="125" t="s">
        <v>31</v>
      </c>
      <c r="B248" s="126"/>
      <c r="C248" s="127" t="s">
        <v>4</v>
      </c>
      <c r="D248" s="127" t="s">
        <v>5</v>
      </c>
      <c r="E248" s="127" t="s">
        <v>86</v>
      </c>
      <c r="F248" s="128" t="s">
        <v>74</v>
      </c>
      <c r="G248" s="129" t="s">
        <v>75</v>
      </c>
    </row>
    <row r="249" spans="1:15" x14ac:dyDescent="0.25">
      <c r="A249" s="624" t="s">
        <v>316</v>
      </c>
      <c r="B249" s="624"/>
      <c r="C249" s="130" t="s">
        <v>317</v>
      </c>
      <c r="D249" s="131">
        <v>1</v>
      </c>
      <c r="E249" s="132">
        <v>1</v>
      </c>
      <c r="F249" s="163">
        <v>42383610.280000001</v>
      </c>
      <c r="G249" s="134">
        <f t="shared" ref="G249:G254" si="3">+ROUND(D249*F249,0)</f>
        <v>42383610</v>
      </c>
    </row>
    <row r="250" spans="1:15" x14ac:dyDescent="0.25">
      <c r="A250" s="624"/>
      <c r="B250" s="624"/>
      <c r="C250" s="130"/>
      <c r="D250" s="131"/>
      <c r="E250" s="132"/>
      <c r="F250" s="163"/>
      <c r="G250" s="134">
        <f t="shared" si="3"/>
        <v>0</v>
      </c>
    </row>
    <row r="251" spans="1:15" x14ac:dyDescent="0.25">
      <c r="A251" s="624"/>
      <c r="B251" s="624"/>
      <c r="C251" s="130"/>
      <c r="D251" s="131"/>
      <c r="E251" s="132"/>
      <c r="F251" s="163"/>
      <c r="G251" s="134">
        <f t="shared" si="3"/>
        <v>0</v>
      </c>
    </row>
    <row r="252" spans="1:15" ht="22.9" customHeight="1" x14ac:dyDescent="0.25">
      <c r="A252" s="625"/>
      <c r="B252" s="625"/>
      <c r="C252" s="130"/>
      <c r="D252" s="131"/>
      <c r="E252" s="132"/>
      <c r="F252" s="163"/>
      <c r="G252" s="134">
        <f t="shared" si="3"/>
        <v>0</v>
      </c>
    </row>
    <row r="253" spans="1:15" ht="22.9" customHeight="1" x14ac:dyDescent="0.25">
      <c r="A253" s="625"/>
      <c r="B253" s="625"/>
      <c r="C253" s="130"/>
      <c r="D253" s="131"/>
      <c r="E253" s="132"/>
      <c r="F253" s="163"/>
      <c r="G253" s="134">
        <f t="shared" si="3"/>
        <v>0</v>
      </c>
    </row>
    <row r="254" spans="1:15" ht="22.9" customHeight="1" x14ac:dyDescent="0.25">
      <c r="A254" s="625"/>
      <c r="B254" s="625"/>
      <c r="C254" s="130"/>
      <c r="D254" s="131"/>
      <c r="E254" s="132"/>
      <c r="F254" s="163"/>
      <c r="G254" s="134">
        <f t="shared" si="3"/>
        <v>0</v>
      </c>
    </row>
    <row r="255" spans="1:15" x14ac:dyDescent="0.25">
      <c r="A255" s="117"/>
      <c r="B255" s="118"/>
      <c r="C255" s="119"/>
      <c r="D255" s="136"/>
      <c r="E255" s="137"/>
      <c r="F255" s="138" t="s">
        <v>77</v>
      </c>
      <c r="G255" s="139">
        <f>SUM(G249:G254)</f>
        <v>42383610</v>
      </c>
    </row>
    <row r="256" spans="1:15" x14ac:dyDescent="0.25">
      <c r="A256" s="123" t="s">
        <v>78</v>
      </c>
      <c r="B256" s="124"/>
      <c r="C256" s="119"/>
      <c r="D256" s="136"/>
      <c r="E256" s="137"/>
      <c r="F256" s="140"/>
      <c r="G256" s="122"/>
    </row>
    <row r="257" spans="1:7" x14ac:dyDescent="0.25">
      <c r="A257" s="141" t="s">
        <v>79</v>
      </c>
      <c r="B257" s="177" t="s">
        <v>5</v>
      </c>
      <c r="C257" s="127" t="s">
        <v>4</v>
      </c>
      <c r="D257" s="127" t="s">
        <v>5</v>
      </c>
      <c r="E257" s="127" t="s">
        <v>86</v>
      </c>
      <c r="F257" s="128" t="s">
        <v>74</v>
      </c>
      <c r="G257" s="139" t="s">
        <v>75</v>
      </c>
    </row>
    <row r="258" spans="1:7" x14ac:dyDescent="0.25">
      <c r="A258" s="149"/>
      <c r="B258" s="144"/>
      <c r="C258" s="145"/>
      <c r="D258" s="146"/>
      <c r="E258" s="245"/>
      <c r="F258" s="148"/>
      <c r="G258" s="134">
        <f>ROUND(E258*F258,0)</f>
        <v>0</v>
      </c>
    </row>
    <row r="259" spans="1:7" x14ac:dyDescent="0.25">
      <c r="A259" s="149"/>
      <c r="B259" s="144"/>
      <c r="C259" s="145"/>
      <c r="D259" s="146"/>
      <c r="E259" s="147"/>
      <c r="F259" s="148"/>
      <c r="G259" s="134"/>
    </row>
    <row r="260" spans="1:7" x14ac:dyDescent="0.25">
      <c r="A260" s="149"/>
      <c r="B260" s="150"/>
      <c r="C260" s="151"/>
      <c r="D260" s="152"/>
      <c r="E260" s="144"/>
      <c r="F260" s="148"/>
      <c r="G260" s="134"/>
    </row>
    <row r="261" spans="1:7" x14ac:dyDescent="0.25">
      <c r="A261" s="117"/>
      <c r="B261" s="118"/>
      <c r="C261" s="119"/>
      <c r="D261" s="136"/>
      <c r="E261" s="137"/>
      <c r="F261" s="138" t="s">
        <v>82</v>
      </c>
      <c r="G261" s="139">
        <f>SUM(G258:G259)</f>
        <v>0</v>
      </c>
    </row>
    <row r="262" spans="1:7" x14ac:dyDescent="0.25">
      <c r="A262" s="123" t="s">
        <v>83</v>
      </c>
      <c r="B262" s="124"/>
      <c r="C262" s="119"/>
      <c r="D262" s="136"/>
      <c r="E262" s="137"/>
      <c r="F262" s="140"/>
      <c r="G262" s="122"/>
    </row>
    <row r="263" spans="1:7" x14ac:dyDescent="0.25">
      <c r="A263" s="153" t="s">
        <v>31</v>
      </c>
      <c r="B263" s="154"/>
      <c r="C263" s="126"/>
      <c r="D263" s="127" t="s">
        <v>84</v>
      </c>
      <c r="E263" s="155" t="s">
        <v>85</v>
      </c>
      <c r="F263" s="156" t="s">
        <v>86</v>
      </c>
      <c r="G263" s="139" t="s">
        <v>74</v>
      </c>
    </row>
    <row r="264" spans="1:7" ht="16.5" x14ac:dyDescent="0.25">
      <c r="A264" s="157"/>
      <c r="B264" s="158"/>
      <c r="C264" s="159"/>
      <c r="D264" s="130"/>
      <c r="E264" s="245"/>
      <c r="F264" s="240"/>
      <c r="G264" s="134">
        <f>ROUND(E264*F264,0)</f>
        <v>0</v>
      </c>
    </row>
    <row r="265" spans="1:7" ht="15" customHeight="1" x14ac:dyDescent="0.25">
      <c r="A265" s="627"/>
      <c r="B265" s="627"/>
      <c r="C265" s="159"/>
      <c r="D265" s="130"/>
      <c r="E265" s="246"/>
      <c r="F265" s="240"/>
      <c r="G265" s="134">
        <f>ROUND(E265*F265,0)</f>
        <v>0</v>
      </c>
    </row>
    <row r="266" spans="1:7" ht="16.5" x14ac:dyDescent="0.25">
      <c r="A266" s="627"/>
      <c r="B266" s="627"/>
      <c r="C266" s="159"/>
      <c r="D266" s="130"/>
      <c r="E266" s="246"/>
      <c r="F266" s="163"/>
      <c r="G266" s="134">
        <f>E266*F266</f>
        <v>0</v>
      </c>
    </row>
    <row r="267" spans="1:7" ht="16.5" x14ac:dyDescent="0.25">
      <c r="A267" s="161"/>
      <c r="B267" s="158"/>
      <c r="C267" s="159"/>
      <c r="D267" s="130"/>
      <c r="E267" s="246"/>
      <c r="F267" s="160"/>
      <c r="G267" s="134"/>
    </row>
    <row r="268" spans="1:7" x14ac:dyDescent="0.25">
      <c r="A268" s="117"/>
      <c r="B268" s="118"/>
      <c r="C268" s="119"/>
      <c r="D268" s="120"/>
      <c r="E268" s="137"/>
      <c r="F268" s="162" t="s">
        <v>88</v>
      </c>
      <c r="G268" s="139">
        <f>SUM(G264:G266)</f>
        <v>0</v>
      </c>
    </row>
    <row r="269" spans="1:7" x14ac:dyDescent="0.25">
      <c r="A269" s="123" t="s">
        <v>97</v>
      </c>
      <c r="B269" s="124"/>
      <c r="C269" s="119"/>
      <c r="D269" s="120"/>
      <c r="E269" s="120"/>
      <c r="F269" s="121"/>
      <c r="G269" s="122"/>
    </row>
    <row r="270" spans="1:7" x14ac:dyDescent="0.25">
      <c r="A270" s="624"/>
      <c r="B270" s="624"/>
      <c r="C270" s="130"/>
      <c r="D270" s="131"/>
      <c r="E270" s="150"/>
      <c r="F270" s="163"/>
      <c r="G270" s="134">
        <f>E270*F270</f>
        <v>0</v>
      </c>
    </row>
    <row r="271" spans="1:7" x14ac:dyDescent="0.25">
      <c r="A271" s="624"/>
      <c r="B271" s="624"/>
      <c r="C271" s="130"/>
      <c r="D271" s="131"/>
      <c r="E271" s="150"/>
      <c r="F271" s="163"/>
      <c r="G271" s="134">
        <f>E271*F271</f>
        <v>0</v>
      </c>
    </row>
    <row r="272" spans="1:7" x14ac:dyDescent="0.25">
      <c r="A272" s="117"/>
      <c r="B272" s="118"/>
      <c r="C272" s="119"/>
      <c r="D272" s="120"/>
      <c r="E272" s="120"/>
      <c r="F272" s="162" t="s">
        <v>98</v>
      </c>
      <c r="G272" s="139">
        <f>G271+G270</f>
        <v>0</v>
      </c>
    </row>
    <row r="273" spans="1:20" x14ac:dyDescent="0.25">
      <c r="A273" s="117"/>
      <c r="B273" s="118"/>
      <c r="C273" s="119"/>
      <c r="D273" s="120"/>
      <c r="E273" s="120"/>
      <c r="F273" s="121"/>
      <c r="G273" s="122"/>
    </row>
    <row r="274" spans="1:20" ht="15.75" thickBot="1" x14ac:dyDescent="0.3">
      <c r="A274" s="170"/>
      <c r="B274" s="171"/>
      <c r="C274" s="172"/>
      <c r="D274" s="173"/>
      <c r="E274" s="174" t="s">
        <v>91</v>
      </c>
      <c r="F274" s="175">
        <f>+G272+G268+G261+G255+0.24</f>
        <v>42383610.240000002</v>
      </c>
      <c r="G274" s="176">
        <f>ROUND(F274,2)</f>
        <v>42383610.240000002</v>
      </c>
    </row>
    <row r="275" spans="1:20" ht="15.75" thickTop="1" x14ac:dyDescent="0.25"/>
    <row r="276" spans="1:20" ht="15.75" thickBot="1" x14ac:dyDescent="0.3"/>
    <row r="277" spans="1:20" ht="17.25" thickBot="1" x14ac:dyDescent="0.3">
      <c r="A277" s="626" t="s">
        <v>348</v>
      </c>
      <c r="B277" s="626"/>
      <c r="C277" s="626"/>
      <c r="D277" s="626"/>
      <c r="E277" s="626"/>
      <c r="F277" s="626"/>
      <c r="G277" s="626"/>
    </row>
    <row r="279" spans="1:20" ht="15.75" thickBot="1" x14ac:dyDescent="0.3"/>
    <row r="280" spans="1:20" ht="15.75" thickTop="1" x14ac:dyDescent="0.25">
      <c r="A280" s="110" t="s">
        <v>2</v>
      </c>
      <c r="B280" s="622" t="s">
        <v>31</v>
      </c>
      <c r="C280" s="622"/>
      <c r="D280" s="622"/>
      <c r="E280" s="622"/>
      <c r="F280" s="111" t="s">
        <v>4</v>
      </c>
      <c r="G280" s="112" t="s">
        <v>71</v>
      </c>
      <c r="T280" s="487"/>
    </row>
    <row r="281" spans="1:20" ht="27" customHeight="1" x14ac:dyDescent="0.25">
      <c r="A281" s="115">
        <v>9.1</v>
      </c>
      <c r="B281" s="623" t="s">
        <v>347</v>
      </c>
      <c r="C281" s="623"/>
      <c r="D281" s="623"/>
      <c r="E281" s="623"/>
      <c r="F281" s="116" t="s">
        <v>15</v>
      </c>
      <c r="G281" s="492">
        <f>G305-0.09</f>
        <v>159430.51</v>
      </c>
      <c r="H281" s="5"/>
      <c r="I281" s="5"/>
      <c r="J281" s="5"/>
      <c r="K281" s="5"/>
      <c r="L281" s="5"/>
      <c r="M281" s="5"/>
      <c r="N281" s="5"/>
      <c r="O281" s="684"/>
      <c r="T281" s="500"/>
    </row>
    <row r="282" spans="1:20" x14ac:dyDescent="0.25">
      <c r="A282" s="117"/>
      <c r="B282" s="118"/>
      <c r="C282" s="119"/>
      <c r="D282" s="120"/>
      <c r="E282" s="120"/>
      <c r="F282" s="121"/>
      <c r="G282" s="122"/>
      <c r="T282" s="500"/>
    </row>
    <row r="283" spans="1:20" x14ac:dyDescent="0.25">
      <c r="A283" s="123" t="s">
        <v>9</v>
      </c>
      <c r="B283" s="124"/>
      <c r="C283" s="119"/>
      <c r="D283" s="120"/>
      <c r="E283" s="120"/>
      <c r="F283" s="121"/>
      <c r="G283" s="122"/>
      <c r="T283" s="500"/>
    </row>
    <row r="284" spans="1:20" x14ac:dyDescent="0.25">
      <c r="A284" s="125" t="s">
        <v>31</v>
      </c>
      <c r="B284" s="126"/>
      <c r="C284" s="127" t="s">
        <v>4</v>
      </c>
      <c r="D284" s="127" t="s">
        <v>5</v>
      </c>
      <c r="E284" s="127" t="s">
        <v>86</v>
      </c>
      <c r="F284" s="128" t="s">
        <v>74</v>
      </c>
      <c r="G284" s="129" t="s">
        <v>75</v>
      </c>
      <c r="S284" s="500"/>
    </row>
    <row r="285" spans="1:20" x14ac:dyDescent="0.25">
      <c r="A285" s="624" t="s">
        <v>350</v>
      </c>
      <c r="B285" s="624"/>
      <c r="C285" s="130" t="s">
        <v>15</v>
      </c>
      <c r="D285" s="499">
        <v>1</v>
      </c>
      <c r="E285" s="132">
        <v>1.0009999999999999</v>
      </c>
      <c r="F285" s="163">
        <v>63641</v>
      </c>
      <c r="G285" s="134">
        <f>+ROUND(D285*E285*F285,0)</f>
        <v>63705</v>
      </c>
      <c r="S285" s="500"/>
    </row>
    <row r="286" spans="1:20" x14ac:dyDescent="0.25">
      <c r="A286" s="624" t="s">
        <v>351</v>
      </c>
      <c r="B286" s="624" t="s">
        <v>345</v>
      </c>
      <c r="C286" s="130" t="s">
        <v>215</v>
      </c>
      <c r="D286" s="499">
        <v>1</v>
      </c>
      <c r="E286" s="132">
        <v>2.1675</v>
      </c>
      <c r="F286" s="163">
        <v>1733</v>
      </c>
      <c r="G286" s="134">
        <f t="shared" ref="G286:G287" si="4">+ROUND(D286*E286*F286,0)</f>
        <v>3756</v>
      </c>
      <c r="O286" s="500"/>
      <c r="S286" s="500"/>
    </row>
    <row r="287" spans="1:20" ht="24.95" customHeight="1" x14ac:dyDescent="0.25">
      <c r="A287" s="625" t="s">
        <v>352</v>
      </c>
      <c r="B287" s="625" t="s">
        <v>346</v>
      </c>
      <c r="C287" s="130" t="s">
        <v>215</v>
      </c>
      <c r="D287" s="131">
        <v>1</v>
      </c>
      <c r="E287" s="132">
        <v>1</v>
      </c>
      <c r="F287" s="163">
        <v>37423</v>
      </c>
      <c r="G287" s="134">
        <f t="shared" si="4"/>
        <v>37423</v>
      </c>
    </row>
    <row r="288" spans="1:20" ht="22.9" customHeight="1" x14ac:dyDescent="0.25">
      <c r="A288" s="625"/>
      <c r="B288" s="625"/>
      <c r="C288" s="130"/>
      <c r="D288" s="131"/>
      <c r="E288" s="132"/>
      <c r="F288" s="163"/>
      <c r="G288" s="134">
        <f t="shared" ref="G288" si="5">+ROUND(D288*F288,0)</f>
        <v>0</v>
      </c>
    </row>
    <row r="289" spans="1:8" x14ac:dyDescent="0.25">
      <c r="A289" s="117"/>
      <c r="B289" s="118"/>
      <c r="C289" s="119"/>
      <c r="D289" s="136"/>
      <c r="E289" s="137"/>
      <c r="F289" s="138" t="s">
        <v>77</v>
      </c>
      <c r="G289" s="139">
        <f>SUM(G285:G288)</f>
        <v>104884</v>
      </c>
      <c r="H289" s="556"/>
    </row>
    <row r="290" spans="1:8" x14ac:dyDescent="0.25">
      <c r="A290" s="123" t="s">
        <v>78</v>
      </c>
      <c r="B290" s="124"/>
      <c r="C290" s="119"/>
      <c r="D290" s="136"/>
      <c r="E290" s="137"/>
      <c r="F290" s="140"/>
      <c r="G290" s="122"/>
    </row>
    <row r="291" spans="1:8" x14ac:dyDescent="0.25">
      <c r="A291" s="141" t="s">
        <v>79</v>
      </c>
      <c r="B291" s="177" t="s">
        <v>5</v>
      </c>
      <c r="C291" s="127" t="s">
        <v>4</v>
      </c>
      <c r="D291" s="127" t="s">
        <v>5</v>
      </c>
      <c r="E291" s="127" t="s">
        <v>86</v>
      </c>
      <c r="F291" s="128" t="s">
        <v>74</v>
      </c>
      <c r="G291" s="139" t="s">
        <v>75</v>
      </c>
    </row>
    <row r="292" spans="1:8" ht="54" x14ac:dyDescent="0.25">
      <c r="A292" s="143" t="s">
        <v>353</v>
      </c>
      <c r="B292" s="144"/>
      <c r="C292" s="145" t="s">
        <v>343</v>
      </c>
      <c r="D292" s="146">
        <v>1</v>
      </c>
      <c r="E292" s="245">
        <v>1.4</v>
      </c>
      <c r="F292" s="148">
        <v>33113</v>
      </c>
      <c r="G292" s="134">
        <f>ROUND(D292*E292*F292,0)</f>
        <v>46358</v>
      </c>
    </row>
    <row r="293" spans="1:8" x14ac:dyDescent="0.25">
      <c r="A293" s="149"/>
      <c r="B293" s="150"/>
      <c r="C293" s="151"/>
      <c r="D293" s="152"/>
      <c r="E293" s="144"/>
      <c r="F293" s="148"/>
      <c r="G293" s="134"/>
    </row>
    <row r="294" spans="1:8" x14ac:dyDescent="0.25">
      <c r="A294" s="117"/>
      <c r="B294" s="118"/>
      <c r="C294" s="119"/>
      <c r="D294" s="136"/>
      <c r="E294" s="137"/>
      <c r="F294" s="138" t="s">
        <v>82</v>
      </c>
      <c r="G294" s="139">
        <f>SUM(G292:G292)</f>
        <v>46358</v>
      </c>
      <c r="H294" s="556"/>
    </row>
    <row r="295" spans="1:8" x14ac:dyDescent="0.25">
      <c r="A295" s="123" t="s">
        <v>83</v>
      </c>
      <c r="B295" s="124"/>
      <c r="C295" s="119"/>
      <c r="D295" s="136"/>
      <c r="E295" s="137"/>
      <c r="F295" s="140"/>
      <c r="G295" s="122"/>
    </row>
    <row r="296" spans="1:8" x14ac:dyDescent="0.25">
      <c r="A296" s="153" t="s">
        <v>31</v>
      </c>
      <c r="B296" s="154"/>
      <c r="C296" s="126"/>
      <c r="D296" s="127" t="s">
        <v>4</v>
      </c>
      <c r="E296" s="155" t="s">
        <v>85</v>
      </c>
      <c r="F296" s="156" t="s">
        <v>86</v>
      </c>
      <c r="G296" s="139" t="s">
        <v>74</v>
      </c>
    </row>
    <row r="297" spans="1:8" ht="16.5" x14ac:dyDescent="0.25">
      <c r="A297" s="157" t="s">
        <v>355</v>
      </c>
      <c r="B297" s="158"/>
      <c r="C297" s="159"/>
      <c r="D297" s="130" t="s">
        <v>215</v>
      </c>
      <c r="E297" s="240">
        <v>3311</v>
      </c>
      <c r="F297" s="245">
        <v>1.5</v>
      </c>
      <c r="G297" s="134">
        <f>ROUND(E297*F297,0)</f>
        <v>4967</v>
      </c>
    </row>
    <row r="298" spans="1:8" ht="16.5" x14ac:dyDescent="0.25">
      <c r="A298" s="161"/>
      <c r="B298" s="158"/>
      <c r="C298" s="159"/>
      <c r="D298" s="130"/>
      <c r="E298" s="246"/>
      <c r="F298" s="160"/>
      <c r="G298" s="134"/>
    </row>
    <row r="299" spans="1:8" x14ac:dyDescent="0.25">
      <c r="A299" s="117"/>
      <c r="B299" s="118"/>
      <c r="C299" s="119"/>
      <c r="D299" s="120"/>
      <c r="E299" s="137"/>
      <c r="F299" s="162" t="s">
        <v>88</v>
      </c>
      <c r="G299" s="139">
        <f>SUM(G297:G297)</f>
        <v>4967</v>
      </c>
      <c r="H299" s="556"/>
    </row>
    <row r="300" spans="1:8" x14ac:dyDescent="0.25">
      <c r="A300" s="496" t="s">
        <v>97</v>
      </c>
      <c r="B300" s="497"/>
      <c r="C300" s="127" t="s">
        <v>4</v>
      </c>
      <c r="D300" s="127" t="s">
        <v>5</v>
      </c>
      <c r="E300" s="127" t="s">
        <v>86</v>
      </c>
      <c r="F300" s="128" t="s">
        <v>74</v>
      </c>
      <c r="G300" s="139" t="s">
        <v>75</v>
      </c>
    </row>
    <row r="301" spans="1:8" x14ac:dyDescent="0.25">
      <c r="A301" s="624" t="s">
        <v>354</v>
      </c>
      <c r="B301" s="624"/>
      <c r="C301" s="130" t="s">
        <v>344</v>
      </c>
      <c r="D301" s="146">
        <v>1</v>
      </c>
      <c r="E301" s="150">
        <v>1.8800000000000001E-2</v>
      </c>
      <c r="F301" s="163">
        <v>171308</v>
      </c>
      <c r="G301" s="134">
        <f>D301*E301*F301</f>
        <v>3220.5904</v>
      </c>
    </row>
    <row r="302" spans="1:8" x14ac:dyDescent="0.25">
      <c r="A302" s="624"/>
      <c r="B302" s="624"/>
      <c r="C302" s="130"/>
      <c r="D302" s="131"/>
      <c r="E302" s="150"/>
      <c r="F302" s="163"/>
      <c r="G302" s="134"/>
    </row>
    <row r="303" spans="1:8" x14ac:dyDescent="0.25">
      <c r="A303" s="117"/>
      <c r="B303" s="118"/>
      <c r="C303" s="119"/>
      <c r="D303" s="120"/>
      <c r="E303" s="120"/>
      <c r="F303" s="162" t="s">
        <v>98</v>
      </c>
      <c r="G303" s="139">
        <f>G301</f>
        <v>3220.5904</v>
      </c>
      <c r="H303" s="556"/>
    </row>
    <row r="304" spans="1:8" x14ac:dyDescent="0.25">
      <c r="A304" s="117"/>
      <c r="B304" s="118"/>
      <c r="C304" s="119"/>
      <c r="D304" s="120"/>
      <c r="E304" s="120"/>
      <c r="F304" s="121"/>
      <c r="G304" s="122"/>
    </row>
    <row r="305" spans="1:8" ht="15.75" thickBot="1" x14ac:dyDescent="0.3">
      <c r="A305" s="170"/>
      <c r="B305" s="171"/>
      <c r="C305" s="172"/>
      <c r="D305" s="173"/>
      <c r="E305" s="174" t="s">
        <v>91</v>
      </c>
      <c r="F305" s="175">
        <f>+G303+G299+G294+G289+1.01</f>
        <v>159430.6004</v>
      </c>
      <c r="G305" s="498">
        <f>ROUND(F305,2)</f>
        <v>159430.6</v>
      </c>
      <c r="H305" s="475"/>
    </row>
    <row r="306" spans="1:8" ht="15.75" thickTop="1" x14ac:dyDescent="0.25"/>
    <row r="311" spans="1:8" x14ac:dyDescent="0.25">
      <c r="A311" s="250"/>
      <c r="B311" s="250"/>
      <c r="C311" s="250"/>
      <c r="D311" s="250"/>
    </row>
    <row r="312" spans="1:8" x14ac:dyDescent="0.25">
      <c r="A312" s="47" t="s">
        <v>330</v>
      </c>
      <c r="B312" s="41"/>
    </row>
    <row r="313" spans="1:8" x14ac:dyDescent="0.25">
      <c r="A313" s="561" t="s">
        <v>331</v>
      </c>
      <c r="B313" s="561"/>
    </row>
    <row r="314" spans="1:8" x14ac:dyDescent="0.25">
      <c r="A314" s="1" t="s">
        <v>332</v>
      </c>
      <c r="B314" s="41"/>
    </row>
  </sheetData>
  <mergeCells count="96">
    <mergeCell ref="A10:B10"/>
    <mergeCell ref="A11:B11"/>
    <mergeCell ref="A12:B12"/>
    <mergeCell ref="A28:B28"/>
    <mergeCell ref="A1:G1"/>
    <mergeCell ref="B3:E3"/>
    <mergeCell ref="B4:E4"/>
    <mergeCell ref="A8:B8"/>
    <mergeCell ref="A9:B9"/>
    <mergeCell ref="A34:G34"/>
    <mergeCell ref="B36:E36"/>
    <mergeCell ref="B37:E37"/>
    <mergeCell ref="A41:B41"/>
    <mergeCell ref="A42:B42"/>
    <mergeCell ref="A75:B75"/>
    <mergeCell ref="A76:B76"/>
    <mergeCell ref="A77:B77"/>
    <mergeCell ref="A92:B92"/>
    <mergeCell ref="A43:B43"/>
    <mergeCell ref="A44:B44"/>
    <mergeCell ref="A60:B60"/>
    <mergeCell ref="A66:G66"/>
    <mergeCell ref="B68:E68"/>
    <mergeCell ref="B69:E69"/>
    <mergeCell ref="A73:B73"/>
    <mergeCell ref="A74:B74"/>
    <mergeCell ref="A107:B107"/>
    <mergeCell ref="A110:B110"/>
    <mergeCell ref="A111:B111"/>
    <mergeCell ref="A151:B151"/>
    <mergeCell ref="A152:B152"/>
    <mergeCell ref="A134:G134"/>
    <mergeCell ref="B136:E136"/>
    <mergeCell ref="B137:E137"/>
    <mergeCell ref="A142:B142"/>
    <mergeCell ref="A112:B112"/>
    <mergeCell ref="A128:B128"/>
    <mergeCell ref="A141:B141"/>
    <mergeCell ref="A143:B143"/>
    <mergeCell ref="A98:G98"/>
    <mergeCell ref="B100:E100"/>
    <mergeCell ref="B101:E101"/>
    <mergeCell ref="A105:B105"/>
    <mergeCell ref="A106:B106"/>
    <mergeCell ref="A169:C169"/>
    <mergeCell ref="A173:B173"/>
    <mergeCell ref="A179:G179"/>
    <mergeCell ref="B181:E181"/>
    <mergeCell ref="A144:B144"/>
    <mergeCell ref="A145:B145"/>
    <mergeCell ref="A146:B146"/>
    <mergeCell ref="A147:B147"/>
    <mergeCell ref="A148:B148"/>
    <mergeCell ref="A149:B149"/>
    <mergeCell ref="A150:B150"/>
    <mergeCell ref="A153:B153"/>
    <mergeCell ref="A154:B154"/>
    <mergeCell ref="A155:B155"/>
    <mergeCell ref="A156:B156"/>
    <mergeCell ref="A219:B219"/>
    <mergeCell ref="A225:B225"/>
    <mergeCell ref="A209:G209"/>
    <mergeCell ref="B182:E182"/>
    <mergeCell ref="A186:B186"/>
    <mergeCell ref="A188:B188"/>
    <mergeCell ref="A203:B203"/>
    <mergeCell ref="B211:E211"/>
    <mergeCell ref="B212:E212"/>
    <mergeCell ref="A216:B216"/>
    <mergeCell ref="A217:B217"/>
    <mergeCell ref="A218:B218"/>
    <mergeCell ref="A277:G277"/>
    <mergeCell ref="A241:G241"/>
    <mergeCell ref="B244:E244"/>
    <mergeCell ref="B245:E245"/>
    <mergeCell ref="A234:B234"/>
    <mergeCell ref="A235:B235"/>
    <mergeCell ref="A271:B271"/>
    <mergeCell ref="A249:B249"/>
    <mergeCell ref="A250:B250"/>
    <mergeCell ref="A251:B251"/>
    <mergeCell ref="A252:B252"/>
    <mergeCell ref="A253:B253"/>
    <mergeCell ref="A254:B254"/>
    <mergeCell ref="A265:B265"/>
    <mergeCell ref="A266:B266"/>
    <mergeCell ref="A270:B270"/>
    <mergeCell ref="B280:E280"/>
    <mergeCell ref="B281:E281"/>
    <mergeCell ref="A285:B285"/>
    <mergeCell ref="A286:B286"/>
    <mergeCell ref="A313:B313"/>
    <mergeCell ref="A287:B287"/>
    <mergeCell ref="A301:B301"/>
    <mergeCell ref="A302:B302"/>
    <mergeCell ref="A288:B288"/>
  </mergeCells>
  <pageMargins left="0.7" right="0.7" top="0.75" bottom="0.75" header="0.511811023622047" footer="0.511811023622047"/>
  <pageSetup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2:J22"/>
  <sheetViews>
    <sheetView showGridLines="0" zoomScale="90" zoomScaleNormal="90" workbookViewId="0">
      <selection activeCell="H5" sqref="H5"/>
    </sheetView>
  </sheetViews>
  <sheetFormatPr baseColWidth="10" defaultColWidth="11.42578125" defaultRowHeight="15" x14ac:dyDescent="0.25"/>
  <cols>
    <col min="1" max="1" width="3.28515625" style="251" customWidth="1"/>
    <col min="2" max="2" width="3.28515625" style="252" customWidth="1"/>
    <col min="3" max="3" width="41.5703125" style="252" customWidth="1"/>
    <col min="4" max="4" width="20" style="252" customWidth="1"/>
    <col min="5" max="5" width="21.42578125" style="252" customWidth="1"/>
    <col min="6" max="6" width="18.5703125" style="252" customWidth="1"/>
    <col min="7" max="7" width="19.7109375" style="252" customWidth="1"/>
    <col min="8" max="8" width="23" style="252" customWidth="1"/>
    <col min="9" max="9" width="22.140625" style="252" customWidth="1"/>
    <col min="10" max="10" width="3.7109375" style="252" customWidth="1"/>
    <col min="11" max="16384" width="11.42578125" style="251"/>
  </cols>
  <sheetData>
    <row r="2" spans="1:9" x14ac:dyDescent="0.25">
      <c r="C2" s="643" t="s">
        <v>100</v>
      </c>
      <c r="D2" s="643"/>
      <c r="E2" s="643"/>
      <c r="F2" s="643"/>
      <c r="G2" s="643"/>
      <c r="H2" s="643"/>
      <c r="I2" s="643"/>
    </row>
    <row r="4" spans="1:9" ht="31.5" x14ac:dyDescent="0.25">
      <c r="C4" s="253" t="s">
        <v>101</v>
      </c>
      <c r="D4" s="253" t="s">
        <v>8</v>
      </c>
      <c r="E4" s="253" t="s">
        <v>102</v>
      </c>
      <c r="F4" s="253" t="s">
        <v>103</v>
      </c>
      <c r="G4" s="253" t="s">
        <v>70</v>
      </c>
      <c r="H4" s="253" t="s">
        <v>104</v>
      </c>
      <c r="I4" s="253" t="s">
        <v>105</v>
      </c>
    </row>
    <row r="5" spans="1:9" x14ac:dyDescent="0.25">
      <c r="A5" s="251">
        <v>1</v>
      </c>
      <c r="C5" s="254" t="str">
        <f>'PPTO '!C9</f>
        <v>DESTRONQUE Y LIJADA</v>
      </c>
      <c r="D5" s="255">
        <f>VLOOKUP($A5,'PPTO '!$B$9:'PPTO '!$S$14,11,FALSE())</f>
        <v>2471312</v>
      </c>
      <c r="E5" s="255">
        <f>VLOOKUP($A5,'PPTO '!$B$9:'PPTO '!$S$26,13,FALSE())</f>
        <v>28570</v>
      </c>
      <c r="F5" s="255">
        <f>VLOOKUP($A5,'PPTO '!$B$9:'PPTO '!$S$14,15,FALSE())</f>
        <v>395226.77350665606</v>
      </c>
      <c r="G5" s="255">
        <f>VLOOKUP($A5,'PPTO '!$B$9:'PPTO '!$S$14,17,FALSE())</f>
        <v>3476459</v>
      </c>
      <c r="H5" s="255">
        <f>VLOOKUP($A5,'PPTO '!$B$9:'PPTO '!$S$14,18,FALSE())</f>
        <v>2038902</v>
      </c>
      <c r="I5" s="256">
        <f t="shared" ref="I5:I11" si="0">SUM(D5:H5)</f>
        <v>8410469.7735066563</v>
      </c>
    </row>
    <row r="6" spans="1:9" x14ac:dyDescent="0.25">
      <c r="A6" s="251">
        <v>2</v>
      </c>
      <c r="C6" s="254" t="str">
        <f>'PPTO '!C11</f>
        <v>LAVADA Y DESCONTAMINADA</v>
      </c>
      <c r="D6" s="255">
        <f>VLOOKUP($A6,'PPTO '!$B$9:'PPTO '!$S$14,11,FALSE())</f>
        <v>12750048</v>
      </c>
      <c r="E6" s="255">
        <f>VLOOKUP($A6,'PPTO '!$B$9:'PPTO '!$S$26,13,FALSE())</f>
        <v>19870491</v>
      </c>
      <c r="F6" s="255">
        <f>VLOOKUP($A6,'PPTO '!$B$9:'PPTO '!$S$14,15,FALSE())</f>
        <v>404350</v>
      </c>
      <c r="G6" s="255">
        <f>VLOOKUP($A6,'PPTO '!$B$9:'PPTO '!$S$14,17,FALSE())</f>
        <v>6447748</v>
      </c>
      <c r="H6" s="255">
        <f>VLOOKUP($A6,'PPTO '!$B$9:'PPTO '!$S$14,18,FALSE())</f>
        <v>12631244</v>
      </c>
      <c r="I6" s="256">
        <f t="shared" si="0"/>
        <v>52103881</v>
      </c>
    </row>
    <row r="7" spans="1:9" x14ac:dyDescent="0.25">
      <c r="A7" s="251">
        <v>3</v>
      </c>
      <c r="C7" s="254" t="str">
        <f>'PPTO '!C13</f>
        <v>RECUBRIMIENTO SINTETICO</v>
      </c>
      <c r="D7" s="255">
        <f>VLOOKUP($A7,'PPTO '!$B$9:'PPTO '!$S$14,11,FALSE())</f>
        <v>5907513</v>
      </c>
      <c r="E7" s="255">
        <f>VLOOKUP($A7,'PPTO '!$B$9:'PPTO '!$S$26,13,FALSE())</f>
        <v>146107415.09280002</v>
      </c>
      <c r="F7" s="255">
        <f>VLOOKUP($A7,'PPTO '!$B$9:'PPTO '!$S$14,15,FALSE())</f>
        <v>11861721</v>
      </c>
      <c r="G7" s="255">
        <f>VLOOKUP($A7,'PPTO '!$B$9:'PPTO '!$S$14,17,FALSE())</f>
        <v>16610904</v>
      </c>
      <c r="H7" s="255">
        <f>VLOOKUP($A7,'PPTO '!$B$9:'PPTO '!$S$14,18,FALSE())</f>
        <v>57756017</v>
      </c>
      <c r="I7" s="256">
        <f t="shared" si="0"/>
        <v>238243570.09280002</v>
      </c>
    </row>
    <row r="8" spans="1:9" x14ac:dyDescent="0.25">
      <c r="A8" s="251">
        <v>4</v>
      </c>
      <c r="C8" s="254" t="str">
        <f>'PPTO '!C15</f>
        <v>REDUCTORES DE VELOCIDAD</v>
      </c>
      <c r="D8" s="255">
        <f>VLOOKUP($A8,'PPTO '!$B$9:'PPTO '!$S$18,11,FALSE())</f>
        <v>299700</v>
      </c>
      <c r="E8" s="255">
        <f>VLOOKUP($A8,'PPTO '!$B$9:'PPTO '!$S$26,13,FALSE())</f>
        <v>29271780</v>
      </c>
      <c r="F8" s="255">
        <f>VLOOKUP($A8,'PPTO '!$B$9:'PPTO '!$S$18,15,FALSE())</f>
        <v>39523</v>
      </c>
      <c r="G8" s="255">
        <f>VLOOKUP($A8,'PPTO '!$B$9:'PPTO '!$S$18,17,FALSE())</f>
        <v>75898</v>
      </c>
      <c r="H8" s="255">
        <f>VLOOKUP($A8,'PPTO '!$B$9:'PPTO '!$S$18,18,FALSE())</f>
        <v>9499808</v>
      </c>
      <c r="I8" s="256">
        <f t="shared" si="0"/>
        <v>39186709</v>
      </c>
    </row>
    <row r="9" spans="1:9" x14ac:dyDescent="0.25">
      <c r="A9" s="251">
        <v>5</v>
      </c>
      <c r="C9" s="254" t="str">
        <f>'PPTO '!C17</f>
        <v>BARANDA DE PROTECCION</v>
      </c>
      <c r="D9" s="255">
        <f>VLOOKUP($A9,'PPTO '!$B$9:'PPTO '!$S$26,11,FALSE())</f>
        <v>8840811</v>
      </c>
      <c r="E9" s="255">
        <f>VLOOKUP($A9,'PPTO '!$B$9:'PPTO '!$S$26,13,FALSE())</f>
        <v>176472570</v>
      </c>
      <c r="F9" s="255">
        <f>VLOOKUP($A9,'PPTO '!$B$9:'PPTO '!$S$26,15,FALSE())</f>
        <v>1495809</v>
      </c>
      <c r="G9" s="255">
        <f>VLOOKUP($A9,'PPTO '!$B$9:'PPTO '!$S$26,17,FALSE())</f>
        <v>14721729</v>
      </c>
      <c r="H9" s="255">
        <f>VLOOKUP($A9,'PPTO '!$B$9:'PPTO '!$S$26,18,FALSE())</f>
        <v>64489894</v>
      </c>
      <c r="I9" s="256">
        <f t="shared" si="0"/>
        <v>266020813</v>
      </c>
    </row>
    <row r="10" spans="1:9" x14ac:dyDescent="0.25">
      <c r="A10" s="251">
        <v>6</v>
      </c>
      <c r="C10" s="254" t="str">
        <f>'PPTO '!C19</f>
        <v>DESMONTE BARANDA EXISTENTE</v>
      </c>
      <c r="D10" s="255">
        <f>VLOOKUP($A10,'PPTO '!$B$9:'PPTO '!$S$26,11,FALSE())</f>
        <v>6570825</v>
      </c>
      <c r="E10" s="255">
        <f>VLOOKUP($A10,'PPTO '!$B$9:'PPTO '!$S$26,13,FALSE())</f>
        <v>0</v>
      </c>
      <c r="F10" s="255">
        <f>VLOOKUP($A10,'PPTO '!$B$9:'PPTO '!$S$26,15,FALSE())</f>
        <v>408588</v>
      </c>
      <c r="G10" s="255">
        <f>VLOOKUP($A10,'PPTO '!$B$9:'PPTO '!$S$26,17,FALSE())</f>
        <v>8038329</v>
      </c>
      <c r="H10" s="255">
        <f>VLOOKUP($A10,'PPTO '!$B$9:'PPTO '!$S$26,18,FALSE())</f>
        <v>4805677</v>
      </c>
      <c r="I10" s="256">
        <f t="shared" si="0"/>
        <v>19823419</v>
      </c>
    </row>
    <row r="11" spans="1:9" x14ac:dyDescent="0.25">
      <c r="A11" s="251">
        <v>7</v>
      </c>
      <c r="C11" s="254" t="str">
        <f>'PPTO '!C21</f>
        <v>LAVADA Y DESCONTAMINACION CARCAMO</v>
      </c>
      <c r="D11" s="255">
        <f>VLOOKUP($A11,'PPTO '!$B$9:'PPTO '!$S$26,11,FALSE())</f>
        <v>1615400</v>
      </c>
      <c r="E11" s="255">
        <f>VLOOKUP($A11,'PPTO '!$B$9:'PPTO '!$S$26,13,FALSE())</f>
        <v>7660800</v>
      </c>
      <c r="F11" s="255">
        <f>VLOOKUP($A11,'PPTO '!$B$9:'PPTO '!$S$26,15,FALSE())</f>
        <v>407200</v>
      </c>
      <c r="G11" s="255">
        <f>VLOOKUP($A11,'PPTO '!$B$9:'PPTO '!$S$26,17,FALSE())</f>
        <v>1081732</v>
      </c>
      <c r="H11" s="255">
        <f>VLOOKUP($A11,'PPTO '!$B$9:'PPTO '!$S$26,18,FALSE())</f>
        <v>3444842</v>
      </c>
      <c r="I11" s="256">
        <f t="shared" si="0"/>
        <v>14209974</v>
      </c>
    </row>
    <row r="12" spans="1:9" x14ac:dyDescent="0.25">
      <c r="A12" s="251">
        <v>8</v>
      </c>
      <c r="C12" s="254" t="str">
        <f>'PPTO '!C23</f>
        <v>HOMOLOGACION FEDEPATIN</v>
      </c>
      <c r="D12" s="255">
        <f>VLOOKUP($A12,'PPTO '!$B$9:'PPTO '!$S$26,11,FALSE())</f>
        <v>0</v>
      </c>
      <c r="E12" s="255">
        <f>VLOOKUP($A12,'PPTO '!$B$9:'PPTO '!$S$24,13,FALSE())</f>
        <v>42383610</v>
      </c>
      <c r="F12" s="255">
        <f>VLOOKUP($A12,'PPTO '!$B$9:'PPTO '!$S$26,15,FALSE())</f>
        <v>0</v>
      </c>
      <c r="G12" s="255">
        <f>VLOOKUP($A12,'PPTO '!$B$9:'PPTO '!$S$26,17,FALSE())</f>
        <v>0</v>
      </c>
      <c r="H12" s="255">
        <f>VLOOKUP($A12,'PPTO '!$B$9:'PPTO '!$S$26,18,FALSE())</f>
        <v>13562755</v>
      </c>
      <c r="I12" s="256">
        <f>SUM(D12:H12)</f>
        <v>55946365</v>
      </c>
    </row>
    <row r="13" spans="1:9" x14ac:dyDescent="0.25">
      <c r="A13" s="251">
        <v>9</v>
      </c>
      <c r="C13" s="254" t="str">
        <f>'PPTO '!C25</f>
        <v>VALLA INFORMATIVA GENERAL DEL PROYECTO</v>
      </c>
      <c r="D13" s="255">
        <f>APUS!G299</f>
        <v>4967</v>
      </c>
      <c r="E13" s="255">
        <f>APUS!G289</f>
        <v>104884</v>
      </c>
      <c r="F13" s="255">
        <f>APUS!G303</f>
        <v>3220.5904</v>
      </c>
      <c r="G13" s="255">
        <f>APUS!G294</f>
        <v>46358</v>
      </c>
      <c r="H13" s="255">
        <f>(D13+E13+F13+G13)*('PPTO '!F33+'PPTO '!F31+'PPTO '!F32)</f>
        <v>51017.468927999995</v>
      </c>
      <c r="I13" s="256">
        <f t="shared" ref="I13" si="1">SUM(D13:H13)</f>
        <v>210447.05932799997</v>
      </c>
    </row>
    <row r="14" spans="1:9" x14ac:dyDescent="0.25">
      <c r="C14" s="257"/>
    </row>
    <row r="15" spans="1:9" x14ac:dyDescent="0.25">
      <c r="C15" s="258" t="s">
        <v>106</v>
      </c>
      <c r="D15" s="259">
        <f>SUM(D5:D13)</f>
        <v>38460576</v>
      </c>
      <c r="E15" s="259">
        <f t="shared" ref="E15:H15" si="2">SUM(E5:E13)</f>
        <v>421900120.09280002</v>
      </c>
      <c r="F15" s="259">
        <f t="shared" si="2"/>
        <v>15015638.363906655</v>
      </c>
      <c r="G15" s="259">
        <f t="shared" si="2"/>
        <v>50499157</v>
      </c>
      <c r="H15" s="259">
        <f t="shared" si="2"/>
        <v>168280156.46892801</v>
      </c>
      <c r="I15" s="259">
        <f>SUM(D15:H15)</f>
        <v>694155647.92563474</v>
      </c>
    </row>
    <row r="17" spans="3:9" x14ac:dyDescent="0.25">
      <c r="H17" s="260" t="s">
        <v>107</v>
      </c>
      <c r="I17" s="261">
        <f>SUM(I15:I15)</f>
        <v>694155647.92563474</v>
      </c>
    </row>
    <row r="20" spans="3:9" x14ac:dyDescent="0.25">
      <c r="C20" s="47" t="s">
        <v>330</v>
      </c>
      <c r="D20" s="41"/>
      <c r="E20"/>
      <c r="F20"/>
    </row>
    <row r="21" spans="3:9" x14ac:dyDescent="0.25">
      <c r="C21" s="561" t="s">
        <v>331</v>
      </c>
      <c r="D21" s="561"/>
      <c r="E21"/>
      <c r="F21"/>
    </row>
    <row r="22" spans="3:9" x14ac:dyDescent="0.25">
      <c r="C22" s="1" t="s">
        <v>332</v>
      </c>
      <c r="D22" s="41"/>
      <c r="E22"/>
      <c r="F22"/>
    </row>
  </sheetData>
  <mergeCells count="2">
    <mergeCell ref="C2:I2"/>
    <mergeCell ref="C21:D21"/>
  </mergeCells>
  <pageMargins left="0.7" right="0.7" top="0.75" bottom="0.75" header="0.511811023622047" footer="0.511811023622047"/>
  <pageSetup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9FF33"/>
  </sheetPr>
  <dimension ref="A1:N30"/>
  <sheetViews>
    <sheetView showGridLines="0" topLeftCell="A9" zoomScale="85" zoomScaleNormal="85" workbookViewId="0">
      <selection activeCell="B9" sqref="B9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4" ht="12.75" customHeight="1" x14ac:dyDescent="0.25"/>
    <row r="2" spans="1:14" ht="18.75" customHeight="1" x14ac:dyDescent="0.25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4" ht="12.75" customHeight="1" x14ac:dyDescent="0.25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4" ht="20.25" customHeight="1" x14ac:dyDescent="0.25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4" ht="18" customHeight="1" x14ac:dyDescent="0.25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4" ht="27" customHeight="1" x14ac:dyDescent="0.25"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</row>
    <row r="7" spans="1:14" ht="13.5" customHeight="1" x14ac:dyDescent="0.25">
      <c r="B7" s="656" t="s">
        <v>245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</row>
    <row r="8" spans="1:14" ht="13.5" customHeight="1" thickTop="1" thickBot="1" x14ac:dyDescent="0.3"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</row>
    <row r="9" spans="1:14" customFormat="1" ht="30" customHeight="1" thickTop="1" thickBot="1" x14ac:dyDescent="0.3">
      <c r="A9" s="262"/>
      <c r="B9" s="269" t="s">
        <v>109</v>
      </c>
      <c r="C9" s="644" t="s">
        <v>246</v>
      </c>
      <c r="D9" s="645"/>
      <c r="E9" s="645"/>
      <c r="F9" s="645"/>
      <c r="G9" s="645"/>
      <c r="H9" s="645"/>
      <c r="I9" s="645"/>
      <c r="J9" s="646"/>
      <c r="K9" s="270" t="s">
        <v>110</v>
      </c>
      <c r="L9" s="271" t="s">
        <v>15</v>
      </c>
      <c r="M9" s="262"/>
    </row>
    <row r="10" spans="1:14" customFormat="1" ht="30" customHeight="1" thickTop="1" thickBot="1" x14ac:dyDescent="0.3">
      <c r="A10" s="262"/>
      <c r="B10" s="269" t="s">
        <v>111</v>
      </c>
      <c r="C10" s="272">
        <v>1.1000000000000001</v>
      </c>
      <c r="D10" s="272"/>
      <c r="E10" s="273"/>
      <c r="F10" s="274"/>
      <c r="G10" s="274"/>
      <c r="H10" s="274"/>
      <c r="I10" s="274"/>
      <c r="J10" s="274"/>
      <c r="K10" s="275" t="s">
        <v>112</v>
      </c>
      <c r="L10" s="276">
        <f>APUS!G4</f>
        <v>4905.6000000000004</v>
      </c>
      <c r="M10" s="262"/>
      <c r="N10" s="490"/>
    </row>
    <row r="11" spans="1:14" customFormat="1" ht="25.5" customHeight="1" thickTop="1" thickBot="1" x14ac:dyDescent="0.3">
      <c r="A11" s="262"/>
      <c r="B11" s="277"/>
      <c r="C11" s="278"/>
      <c r="D11" s="278"/>
      <c r="E11" s="278"/>
      <c r="F11" s="279"/>
      <c r="G11" s="279"/>
      <c r="H11" s="279"/>
      <c r="I11" s="279"/>
      <c r="J11" s="279"/>
      <c r="K11" s="280" t="s">
        <v>113</v>
      </c>
      <c r="L11" s="281">
        <f>ROUND(L10*K15,0)</f>
        <v>6370608</v>
      </c>
      <c r="M11" s="262"/>
    </row>
    <row r="12" spans="1:14" customFormat="1" ht="15" customHeight="1" x14ac:dyDescent="0.25">
      <c r="A12" s="262"/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  <c r="M12" s="262"/>
    </row>
    <row r="13" spans="1:14" customFormat="1" ht="15" customHeight="1" x14ac:dyDescent="0.25">
      <c r="A13" s="262"/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117</v>
      </c>
      <c r="K13" s="285" t="s">
        <v>38</v>
      </c>
      <c r="L13" s="286" t="s">
        <v>118</v>
      </c>
      <c r="M13" s="262"/>
    </row>
    <row r="14" spans="1:14" customFormat="1" ht="15" customHeight="1" thickBot="1" x14ac:dyDescent="0.3">
      <c r="A14" s="262"/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15</v>
      </c>
      <c r="K14" s="296" t="s">
        <v>126</v>
      </c>
      <c r="L14" s="297" t="s">
        <v>127</v>
      </c>
      <c r="M14" s="262"/>
    </row>
    <row r="15" spans="1:14" customFormat="1" ht="15" customHeight="1" thickTop="1" x14ac:dyDescent="0.25">
      <c r="A15" s="262"/>
      <c r="B15" s="298"/>
      <c r="C15" s="299"/>
      <c r="D15" s="299"/>
      <c r="E15" s="299"/>
      <c r="F15" s="302">
        <v>216.44</v>
      </c>
      <c r="G15" s="302">
        <v>6</v>
      </c>
      <c r="H15" s="302"/>
      <c r="I15" s="302"/>
      <c r="J15" s="302">
        <f>F15*G15</f>
        <v>1298.6399999999999</v>
      </c>
      <c r="K15" s="302">
        <f>+J15</f>
        <v>1298.6399999999999</v>
      </c>
      <c r="L15" s="303" t="s">
        <v>258</v>
      </c>
      <c r="M15" s="262"/>
    </row>
    <row r="16" spans="1:14" customFormat="1" ht="15" customHeight="1" x14ac:dyDescent="0.25">
      <c r="A16" s="262"/>
      <c r="B16" s="300"/>
      <c r="C16" s="301"/>
      <c r="D16" s="301"/>
      <c r="E16" s="301"/>
      <c r="F16" s="302"/>
      <c r="G16" s="302"/>
      <c r="H16" s="302"/>
      <c r="I16" s="302"/>
      <c r="J16" s="302"/>
      <c r="K16" s="302">
        <f>+J16</f>
        <v>0</v>
      </c>
      <c r="L16" s="303"/>
      <c r="M16" s="262"/>
    </row>
    <row r="17" spans="1:13" customFormat="1" ht="15" customHeight="1" x14ac:dyDescent="0.25">
      <c r="A17" s="262"/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  <c r="M17" s="262"/>
    </row>
    <row r="18" spans="1:13" customFormat="1" ht="15" customHeight="1" x14ac:dyDescent="0.25">
      <c r="A18" s="262"/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1298.6400000000001</v>
      </c>
      <c r="L18" s="309"/>
      <c r="M18" s="262"/>
    </row>
    <row r="19" spans="1:13" customFormat="1" ht="15" customHeight="1" x14ac:dyDescent="0.25">
      <c r="A19" s="262"/>
      <c r="B19" s="268"/>
      <c r="C19" s="265"/>
      <c r="D19" s="265"/>
      <c r="E19" s="265"/>
      <c r="F19" s="266"/>
      <c r="G19" s="266"/>
      <c r="H19" s="266"/>
      <c r="I19" s="266"/>
      <c r="J19" s="266"/>
      <c r="K19" s="467"/>
      <c r="L19" s="309"/>
      <c r="M19" s="262"/>
    </row>
    <row r="20" spans="1:13" customFormat="1" ht="15" customHeight="1" x14ac:dyDescent="0.25">
      <c r="A20" s="262"/>
      <c r="B20" s="268"/>
      <c r="C20" s="265"/>
      <c r="D20" s="265"/>
      <c r="E20" s="265"/>
      <c r="F20" s="266"/>
      <c r="G20" s="266"/>
      <c r="H20" s="266"/>
      <c r="I20" s="266"/>
      <c r="J20" s="266"/>
      <c r="K20" s="467"/>
      <c r="L20" s="309"/>
      <c r="M20" s="262"/>
    </row>
    <row r="21" spans="1:13" customFormat="1" ht="15" customHeight="1" x14ac:dyDescent="0.25">
      <c r="A21" s="262"/>
      <c r="B21" s="268"/>
      <c r="C21" s="265"/>
      <c r="D21" s="265"/>
      <c r="E21" s="265"/>
      <c r="F21" s="266"/>
      <c r="G21" s="266"/>
      <c r="H21" s="266"/>
      <c r="I21" s="266"/>
      <c r="J21" s="266"/>
      <c r="K21" s="467"/>
      <c r="L21" s="309"/>
      <c r="M21" s="262"/>
    </row>
    <row r="22" spans="1:13" customFormat="1" ht="15" customHeight="1" x14ac:dyDescent="0.25">
      <c r="A22" s="262"/>
      <c r="B22" s="268"/>
      <c r="C22" s="265"/>
      <c r="D22" s="265"/>
      <c r="E22" s="265"/>
      <c r="F22" s="266"/>
      <c r="G22" s="266"/>
      <c r="H22" s="266"/>
      <c r="I22" s="266"/>
      <c r="J22" s="266"/>
      <c r="K22" s="467"/>
      <c r="L22" s="309"/>
      <c r="M22" s="262"/>
    </row>
    <row r="23" spans="1:13" customFormat="1" ht="15" customHeight="1" x14ac:dyDescent="0.25">
      <c r="A23" s="262"/>
      <c r="B23" s="268"/>
      <c r="C23" s="265"/>
      <c r="D23" s="265"/>
      <c r="E23" s="265"/>
      <c r="F23" s="266"/>
      <c r="G23" s="266"/>
      <c r="H23" s="266"/>
      <c r="I23" s="266"/>
      <c r="J23" s="266"/>
      <c r="K23" s="467"/>
      <c r="L23" s="309"/>
      <c r="M23" s="262"/>
    </row>
    <row r="24" spans="1:13" customFormat="1" ht="15" customHeight="1" x14ac:dyDescent="0.25">
      <c r="A24" s="262"/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  <c r="M24" s="262"/>
    </row>
    <row r="25" spans="1:13" customFormat="1" ht="15" customHeight="1" x14ac:dyDescent="0.25">
      <c r="A25" s="262"/>
      <c r="B25" s="268"/>
      <c r="C25" s="265"/>
      <c r="D25" s="265"/>
      <c r="E25" s="265"/>
      <c r="F25" s="266"/>
      <c r="G25" s="264"/>
      <c r="H25" s="266"/>
      <c r="I25" s="266"/>
      <c r="J25" s="266"/>
      <c r="K25" s="468" t="s">
        <v>330</v>
      </c>
      <c r="L25" s="462"/>
      <c r="M25" s="262"/>
    </row>
    <row r="26" spans="1:13" customFormat="1" ht="15" customHeight="1" x14ac:dyDescent="0.25">
      <c r="A26" s="262"/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  <c r="M26" s="262"/>
    </row>
    <row r="27" spans="1:13" customFormat="1" ht="15" customHeight="1" x14ac:dyDescent="0.25">
      <c r="A27" s="262"/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2"/>
      <c r="M27" s="262"/>
    </row>
    <row r="28" spans="1:13" customFormat="1" ht="15" customHeight="1" x14ac:dyDescent="0.25">
      <c r="A28" s="262"/>
      <c r="B28" s="311"/>
      <c r="C28" s="265"/>
      <c r="D28" s="265"/>
      <c r="E28" s="265"/>
      <c r="F28" s="266"/>
      <c r="G28" s="266"/>
      <c r="H28" s="266"/>
      <c r="I28" s="266"/>
      <c r="J28" s="266"/>
      <c r="K28" s="650"/>
      <c r="L28" s="650"/>
      <c r="M28" s="262"/>
    </row>
    <row r="29" spans="1:13" customFormat="1" ht="15" customHeight="1" thickBot="1" x14ac:dyDescent="0.3">
      <c r="A29" s="262"/>
      <c r="B29" s="277"/>
      <c r="C29" s="278"/>
      <c r="D29" s="278"/>
      <c r="E29" s="278"/>
      <c r="F29" s="279"/>
      <c r="G29" s="279"/>
      <c r="H29" s="279"/>
      <c r="I29" s="279"/>
      <c r="J29" s="279"/>
      <c r="K29" s="279"/>
      <c r="L29" s="312"/>
      <c r="M29" s="262"/>
    </row>
    <row r="30" spans="1:13" ht="13.5" thickTop="1" x14ac:dyDescent="0.25"/>
  </sheetData>
  <mergeCells count="11">
    <mergeCell ref="B2:L2"/>
    <mergeCell ref="B4:L4"/>
    <mergeCell ref="L5:L8"/>
    <mergeCell ref="B6:K6"/>
    <mergeCell ref="B7:K8"/>
    <mergeCell ref="C9:J9"/>
    <mergeCell ref="B13:C13"/>
    <mergeCell ref="D13:E13"/>
    <mergeCell ref="F13:H13"/>
    <mergeCell ref="K28:L28"/>
    <mergeCell ref="K26:L26"/>
  </mergeCells>
  <printOptions horizontalCentered="1"/>
  <pageMargins left="0.905555555555556" right="0.51180555555555596" top="1.1416666666666699" bottom="0.74791666666666701" header="0.511811023622047" footer="0.511811023622047"/>
  <pageSetup scale="66" fitToWidth="0" fitToHeight="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9FF33"/>
    <pageSetUpPr fitToPage="1"/>
  </sheetPr>
  <dimension ref="A1:M30"/>
  <sheetViews>
    <sheetView showGridLines="0" zoomScale="90" zoomScaleNormal="90" zoomScaleSheetLayoutView="95" workbookViewId="0">
      <selection activeCell="B6" sqref="B6:K6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256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" customHeight="1" thickTop="1" thickBot="1" x14ac:dyDescent="0.3">
      <c r="A9" s="262"/>
      <c r="B9" s="460" t="s">
        <v>109</v>
      </c>
      <c r="C9" s="658" t="s">
        <v>337</v>
      </c>
      <c r="D9" s="659"/>
      <c r="E9" s="659"/>
      <c r="F9" s="659"/>
      <c r="G9" s="659"/>
      <c r="H9" s="659"/>
      <c r="I9" s="659"/>
      <c r="J9" s="659"/>
      <c r="K9" s="461" t="s">
        <v>110</v>
      </c>
      <c r="L9" s="271" t="s">
        <v>15</v>
      </c>
      <c r="M9" s="262"/>
    </row>
    <row r="10" spans="1:13" ht="30" customHeight="1" thickTop="1" thickBot="1" x14ac:dyDescent="0.3">
      <c r="B10" s="269" t="s">
        <v>111</v>
      </c>
      <c r="C10" s="458">
        <v>2.1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APUS!G37</f>
        <v>30395.64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39472993.929599993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x14ac:dyDescent="0.25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216.44</v>
      </c>
      <c r="G15" s="302">
        <v>6</v>
      </c>
      <c r="H15" s="302"/>
      <c r="I15" s="302"/>
      <c r="J15" s="302">
        <f>F15*G15</f>
        <v>1298.6399999999999</v>
      </c>
      <c r="K15" s="302">
        <f>+J15</f>
        <v>1298.6399999999999</v>
      </c>
      <c r="L15" s="303" t="s">
        <v>258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1298.6400000000001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334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C9:J9"/>
    <mergeCell ref="B2:L2"/>
    <mergeCell ref="B4:L4"/>
    <mergeCell ref="L5:L8"/>
    <mergeCell ref="B6:K6"/>
    <mergeCell ref="B7:K8"/>
    <mergeCell ref="B13:C13"/>
    <mergeCell ref="D13:E13"/>
    <mergeCell ref="F13:H13"/>
    <mergeCell ref="K29:L29"/>
    <mergeCell ref="K26:L26"/>
  </mergeCells>
  <printOptions horizontalCentered="1"/>
  <pageMargins left="0.905555555555556" right="0.51180555555555596" top="1.1416666666666699" bottom="0.74791666666666701" header="0.511811023622047" footer="0.511811023622047"/>
  <pageSetup scale="66" fitToHeight="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9FF33"/>
    <pageSetUpPr fitToPage="1"/>
  </sheetPr>
  <dimension ref="A1:M30"/>
  <sheetViews>
    <sheetView showGridLines="0" topLeftCell="A3" zoomScale="90" zoomScaleNormal="90" workbookViewId="0">
      <selection activeCell="L11" sqref="L11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368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" customHeight="1" thickTop="1" thickBot="1" x14ac:dyDescent="0.3">
      <c r="A9" s="262"/>
      <c r="B9" s="460" t="s">
        <v>109</v>
      </c>
      <c r="C9" s="660" t="s">
        <v>259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15</v>
      </c>
      <c r="M9" s="262"/>
    </row>
    <row r="10" spans="1:13" ht="30" customHeight="1" thickTop="1" thickBot="1" x14ac:dyDescent="0.3">
      <c r="B10" s="269" t="s">
        <v>111</v>
      </c>
      <c r="C10" s="458">
        <v>3.1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APUS!G69</f>
        <v>138982.31999999998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180488000.04479995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216.44</v>
      </c>
      <c r="G15" s="302">
        <v>6</v>
      </c>
      <c r="H15" s="302"/>
      <c r="I15" s="302"/>
      <c r="J15" s="302">
        <f>F15*G15</f>
        <v>1298.6399999999999</v>
      </c>
      <c r="K15" s="302">
        <f>+J15</f>
        <v>1298.6399999999999</v>
      </c>
      <c r="L15" s="303" t="s">
        <v>258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1298.6400000000001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2:L2"/>
    <mergeCell ref="B4:L4"/>
    <mergeCell ref="L5:L8"/>
    <mergeCell ref="B6:K6"/>
    <mergeCell ref="B7:K8"/>
    <mergeCell ref="K26:L26"/>
    <mergeCell ref="K29:L29"/>
    <mergeCell ref="C9:J9"/>
    <mergeCell ref="B13:C13"/>
    <mergeCell ref="D13:E13"/>
    <mergeCell ref="F13:H13"/>
  </mergeCells>
  <printOptions horizontalCentered="1"/>
  <pageMargins left="0.905555555555556" right="0.51180555555555596" top="1.1416666666666699" bottom="0.74791666666666701" header="0.511811023622047" footer="0.511811023622047"/>
  <pageSetup scale="66" fitToHeight="0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9FF33"/>
    <pageSetUpPr fitToPage="1"/>
  </sheetPr>
  <dimension ref="A1:M30"/>
  <sheetViews>
    <sheetView showGridLines="0" zoomScale="80" zoomScaleNormal="80" workbookViewId="0">
      <selection activeCell="G20" sqref="G20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277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" customHeight="1" thickTop="1" thickBot="1" x14ac:dyDescent="0.3">
      <c r="A9" s="262"/>
      <c r="B9" s="460" t="s">
        <v>109</v>
      </c>
      <c r="C9" s="660" t="s">
        <v>278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215</v>
      </c>
      <c r="M9" s="262"/>
    </row>
    <row r="10" spans="1:13" ht="30" customHeight="1" thickTop="1" thickBot="1" x14ac:dyDescent="0.3">
      <c r="B10" s="269" t="s">
        <v>111</v>
      </c>
      <c r="C10" s="458">
        <v>4.0999999999999996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APUS!G101</f>
        <v>36650.960000000006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ROUND(L10*K15,0)</f>
        <v>29687278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/>
      <c r="G15" s="302"/>
      <c r="H15" s="302"/>
      <c r="I15" s="302">
        <v>1</v>
      </c>
      <c r="J15" s="302">
        <v>810</v>
      </c>
      <c r="K15" s="302">
        <f>+J15</f>
        <v>810</v>
      </c>
      <c r="L15" s="303" t="s">
        <v>279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ROUND(SUM(K15:K17),0)</f>
        <v>810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2:L2"/>
    <mergeCell ref="B4:L4"/>
    <mergeCell ref="L5:L8"/>
    <mergeCell ref="B6:K6"/>
    <mergeCell ref="B7:K8"/>
    <mergeCell ref="K26:L26"/>
    <mergeCell ref="K29:L29"/>
    <mergeCell ref="C9:J9"/>
    <mergeCell ref="B13:C13"/>
    <mergeCell ref="D13:E13"/>
    <mergeCell ref="F13:H13"/>
  </mergeCells>
  <printOptions horizontalCentered="1"/>
  <pageMargins left="0.905555555555556" right="0.51180555555555596" top="1.1416666666666699" bottom="0.74791666666666701" header="0.511811023622047" footer="0.511811023622047"/>
  <pageSetup scale="66" fitToHeight="0" orientation="landscape" horizontalDpi="300" verticalDpi="300" r:id="rId1"/>
  <rowBreaks count="2" manualBreakCount="2">
    <brk id="26" min="1" max="11" man="1"/>
    <brk id="51" min="1" max="11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9FF33"/>
    <pageSetUpPr fitToPage="1"/>
  </sheetPr>
  <dimension ref="A1:M30"/>
  <sheetViews>
    <sheetView showGridLines="0" topLeftCell="A5" zoomScale="90" zoomScaleNormal="90" workbookViewId="0">
      <selection activeCell="L12" sqref="L12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11.4257812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286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105" customHeight="1" thickTop="1" thickBot="1" x14ac:dyDescent="0.3">
      <c r="A9" s="262"/>
      <c r="B9" s="460" t="s">
        <v>109</v>
      </c>
      <c r="C9" s="660" t="s">
        <v>287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16</v>
      </c>
      <c r="M9" s="262"/>
    </row>
    <row r="10" spans="1:13" ht="30" customHeight="1" thickTop="1" thickBot="1" x14ac:dyDescent="0.3">
      <c r="B10" s="269" t="s">
        <v>111</v>
      </c>
      <c r="C10" s="458">
        <v>5.0999999999999996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APUS!G137</f>
        <v>850340.73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201530753.00999999</v>
      </c>
      <c r="M11" s="489"/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237</v>
      </c>
      <c r="G15" s="302"/>
      <c r="H15" s="302"/>
      <c r="I15" s="302">
        <v>1</v>
      </c>
      <c r="J15" s="302">
        <v>1</v>
      </c>
      <c r="K15" s="302">
        <f>F15*I15</f>
        <v>237</v>
      </c>
      <c r="L15" s="303" t="s">
        <v>288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237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2:L2"/>
    <mergeCell ref="B4:L4"/>
    <mergeCell ref="K26:L26"/>
    <mergeCell ref="K29:L29"/>
    <mergeCell ref="L5:L8"/>
    <mergeCell ref="B6:K6"/>
    <mergeCell ref="B7:K8"/>
    <mergeCell ref="C9:J9"/>
    <mergeCell ref="B13:C13"/>
    <mergeCell ref="D13:E13"/>
    <mergeCell ref="F13:H13"/>
  </mergeCells>
  <printOptions horizontalCentered="1"/>
  <pageMargins left="0.905555555555556" right="0.51180555555555596" top="1.1416666666666699" bottom="0.74791666666666701" header="0.511811023622047" footer="0.511811023622047"/>
  <pageSetup scale="66" fitToHeight="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J28"/>
  <sheetViews>
    <sheetView zoomScale="95" zoomScaleNormal="95" workbookViewId="0">
      <pane ySplit="9" topLeftCell="A10" activePane="bottomLeft" state="frozen"/>
      <selection pane="bottomLeft" activeCell="A26" sqref="A26"/>
    </sheetView>
  </sheetViews>
  <sheetFormatPr baseColWidth="10" defaultColWidth="11.42578125" defaultRowHeight="15" x14ac:dyDescent="0.25"/>
  <cols>
    <col min="1" max="1" width="11.5703125" style="5" customWidth="1"/>
    <col min="2" max="2" width="31.140625" style="5" customWidth="1"/>
    <col min="3" max="4" width="11.5703125" style="5" customWidth="1"/>
    <col min="5" max="5" width="12.42578125" style="5" customWidth="1"/>
    <col min="6" max="6" width="21.140625" style="5" customWidth="1"/>
    <col min="7" max="7" width="11.42578125" style="5"/>
    <col min="8" max="8" width="16.42578125" style="5" customWidth="1"/>
    <col min="9" max="11" width="11.42578125" style="5"/>
    <col min="12" max="12" width="20.5703125" style="5" customWidth="1"/>
    <col min="13" max="1024" width="11.42578125" style="5"/>
  </cols>
  <sheetData>
    <row r="1" spans="1:14" ht="28.5" x14ac:dyDescent="0.25">
      <c r="A1" s="673"/>
      <c r="B1" s="673"/>
      <c r="C1" s="674" t="s">
        <v>130</v>
      </c>
      <c r="D1" s="674"/>
      <c r="E1" s="674"/>
      <c r="F1" s="674"/>
      <c r="G1" s="314"/>
      <c r="H1" s="315"/>
      <c r="I1" s="316" t="s">
        <v>131</v>
      </c>
      <c r="J1" s="317"/>
      <c r="K1" s="318"/>
      <c r="L1" s="319" t="s">
        <v>132</v>
      </c>
      <c r="M1" s="320" t="e">
        <f>+#REF!</f>
        <v>#REF!</v>
      </c>
      <c r="N1" s="321"/>
    </row>
    <row r="2" spans="1:14" x14ac:dyDescent="0.25">
      <c r="A2" s="673"/>
      <c r="B2" s="673"/>
      <c r="C2" s="675" t="s">
        <v>133</v>
      </c>
      <c r="D2" s="675"/>
      <c r="E2" s="675"/>
      <c r="F2" s="675"/>
      <c r="G2" s="322"/>
      <c r="H2" s="323"/>
      <c r="I2" s="324" t="s">
        <v>134</v>
      </c>
      <c r="J2" s="325"/>
      <c r="K2" s="326"/>
      <c r="L2" s="327" t="s">
        <v>114</v>
      </c>
      <c r="M2" s="328"/>
      <c r="N2" s="329"/>
    </row>
    <row r="3" spans="1:14" x14ac:dyDescent="0.25">
      <c r="A3" s="673"/>
      <c r="B3" s="673"/>
      <c r="C3" s="675" t="s">
        <v>135</v>
      </c>
      <c r="D3" s="675"/>
      <c r="E3" s="675"/>
      <c r="F3" s="675"/>
      <c r="G3" s="675"/>
      <c r="H3" s="323"/>
      <c r="I3" s="324" t="s">
        <v>136</v>
      </c>
      <c r="J3" s="330"/>
      <c r="K3" s="329"/>
      <c r="L3" s="331" t="s">
        <v>137</v>
      </c>
      <c r="M3" s="330"/>
      <c r="N3" s="332"/>
    </row>
    <row r="4" spans="1:14" x14ac:dyDescent="0.25">
      <c r="A4" s="673"/>
      <c r="B4" s="673"/>
      <c r="C4" s="675" t="s">
        <v>138</v>
      </c>
      <c r="D4" s="675"/>
      <c r="E4" s="675"/>
      <c r="F4" s="675"/>
      <c r="G4" s="322"/>
      <c r="H4" s="323"/>
      <c r="I4" s="324" t="s">
        <v>139</v>
      </c>
      <c r="J4" s="330"/>
      <c r="K4" s="329"/>
      <c r="L4" s="331" t="s">
        <v>140</v>
      </c>
      <c r="M4" s="333"/>
      <c r="N4" s="329"/>
    </row>
    <row r="5" spans="1:14" x14ac:dyDescent="0.25">
      <c r="A5" s="673"/>
      <c r="B5" s="673"/>
      <c r="C5" s="676"/>
      <c r="D5" s="676"/>
      <c r="E5" s="676"/>
      <c r="F5" s="676"/>
      <c r="G5" s="334"/>
      <c r="H5" s="334"/>
      <c r="I5" s="335" t="s">
        <v>141</v>
      </c>
      <c r="J5" s="664">
        <f>+K1</f>
        <v>0</v>
      </c>
      <c r="K5" s="664"/>
      <c r="L5" s="335" t="s">
        <v>142</v>
      </c>
      <c r="M5" s="336"/>
      <c r="N5" s="337"/>
    </row>
    <row r="7" spans="1:14" ht="16.5" customHeight="1" x14ac:dyDescent="0.25">
      <c r="A7" s="665" t="s">
        <v>143</v>
      </c>
      <c r="B7" s="666" t="s">
        <v>144</v>
      </c>
      <c r="C7" s="667" t="s">
        <v>145</v>
      </c>
      <c r="D7" s="667"/>
      <c r="E7" s="667"/>
      <c r="F7" s="667"/>
      <c r="G7" s="667" t="s">
        <v>146</v>
      </c>
      <c r="H7" s="667"/>
      <c r="I7" s="668" t="s">
        <v>147</v>
      </c>
      <c r="J7" s="668"/>
      <c r="K7" s="668"/>
      <c r="L7" s="668"/>
      <c r="M7" s="668"/>
      <c r="N7" s="668"/>
    </row>
    <row r="8" spans="1:14" ht="15" customHeight="1" x14ac:dyDescent="0.25">
      <c r="A8" s="665"/>
      <c r="B8" s="666"/>
      <c r="C8" s="669" t="s">
        <v>4</v>
      </c>
      <c r="D8" s="670" t="s">
        <v>5</v>
      </c>
      <c r="E8" s="670" t="s">
        <v>148</v>
      </c>
      <c r="F8" s="671" t="s">
        <v>149</v>
      </c>
      <c r="G8" s="669" t="s">
        <v>5</v>
      </c>
      <c r="H8" s="671" t="s">
        <v>149</v>
      </c>
      <c r="I8" s="672" t="s">
        <v>150</v>
      </c>
      <c r="J8" s="672"/>
      <c r="K8" s="672" t="s">
        <v>151</v>
      </c>
      <c r="L8" s="672"/>
      <c r="M8" s="672" t="s">
        <v>152</v>
      </c>
      <c r="N8" s="672"/>
    </row>
    <row r="9" spans="1:14" ht="30" x14ac:dyDescent="0.25">
      <c r="A9" s="665"/>
      <c r="B9" s="666"/>
      <c r="C9" s="669"/>
      <c r="D9" s="670" t="s">
        <v>148</v>
      </c>
      <c r="E9" s="670" t="s">
        <v>148</v>
      </c>
      <c r="F9" s="671"/>
      <c r="G9" s="669" t="s">
        <v>148</v>
      </c>
      <c r="H9" s="671" t="s">
        <v>5</v>
      </c>
      <c r="I9" s="338" t="s">
        <v>5</v>
      </c>
      <c r="J9" s="339" t="s">
        <v>149</v>
      </c>
      <c r="K9" s="340" t="s">
        <v>5</v>
      </c>
      <c r="L9" s="339" t="s">
        <v>149</v>
      </c>
      <c r="M9" s="341" t="s">
        <v>5</v>
      </c>
      <c r="N9" s="339" t="s">
        <v>149</v>
      </c>
    </row>
    <row r="10" spans="1:14" x14ac:dyDescent="0.25">
      <c r="A10" s="342">
        <v>1</v>
      </c>
      <c r="B10" s="343" t="s">
        <v>101</v>
      </c>
      <c r="C10" s="344"/>
      <c r="D10" s="344"/>
      <c r="E10" s="344"/>
      <c r="F10" s="345"/>
      <c r="G10" s="346"/>
      <c r="H10" s="347"/>
      <c r="I10" s="346"/>
      <c r="J10" s="347"/>
      <c r="K10" s="346"/>
      <c r="L10" s="347"/>
      <c r="M10" s="346"/>
      <c r="N10" s="347"/>
    </row>
    <row r="11" spans="1:14" x14ac:dyDescent="0.25">
      <c r="A11" s="348"/>
      <c r="B11" s="349" t="s">
        <v>153</v>
      </c>
      <c r="C11" s="350"/>
      <c r="D11" s="351"/>
      <c r="E11" s="352"/>
      <c r="F11" s="353"/>
      <c r="G11" s="348"/>
      <c r="H11" s="354"/>
      <c r="I11" s="348"/>
      <c r="J11" s="355"/>
      <c r="K11" s="348"/>
      <c r="L11" s="355"/>
      <c r="M11" s="356"/>
      <c r="N11" s="355"/>
    </row>
    <row r="12" spans="1:14" x14ac:dyDescent="0.25">
      <c r="A12" s="348"/>
      <c r="B12" s="349" t="s">
        <v>154</v>
      </c>
      <c r="C12" s="350"/>
      <c r="D12" s="351"/>
      <c r="E12" s="352"/>
      <c r="F12" s="353"/>
      <c r="G12" s="348"/>
      <c r="H12" s="354"/>
      <c r="I12" s="348"/>
      <c r="J12" s="355"/>
      <c r="K12" s="348"/>
      <c r="L12" s="355"/>
      <c r="M12" s="356"/>
      <c r="N12" s="355"/>
    </row>
    <row r="13" spans="1:14" x14ac:dyDescent="0.25">
      <c r="A13" s="348"/>
      <c r="B13" s="349" t="s">
        <v>155</v>
      </c>
      <c r="C13" s="350"/>
      <c r="D13" s="351"/>
      <c r="E13" s="352"/>
      <c r="F13" s="353"/>
      <c r="G13" s="348"/>
      <c r="H13" s="354"/>
      <c r="I13" s="348"/>
      <c r="J13" s="355"/>
      <c r="K13" s="348"/>
      <c r="L13" s="355"/>
      <c r="M13" s="356"/>
      <c r="N13" s="355"/>
    </row>
    <row r="14" spans="1:14" x14ac:dyDescent="0.25">
      <c r="A14" s="348"/>
      <c r="B14" s="357"/>
      <c r="C14" s="350"/>
      <c r="D14" s="351"/>
      <c r="E14" s="352"/>
      <c r="F14" s="353"/>
      <c r="G14" s="348"/>
      <c r="H14" s="354"/>
      <c r="I14" s="348"/>
      <c r="J14" s="355"/>
      <c r="K14" s="348"/>
      <c r="L14" s="355"/>
      <c r="M14" s="356"/>
      <c r="N14" s="355"/>
    </row>
    <row r="15" spans="1:14" x14ac:dyDescent="0.25">
      <c r="A15" s="358"/>
      <c r="B15" s="359"/>
      <c r="C15" s="360"/>
      <c r="D15" s="360"/>
      <c r="E15" s="360"/>
      <c r="F15" s="361"/>
      <c r="G15" s="358"/>
      <c r="H15" s="362"/>
      <c r="I15" s="358"/>
      <c r="J15" s="362"/>
      <c r="K15" s="358"/>
      <c r="L15" s="362"/>
      <c r="M15" s="358"/>
      <c r="N15" s="362"/>
    </row>
    <row r="16" spans="1:14" x14ac:dyDescent="0.25">
      <c r="C16" s="363"/>
      <c r="D16" s="363"/>
      <c r="E16" s="363"/>
      <c r="F16" s="363"/>
    </row>
    <row r="17" spans="1:14" ht="15.75" x14ac:dyDescent="0.25">
      <c r="B17" s="364" t="s">
        <v>156</v>
      </c>
      <c r="C17" s="363"/>
      <c r="D17" s="363"/>
      <c r="E17" s="363"/>
      <c r="F17" s="365">
        <f>ROUND(SUM(F10:F16),0)</f>
        <v>0</v>
      </c>
      <c r="H17" s="365">
        <f>ROUND(SUM(H10:H16),0)</f>
        <v>0</v>
      </c>
      <c r="J17" s="365">
        <f>ROUND(SUM(J10:J16),0)</f>
        <v>0</v>
      </c>
      <c r="L17" s="365">
        <f>ROUND(SUM(L10:L16),0)</f>
        <v>0</v>
      </c>
      <c r="N17" s="365">
        <f>ROUND(SUM(N10:N16),0)</f>
        <v>0</v>
      </c>
    </row>
    <row r="18" spans="1:14" x14ac:dyDescent="0.25">
      <c r="B18" s="5" t="s">
        <v>157</v>
      </c>
      <c r="C18" s="366"/>
      <c r="D18" s="363"/>
      <c r="E18" s="363"/>
      <c r="F18" s="367">
        <f>ROUND(F$17*$C18,0)</f>
        <v>0</v>
      </c>
      <c r="H18" s="367">
        <f>ROUND(H$17*$C18,0)</f>
        <v>0</v>
      </c>
      <c r="J18" s="367">
        <f>ROUND(J$17*$C18,0)</f>
        <v>0</v>
      </c>
      <c r="L18" s="367">
        <f>ROUND(L$17*$C18,0)</f>
        <v>0</v>
      </c>
      <c r="N18" s="367">
        <f>ROUND(N$17*$C18,0)</f>
        <v>0</v>
      </c>
    </row>
    <row r="19" spans="1:14" x14ac:dyDescent="0.25">
      <c r="B19" s="5" t="s">
        <v>158</v>
      </c>
      <c r="C19" s="366"/>
      <c r="D19" s="363"/>
      <c r="E19" s="363"/>
      <c r="F19" s="367">
        <f>ROUND(F$17*$C19,0)</f>
        <v>0</v>
      </c>
      <c r="H19" s="367">
        <f>ROUND(H$17*$C19,0)</f>
        <v>0</v>
      </c>
      <c r="J19" s="367">
        <f>ROUND(J$17*$C19,0)</f>
        <v>0</v>
      </c>
      <c r="L19" s="367">
        <f>ROUND(L$17*$C19,0)</f>
        <v>0</v>
      </c>
      <c r="N19" s="367">
        <f>ROUND(N$17*$C19,0)</f>
        <v>0</v>
      </c>
    </row>
    <row r="20" spans="1:14" x14ac:dyDescent="0.25">
      <c r="B20" s="5" t="s">
        <v>66</v>
      </c>
      <c r="C20" s="366"/>
      <c r="D20" s="363"/>
      <c r="E20" s="363"/>
      <c r="F20" s="367">
        <f>ROUND(F$17*$C20,0)</f>
        <v>0</v>
      </c>
      <c r="H20" s="367">
        <f>ROUND(H$17*$C20,0)</f>
        <v>0</v>
      </c>
      <c r="J20" s="367">
        <f>ROUND(J$17*$C20,0)</f>
        <v>0</v>
      </c>
      <c r="L20" s="367">
        <f>ROUND(L$17*$C20,0)</f>
        <v>0</v>
      </c>
      <c r="N20" s="367">
        <f>ROUND(N$17*$C20,0)</f>
        <v>0</v>
      </c>
    </row>
    <row r="21" spans="1:14" x14ac:dyDescent="0.25">
      <c r="B21" s="5" t="s">
        <v>159</v>
      </c>
      <c r="C21" s="368">
        <v>0.16</v>
      </c>
      <c r="D21" s="363"/>
      <c r="E21" s="363"/>
      <c r="F21" s="367">
        <f>ROUND(F20*$C21,0)</f>
        <v>0</v>
      </c>
      <c r="H21" s="367">
        <f>ROUND(H20*$C21,0)</f>
        <v>0</v>
      </c>
      <c r="J21" s="367">
        <f>ROUND(J20*$C21,0)</f>
        <v>0</v>
      </c>
      <c r="L21" s="367">
        <f>ROUND(L20*$C21,0)</f>
        <v>0</v>
      </c>
      <c r="N21" s="367">
        <f>ROUND(N20*$C21,0)</f>
        <v>0</v>
      </c>
    </row>
    <row r="22" spans="1:14" ht="18.75" x14ac:dyDescent="0.25">
      <c r="B22" s="369" t="s">
        <v>38</v>
      </c>
      <c r="C22" s="363"/>
      <c r="D22" s="363"/>
      <c r="E22" s="363"/>
      <c r="F22" s="370">
        <f>SUM(F17:F21)</f>
        <v>0</v>
      </c>
      <c r="H22" s="370">
        <f>SUM(H17:H21)</f>
        <v>0</v>
      </c>
      <c r="J22" s="370">
        <f>SUM(J17:J21)</f>
        <v>0</v>
      </c>
      <c r="L22" s="370">
        <f>SUM(L17:L21)</f>
        <v>0</v>
      </c>
      <c r="N22" s="370">
        <f>SUM(N17:N21)</f>
        <v>0</v>
      </c>
    </row>
    <row r="23" spans="1:14" x14ac:dyDescent="0.25">
      <c r="C23" s="363"/>
      <c r="D23" s="363"/>
      <c r="E23" s="363"/>
      <c r="F23" s="363"/>
    </row>
    <row r="24" spans="1:14" x14ac:dyDescent="0.25">
      <c r="C24" s="363"/>
      <c r="D24" s="363"/>
      <c r="E24" s="363"/>
      <c r="F24" s="363"/>
    </row>
    <row r="25" spans="1:14" ht="40.5" customHeight="1" x14ac:dyDescent="0.25">
      <c r="A25" s="662" t="s">
        <v>160</v>
      </c>
      <c r="B25" s="662"/>
      <c r="C25" s="662"/>
      <c r="D25" s="662"/>
      <c r="E25" s="662"/>
      <c r="F25" s="662"/>
      <c r="G25" s="662" t="s">
        <v>161</v>
      </c>
      <c r="H25" s="662"/>
      <c r="I25" s="662"/>
      <c r="J25" s="662"/>
      <c r="K25" s="662"/>
      <c r="L25" s="662"/>
      <c r="M25" s="662"/>
      <c r="N25" s="662"/>
    </row>
    <row r="26" spans="1:14" ht="15" customHeight="1" x14ac:dyDescent="0.25">
      <c r="A26" s="663" t="s">
        <v>162</v>
      </c>
      <c r="B26" s="663"/>
      <c r="C26" s="663"/>
      <c r="D26" s="663"/>
      <c r="E26" s="663"/>
      <c r="F26" s="663"/>
      <c r="G26" s="662"/>
      <c r="H26" s="662"/>
      <c r="I26" s="662"/>
      <c r="J26" s="662"/>
      <c r="K26" s="662"/>
      <c r="L26" s="662"/>
      <c r="M26" s="662"/>
      <c r="N26" s="662"/>
    </row>
    <row r="27" spans="1:14" ht="43.5" customHeight="1" x14ac:dyDescent="0.25">
      <c r="A27" s="662" t="s">
        <v>160</v>
      </c>
      <c r="B27" s="662"/>
      <c r="C27" s="662"/>
      <c r="D27" s="662"/>
      <c r="E27" s="662"/>
      <c r="F27" s="662"/>
      <c r="G27" s="662"/>
      <c r="H27" s="662"/>
      <c r="I27" s="662"/>
      <c r="J27" s="662"/>
      <c r="K27" s="662"/>
      <c r="L27" s="662"/>
      <c r="M27" s="662"/>
      <c r="N27" s="662"/>
    </row>
    <row r="28" spans="1:14" ht="14.25" customHeight="1" x14ac:dyDescent="0.25">
      <c r="A28" s="663" t="s">
        <v>163</v>
      </c>
      <c r="B28" s="663"/>
      <c r="C28" s="663"/>
      <c r="D28" s="663"/>
      <c r="E28" s="663"/>
      <c r="F28" s="663"/>
      <c r="G28" s="663" t="s">
        <v>164</v>
      </c>
      <c r="H28" s="663"/>
      <c r="I28" s="663"/>
      <c r="J28" s="663"/>
      <c r="K28" s="663"/>
      <c r="L28" s="663"/>
      <c r="M28" s="663"/>
      <c r="N28" s="663"/>
    </row>
  </sheetData>
  <mergeCells count="27">
    <mergeCell ref="C1:F1"/>
    <mergeCell ref="C2:F2"/>
    <mergeCell ref="C3:G3"/>
    <mergeCell ref="C4:F4"/>
    <mergeCell ref="C5:F5"/>
    <mergeCell ref="J5:K5"/>
    <mergeCell ref="A7:A9"/>
    <mergeCell ref="B7:B9"/>
    <mergeCell ref="C7:F7"/>
    <mergeCell ref="G7:H7"/>
    <mergeCell ref="I7:N7"/>
    <mergeCell ref="C8:C9"/>
    <mergeCell ref="D8:D9"/>
    <mergeCell ref="E8:E9"/>
    <mergeCell ref="F8:F9"/>
    <mergeCell ref="G8:G9"/>
    <mergeCell ref="H8:H9"/>
    <mergeCell ref="I8:J8"/>
    <mergeCell ref="K8:L8"/>
    <mergeCell ref="M8:N8"/>
    <mergeCell ref="A1:B5"/>
    <mergeCell ref="A25:F25"/>
    <mergeCell ref="G25:N27"/>
    <mergeCell ref="A26:F26"/>
    <mergeCell ref="A27:F27"/>
    <mergeCell ref="A28:F28"/>
    <mergeCell ref="G28:N28"/>
  </mergeCells>
  <pageMargins left="0.7" right="0.7" top="0.75" bottom="0.75" header="0.511811023622047" footer="0.511811023622047"/>
  <pageSetup scale="91" orientation="portrait" horizontalDpi="300" verticalDpi="3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FF"/>
  </sheetPr>
  <dimension ref="A1:AMJ45"/>
  <sheetViews>
    <sheetView zoomScale="95" zoomScaleNormal="95" workbookViewId="0">
      <pane ySplit="3" topLeftCell="A4" activePane="bottomLeft" state="frozen"/>
      <selection pane="bottomLeft" activeCell="A4" sqref="A4"/>
    </sheetView>
  </sheetViews>
  <sheetFormatPr baseColWidth="10" defaultColWidth="11.42578125" defaultRowHeight="15" outlineLevelCol="1" x14ac:dyDescent="0.25"/>
  <cols>
    <col min="1" max="1" width="11.5703125" style="5" customWidth="1"/>
    <col min="2" max="2" width="31.140625" style="5" customWidth="1"/>
    <col min="3" max="4" width="11.5703125" style="5" customWidth="1"/>
    <col min="5" max="5" width="12.42578125" style="5" customWidth="1"/>
    <col min="6" max="6" width="21.140625" style="5" customWidth="1"/>
    <col min="7" max="8" width="11.42578125" style="5"/>
    <col min="9" max="9" width="11.42578125" style="371" outlineLevel="1"/>
    <col min="10" max="10" width="11.85546875" style="371" customWidth="1" outlineLevel="1"/>
    <col min="11" max="1024" width="11.42578125" style="5"/>
  </cols>
  <sheetData>
    <row r="1" spans="1:10" ht="75" customHeight="1" x14ac:dyDescent="0.25">
      <c r="A1" s="677"/>
      <c r="B1" s="677"/>
      <c r="C1" s="678" t="s">
        <v>165</v>
      </c>
      <c r="D1" s="678"/>
      <c r="E1" s="678"/>
      <c r="F1" s="678"/>
    </row>
    <row r="2" spans="1:10" ht="17.25" customHeight="1" x14ac:dyDescent="0.25">
      <c r="A2" s="677"/>
      <c r="B2" s="677"/>
      <c r="C2" s="679" t="s">
        <v>166</v>
      </c>
      <c r="D2" s="679"/>
      <c r="E2" s="679"/>
      <c r="F2" s="679"/>
      <c r="I2" s="680" t="s">
        <v>167</v>
      </c>
      <c r="J2" s="680"/>
    </row>
    <row r="3" spans="1:10" ht="18" customHeight="1" x14ac:dyDescent="0.25">
      <c r="A3" s="372" t="s">
        <v>143</v>
      </c>
      <c r="B3" s="373" t="s">
        <v>3</v>
      </c>
      <c r="C3" s="373" t="s">
        <v>168</v>
      </c>
      <c r="D3" s="373" t="s">
        <v>169</v>
      </c>
      <c r="E3" s="373" t="s">
        <v>170</v>
      </c>
      <c r="F3" s="374" t="s">
        <v>171</v>
      </c>
      <c r="I3" s="371" t="s">
        <v>172</v>
      </c>
      <c r="J3" s="371" t="s">
        <v>173</v>
      </c>
    </row>
    <row r="4" spans="1:10" x14ac:dyDescent="0.25">
      <c r="A4" s="375">
        <v>1</v>
      </c>
      <c r="B4" s="376" t="s">
        <v>174</v>
      </c>
      <c r="C4" s="377"/>
      <c r="D4" s="377"/>
      <c r="E4" s="377"/>
      <c r="F4" s="378"/>
      <c r="J4" s="371">
        <f t="shared" ref="J4:J34" si="0">ROUND(I4*1.1,0)</f>
        <v>0</v>
      </c>
    </row>
    <row r="5" spans="1:10" x14ac:dyDescent="0.25">
      <c r="A5" s="348">
        <v>1.01</v>
      </c>
      <c r="B5" s="349" t="s">
        <v>175</v>
      </c>
      <c r="C5" s="350" t="s">
        <v>129</v>
      </c>
      <c r="D5" s="351">
        <v>11550</v>
      </c>
      <c r="E5" s="352" t="e">
        <f>+VLOOKUP(B5,#REF!,3,FALSE())</f>
        <v>#REF!</v>
      </c>
      <c r="F5" s="353" t="e">
        <f t="shared" ref="F5:F21" si="1">+D5*E5</f>
        <v>#REF!</v>
      </c>
      <c r="I5" s="371">
        <v>10500</v>
      </c>
      <c r="J5" s="371">
        <f t="shared" si="0"/>
        <v>11550</v>
      </c>
    </row>
    <row r="6" spans="1:10" x14ac:dyDescent="0.25">
      <c r="A6" s="348">
        <v>2.0099999999999998</v>
      </c>
      <c r="B6" s="357" t="s">
        <v>176</v>
      </c>
      <c r="C6" s="350" t="s">
        <v>129</v>
      </c>
      <c r="D6" s="351">
        <v>33</v>
      </c>
      <c r="E6" s="352" t="e">
        <f>+VLOOKUP(B6,#REF!,3,FALSE())</f>
        <v>#REF!</v>
      </c>
      <c r="F6" s="353" t="e">
        <f t="shared" si="1"/>
        <v>#REF!</v>
      </c>
      <c r="I6" s="371">
        <v>30</v>
      </c>
      <c r="J6" s="371">
        <f t="shared" si="0"/>
        <v>33</v>
      </c>
    </row>
    <row r="7" spans="1:10" x14ac:dyDescent="0.25">
      <c r="A7" s="348">
        <v>2.02</v>
      </c>
      <c r="B7" s="357" t="s">
        <v>177</v>
      </c>
      <c r="C7" s="350" t="s">
        <v>129</v>
      </c>
      <c r="D7" s="351">
        <v>1811</v>
      </c>
      <c r="E7" s="352" t="e">
        <f>+VLOOKUP(B7,#REF!,3,FALSE())</f>
        <v>#REF!</v>
      </c>
      <c r="F7" s="353" t="e">
        <f t="shared" si="1"/>
        <v>#REF!</v>
      </c>
      <c r="I7" s="371">
        <v>1646</v>
      </c>
      <c r="J7" s="371">
        <f t="shared" si="0"/>
        <v>1811</v>
      </c>
    </row>
    <row r="8" spans="1:10" x14ac:dyDescent="0.25">
      <c r="A8" s="348">
        <v>2.04</v>
      </c>
      <c r="B8" s="357" t="s">
        <v>178</v>
      </c>
      <c r="C8" s="350" t="s">
        <v>129</v>
      </c>
      <c r="D8" s="351">
        <v>66</v>
      </c>
      <c r="E8" s="352" t="e">
        <f>+VLOOKUP(B8,#REF!,3,FALSE())</f>
        <v>#REF!</v>
      </c>
      <c r="F8" s="353" t="e">
        <f t="shared" si="1"/>
        <v>#REF!</v>
      </c>
      <c r="I8" s="371">
        <v>60</v>
      </c>
      <c r="J8" s="371">
        <f t="shared" si="0"/>
        <v>66</v>
      </c>
    </row>
    <row r="9" spans="1:10" x14ac:dyDescent="0.25">
      <c r="A9" s="348">
        <v>2.0499999999999998</v>
      </c>
      <c r="B9" s="357" t="s">
        <v>179</v>
      </c>
      <c r="C9" s="350" t="s">
        <v>129</v>
      </c>
      <c r="D9" s="351">
        <v>5</v>
      </c>
      <c r="E9" s="352" t="e">
        <f>+VLOOKUP(B9,#REF!,3,FALSE())</f>
        <v>#REF!</v>
      </c>
      <c r="F9" s="353" t="e">
        <f t="shared" si="1"/>
        <v>#REF!</v>
      </c>
      <c r="I9" s="371">
        <v>4.0999999999999996</v>
      </c>
      <c r="J9" s="371">
        <f t="shared" si="0"/>
        <v>5</v>
      </c>
    </row>
    <row r="10" spans="1:10" x14ac:dyDescent="0.25">
      <c r="A10" s="348">
        <v>2.06</v>
      </c>
      <c r="B10" s="357" t="s">
        <v>180</v>
      </c>
      <c r="C10" s="350" t="s">
        <v>129</v>
      </c>
      <c r="D10" s="351">
        <v>88</v>
      </c>
      <c r="E10" s="352" t="e">
        <f>+VLOOKUP(B10,#REF!,3,FALSE())</f>
        <v>#REF!</v>
      </c>
      <c r="F10" s="353" t="e">
        <f t="shared" si="1"/>
        <v>#REF!</v>
      </c>
      <c r="I10" s="371">
        <v>80</v>
      </c>
      <c r="J10" s="371">
        <f t="shared" si="0"/>
        <v>88</v>
      </c>
    </row>
    <row r="11" spans="1:10" x14ac:dyDescent="0.25">
      <c r="A11" s="348">
        <v>4.01</v>
      </c>
      <c r="B11" s="357" t="s">
        <v>181</v>
      </c>
      <c r="C11" s="350" t="s">
        <v>96</v>
      </c>
      <c r="D11" s="351">
        <v>18198</v>
      </c>
      <c r="E11" s="352" t="e">
        <f>+VLOOKUP(B11,#REF!,3,FALSE())</f>
        <v>#REF!</v>
      </c>
      <c r="F11" s="353" t="e">
        <f t="shared" si="1"/>
        <v>#REF!</v>
      </c>
      <c r="I11" s="371">
        <v>16544</v>
      </c>
      <c r="J11" s="371">
        <f t="shared" si="0"/>
        <v>18198</v>
      </c>
    </row>
    <row r="12" spans="1:10" x14ac:dyDescent="0.25">
      <c r="A12" s="348">
        <v>5.01</v>
      </c>
      <c r="B12" s="357" t="s">
        <v>182</v>
      </c>
      <c r="C12" s="350" t="s">
        <v>129</v>
      </c>
      <c r="D12" s="351">
        <v>913</v>
      </c>
      <c r="E12" s="352" t="e">
        <f>+VLOOKUP(B12,#REF!,3,FALSE())</f>
        <v>#REF!</v>
      </c>
      <c r="F12" s="353" t="e">
        <f t="shared" si="1"/>
        <v>#REF!</v>
      </c>
      <c r="I12" s="371">
        <v>830</v>
      </c>
      <c r="J12" s="371">
        <f t="shared" si="0"/>
        <v>913</v>
      </c>
    </row>
    <row r="13" spans="1:10" x14ac:dyDescent="0.25">
      <c r="A13" s="348">
        <v>5.0199999999999996</v>
      </c>
      <c r="B13" s="357" t="s">
        <v>183</v>
      </c>
      <c r="C13" s="350" t="s">
        <v>129</v>
      </c>
      <c r="D13" s="351">
        <v>793</v>
      </c>
      <c r="E13" s="352" t="e">
        <f>+VLOOKUP(B13,#REF!,3,FALSE())</f>
        <v>#REF!</v>
      </c>
      <c r="F13" s="353" t="e">
        <f t="shared" si="1"/>
        <v>#REF!</v>
      </c>
      <c r="I13" s="371">
        <v>721</v>
      </c>
      <c r="J13" s="371">
        <f t="shared" si="0"/>
        <v>793</v>
      </c>
    </row>
    <row r="14" spans="1:10" x14ac:dyDescent="0.25">
      <c r="A14" s="348">
        <v>5.03</v>
      </c>
      <c r="B14" s="357" t="s">
        <v>184</v>
      </c>
      <c r="C14" s="350" t="s">
        <v>129</v>
      </c>
      <c r="D14" s="351">
        <v>661</v>
      </c>
      <c r="E14" s="352" t="e">
        <f>+VLOOKUP(B14,#REF!,3,FALSE())</f>
        <v>#REF!</v>
      </c>
      <c r="F14" s="353" t="e">
        <f t="shared" si="1"/>
        <v>#REF!</v>
      </c>
      <c r="I14" s="371">
        <v>601</v>
      </c>
      <c r="J14" s="371">
        <f t="shared" si="0"/>
        <v>661</v>
      </c>
    </row>
    <row r="15" spans="1:10" x14ac:dyDescent="0.25">
      <c r="A15" s="348">
        <v>5.05</v>
      </c>
      <c r="B15" s="357" t="s">
        <v>185</v>
      </c>
      <c r="C15" s="350" t="s">
        <v>96</v>
      </c>
      <c r="D15" s="351">
        <v>31508</v>
      </c>
      <c r="E15" s="352" t="e">
        <f>+VLOOKUP(B15,#REF!,3,FALSE())</f>
        <v>#REF!</v>
      </c>
      <c r="F15" s="353" t="e">
        <f t="shared" si="1"/>
        <v>#REF!</v>
      </c>
      <c r="I15" s="371">
        <v>28644</v>
      </c>
      <c r="J15" s="371">
        <f t="shared" si="0"/>
        <v>31508</v>
      </c>
    </row>
    <row r="16" spans="1:10" x14ac:dyDescent="0.25">
      <c r="A16" s="348">
        <v>6.02</v>
      </c>
      <c r="B16" s="357" t="s">
        <v>186</v>
      </c>
      <c r="C16" s="350" t="s">
        <v>80</v>
      </c>
      <c r="D16" s="351">
        <v>3476</v>
      </c>
      <c r="E16" s="352" t="e">
        <f>+VLOOKUP(B16,#REF!,3,FALSE())</f>
        <v>#REF!</v>
      </c>
      <c r="F16" s="353" t="e">
        <f t="shared" si="1"/>
        <v>#REF!</v>
      </c>
      <c r="I16" s="371">
        <v>3160</v>
      </c>
      <c r="J16" s="371">
        <f t="shared" si="0"/>
        <v>3476</v>
      </c>
    </row>
    <row r="17" spans="1:10" x14ac:dyDescent="0.25">
      <c r="A17" s="348">
        <v>6.03</v>
      </c>
      <c r="B17" s="357" t="s">
        <v>187</v>
      </c>
      <c r="C17" s="350" t="s">
        <v>80</v>
      </c>
      <c r="D17" s="351">
        <v>1579</v>
      </c>
      <c r="E17" s="352" t="e">
        <f>+VLOOKUP(B17,#REF!,3,FALSE())</f>
        <v>#REF!</v>
      </c>
      <c r="F17" s="353" t="e">
        <f t="shared" si="1"/>
        <v>#REF!</v>
      </c>
      <c r="I17" s="371">
        <v>1435</v>
      </c>
      <c r="J17" s="371">
        <f t="shared" si="0"/>
        <v>1579</v>
      </c>
    </row>
    <row r="18" spans="1:10" x14ac:dyDescent="0.25">
      <c r="A18" s="348">
        <v>6.04</v>
      </c>
      <c r="B18" s="357" t="s">
        <v>188</v>
      </c>
      <c r="C18" s="350" t="s">
        <v>76</v>
      </c>
      <c r="D18" s="351">
        <v>135</v>
      </c>
      <c r="E18" s="352" t="e">
        <f>+VLOOKUP(B18,#REF!,3,FALSE())</f>
        <v>#REF!</v>
      </c>
      <c r="F18" s="353" t="e">
        <f t="shared" si="1"/>
        <v>#REF!</v>
      </c>
      <c r="I18" s="371">
        <v>123</v>
      </c>
      <c r="J18" s="371">
        <f t="shared" si="0"/>
        <v>135</v>
      </c>
    </row>
    <row r="19" spans="1:10" x14ac:dyDescent="0.25">
      <c r="A19" s="348">
        <v>10.029999999999999</v>
      </c>
      <c r="B19" s="357" t="s">
        <v>189</v>
      </c>
      <c r="C19" s="350" t="s">
        <v>95</v>
      </c>
      <c r="D19" s="351">
        <v>10</v>
      </c>
      <c r="E19" s="352" t="e">
        <f>+VLOOKUP(B19,#REF!,3,FALSE())</f>
        <v>#REF!</v>
      </c>
      <c r="F19" s="353" t="e">
        <f t="shared" si="1"/>
        <v>#REF!</v>
      </c>
      <c r="I19" s="371">
        <v>9</v>
      </c>
      <c r="J19" s="371">
        <f t="shared" si="0"/>
        <v>10</v>
      </c>
    </row>
    <row r="20" spans="1:10" ht="25.5" x14ac:dyDescent="0.25">
      <c r="A20" s="348">
        <v>10.09</v>
      </c>
      <c r="B20" s="379" t="s">
        <v>190</v>
      </c>
      <c r="C20" s="350" t="s">
        <v>80</v>
      </c>
      <c r="D20" s="351">
        <v>8</v>
      </c>
      <c r="E20" s="352" t="e">
        <f>+VLOOKUP(B20,#REF!,3,FALSE())</f>
        <v>#REF!</v>
      </c>
      <c r="F20" s="353" t="e">
        <f t="shared" si="1"/>
        <v>#REF!</v>
      </c>
      <c r="I20" s="371">
        <v>7</v>
      </c>
      <c r="J20" s="371">
        <f t="shared" si="0"/>
        <v>8</v>
      </c>
    </row>
    <row r="21" spans="1:10" x14ac:dyDescent="0.25">
      <c r="A21" s="380">
        <v>10.1</v>
      </c>
      <c r="B21" s="379" t="s">
        <v>191</v>
      </c>
      <c r="C21" s="350" t="s">
        <v>129</v>
      </c>
      <c r="D21" s="351">
        <v>1</v>
      </c>
      <c r="E21" s="352" t="e">
        <f>+VLOOKUP(B21,#REF!,3,FALSE())</f>
        <v>#REF!</v>
      </c>
      <c r="F21" s="353" t="e">
        <f t="shared" si="1"/>
        <v>#REF!</v>
      </c>
      <c r="I21" s="371">
        <v>1</v>
      </c>
      <c r="J21" s="371">
        <f t="shared" si="0"/>
        <v>1</v>
      </c>
    </row>
    <row r="22" spans="1:10" x14ac:dyDescent="0.25">
      <c r="A22" s="381">
        <v>2</v>
      </c>
      <c r="B22" s="382" t="s">
        <v>192</v>
      </c>
      <c r="C22" s="383"/>
      <c r="D22" s="384"/>
      <c r="E22" s="385"/>
      <c r="F22" s="386"/>
      <c r="J22" s="371">
        <f t="shared" si="0"/>
        <v>0</v>
      </c>
    </row>
    <row r="23" spans="1:10" x14ac:dyDescent="0.25">
      <c r="A23" s="348">
        <v>1.02</v>
      </c>
      <c r="B23" s="349" t="s">
        <v>193</v>
      </c>
      <c r="C23" s="350" t="s">
        <v>80</v>
      </c>
      <c r="D23" s="351">
        <v>7418</v>
      </c>
      <c r="E23" s="352" t="e">
        <f>+VLOOKUP(B23,#REF!,3,FALSE())</f>
        <v>#REF!</v>
      </c>
      <c r="F23" s="353" t="e">
        <f>+D23*E23</f>
        <v>#REF!</v>
      </c>
      <c r="I23" s="371">
        <v>6744</v>
      </c>
      <c r="J23" s="371">
        <f t="shared" si="0"/>
        <v>7418</v>
      </c>
    </row>
    <row r="24" spans="1:10" x14ac:dyDescent="0.25">
      <c r="A24" s="348">
        <v>2.11</v>
      </c>
      <c r="B24" s="357" t="s">
        <v>194</v>
      </c>
      <c r="C24" s="350" t="s">
        <v>129</v>
      </c>
      <c r="D24" s="351">
        <v>743</v>
      </c>
      <c r="E24" s="352" t="e">
        <f>+VLOOKUP(B24,#REF!,3,FALSE())</f>
        <v>#REF!</v>
      </c>
      <c r="F24" s="353" t="e">
        <f>+D24*E24</f>
        <v>#REF!</v>
      </c>
      <c r="I24" s="371">
        <v>675</v>
      </c>
      <c r="J24" s="371">
        <f t="shared" si="0"/>
        <v>743</v>
      </c>
    </row>
    <row r="25" spans="1:10" x14ac:dyDescent="0.25">
      <c r="A25" s="348">
        <v>2.23</v>
      </c>
      <c r="B25" s="357" t="s">
        <v>195</v>
      </c>
      <c r="C25" s="350" t="s">
        <v>76</v>
      </c>
      <c r="D25" s="351">
        <v>5935</v>
      </c>
      <c r="E25" s="352" t="e">
        <f>+VLOOKUP(B25,#REF!,3,FALSE())</f>
        <v>#REF!</v>
      </c>
      <c r="F25" s="353" t="e">
        <f>+D25*E25</f>
        <v>#REF!</v>
      </c>
      <c r="I25" s="371">
        <v>5395</v>
      </c>
      <c r="J25" s="371">
        <f t="shared" si="0"/>
        <v>5935</v>
      </c>
    </row>
    <row r="26" spans="1:10" x14ac:dyDescent="0.25">
      <c r="A26" s="348">
        <v>4.04</v>
      </c>
      <c r="B26" s="357" t="s">
        <v>196</v>
      </c>
      <c r="C26" s="350" t="s">
        <v>96</v>
      </c>
      <c r="D26" s="351">
        <v>41544</v>
      </c>
      <c r="E26" s="352" t="e">
        <f>+VLOOKUP(B26,#REF!,3,FALSE())</f>
        <v>#REF!</v>
      </c>
      <c r="F26" s="353" t="e">
        <f>+D26*E26</f>
        <v>#REF!</v>
      </c>
      <c r="I26" s="371">
        <v>37767</v>
      </c>
      <c r="J26" s="371">
        <f t="shared" si="0"/>
        <v>41544</v>
      </c>
    </row>
    <row r="27" spans="1:10" x14ac:dyDescent="0.25">
      <c r="A27" s="381">
        <v>3</v>
      </c>
      <c r="B27" s="382" t="s">
        <v>197</v>
      </c>
      <c r="C27" s="383"/>
      <c r="D27" s="384"/>
      <c r="E27" s="385"/>
      <c r="F27" s="386"/>
      <c r="J27" s="371">
        <f t="shared" si="0"/>
        <v>0</v>
      </c>
    </row>
    <row r="28" spans="1:10" x14ac:dyDescent="0.25">
      <c r="A28" s="387">
        <v>1.03</v>
      </c>
      <c r="B28" s="349" t="s">
        <v>198</v>
      </c>
      <c r="C28" s="350" t="s">
        <v>80</v>
      </c>
      <c r="D28" s="351">
        <v>2402</v>
      </c>
      <c r="E28" s="352" t="e">
        <f>+VLOOKUP(B28,#REF!,3,FALSE())</f>
        <v>#REF!</v>
      </c>
      <c r="F28" s="353" t="e">
        <f t="shared" ref="F28:F34" si="2">+D28*E28</f>
        <v>#REF!</v>
      </c>
      <c r="I28" s="371">
        <v>2184</v>
      </c>
      <c r="J28" s="371">
        <f t="shared" si="0"/>
        <v>2402</v>
      </c>
    </row>
    <row r="29" spans="1:10" x14ac:dyDescent="0.25">
      <c r="A29" s="387">
        <v>2.13</v>
      </c>
      <c r="B29" s="357" t="s">
        <v>195</v>
      </c>
      <c r="C29" s="350" t="s">
        <v>76</v>
      </c>
      <c r="D29" s="351">
        <v>2187</v>
      </c>
      <c r="E29" s="352" t="e">
        <f>+VLOOKUP(B29,#REF!,3,FALSE())</f>
        <v>#REF!</v>
      </c>
      <c r="F29" s="353" t="e">
        <f t="shared" si="2"/>
        <v>#REF!</v>
      </c>
      <c r="I29" s="371">
        <v>1988</v>
      </c>
      <c r="J29" s="371">
        <f t="shared" si="0"/>
        <v>2187</v>
      </c>
    </row>
    <row r="30" spans="1:10" x14ac:dyDescent="0.25">
      <c r="A30" s="387">
        <v>3.02</v>
      </c>
      <c r="B30" s="357" t="s">
        <v>199</v>
      </c>
      <c r="C30" s="350" t="s">
        <v>95</v>
      </c>
      <c r="D30" s="351">
        <v>7</v>
      </c>
      <c r="E30" s="352" t="e">
        <f>+VLOOKUP(B30,#REF!,3,FALSE())</f>
        <v>#REF!</v>
      </c>
      <c r="F30" s="353" t="e">
        <f t="shared" si="2"/>
        <v>#REF!</v>
      </c>
      <c r="I30" s="371">
        <v>6</v>
      </c>
      <c r="J30" s="371">
        <f t="shared" si="0"/>
        <v>7</v>
      </c>
    </row>
    <row r="31" spans="1:10" x14ac:dyDescent="0.25">
      <c r="A31" s="387">
        <v>4.0199999999999996</v>
      </c>
      <c r="B31" s="357" t="s">
        <v>196</v>
      </c>
      <c r="C31" s="350" t="s">
        <v>96</v>
      </c>
      <c r="D31" s="351">
        <v>13454</v>
      </c>
      <c r="E31" s="352" t="e">
        <f>+VLOOKUP(B31,#REF!,3,FALSE())</f>
        <v>#REF!</v>
      </c>
      <c r="F31" s="353" t="e">
        <f t="shared" si="2"/>
        <v>#REF!</v>
      </c>
      <c r="I31" s="371">
        <v>12231</v>
      </c>
      <c r="J31" s="371">
        <f t="shared" si="0"/>
        <v>13454</v>
      </c>
    </row>
    <row r="32" spans="1:10" x14ac:dyDescent="0.25">
      <c r="A32" s="387">
        <v>10.08</v>
      </c>
      <c r="B32" s="357" t="s">
        <v>200</v>
      </c>
      <c r="C32" s="350" t="s">
        <v>129</v>
      </c>
      <c r="D32" s="351">
        <v>241</v>
      </c>
      <c r="E32" s="352" t="e">
        <f>+VLOOKUP(B32,#REF!,3,FALSE())</f>
        <v>#REF!</v>
      </c>
      <c r="F32" s="353" t="e">
        <f t="shared" si="2"/>
        <v>#REF!</v>
      </c>
      <c r="I32" s="371">
        <v>219</v>
      </c>
      <c r="J32" s="371">
        <f t="shared" si="0"/>
        <v>241</v>
      </c>
    </row>
    <row r="33" spans="1:10" x14ac:dyDescent="0.25">
      <c r="A33" s="348">
        <v>4.01</v>
      </c>
      <c r="B33" s="357" t="s">
        <v>181</v>
      </c>
      <c r="C33" s="350" t="s">
        <v>96</v>
      </c>
      <c r="D33" s="351">
        <v>1247</v>
      </c>
      <c r="E33" s="352" t="e">
        <f>+VLOOKUP(B33,#REF!,3,FALSE())</f>
        <v>#REF!</v>
      </c>
      <c r="F33" s="353" t="e">
        <f t="shared" si="2"/>
        <v>#REF!</v>
      </c>
      <c r="I33" s="371">
        <v>1134</v>
      </c>
      <c r="J33" s="371">
        <f t="shared" si="0"/>
        <v>1247</v>
      </c>
    </row>
    <row r="34" spans="1:10" x14ac:dyDescent="0.25">
      <c r="A34" s="348">
        <v>2.0699999999999998</v>
      </c>
      <c r="B34" s="357" t="s">
        <v>201</v>
      </c>
      <c r="C34" s="388" t="s">
        <v>129</v>
      </c>
      <c r="D34" s="351">
        <v>21</v>
      </c>
      <c r="E34" s="352" t="e">
        <f>+VLOOKUP(B34,#REF!,3,FALSE())</f>
        <v>#REF!</v>
      </c>
      <c r="F34" s="353" t="e">
        <f t="shared" si="2"/>
        <v>#REF!</v>
      </c>
      <c r="I34" s="371">
        <v>19</v>
      </c>
      <c r="J34" s="371">
        <f t="shared" si="0"/>
        <v>21</v>
      </c>
    </row>
    <row r="35" spans="1:10" x14ac:dyDescent="0.25">
      <c r="A35" s="358"/>
      <c r="B35" s="359"/>
      <c r="C35" s="360"/>
      <c r="D35" s="360"/>
      <c r="E35" s="360"/>
      <c r="F35" s="361"/>
    </row>
    <row r="36" spans="1:10" x14ac:dyDescent="0.25">
      <c r="C36" s="363"/>
      <c r="D36" s="363"/>
      <c r="E36" s="363"/>
      <c r="F36" s="363"/>
    </row>
    <row r="37" spans="1:10" ht="15.75" x14ac:dyDescent="0.25">
      <c r="A37" s="389"/>
      <c r="B37" s="390" t="s">
        <v>156</v>
      </c>
      <c r="C37" s="391"/>
      <c r="D37" s="391"/>
      <c r="E37" s="391"/>
      <c r="F37" s="392" t="e">
        <f>ROUND(SUM(F4:F36),0)</f>
        <v>#REF!</v>
      </c>
      <c r="J37" s="371" t="e">
        <f>F37/100</f>
        <v>#REF!</v>
      </c>
    </row>
    <row r="38" spans="1:10" x14ac:dyDescent="0.25">
      <c r="A38" s="393"/>
      <c r="B38" s="5" t="s">
        <v>157</v>
      </c>
      <c r="C38" s="368">
        <v>0.23</v>
      </c>
      <c r="D38" s="363"/>
      <c r="E38" s="363"/>
      <c r="F38" s="394" t="e">
        <f>ROUND($F$37*C38,0)</f>
        <v>#REF!</v>
      </c>
    </row>
    <row r="39" spans="1:10" x14ac:dyDescent="0.25">
      <c r="A39" s="393"/>
      <c r="B39" s="5" t="s">
        <v>158</v>
      </c>
      <c r="C39" s="368">
        <v>0.02</v>
      </c>
      <c r="D39" s="363"/>
      <c r="E39" s="363"/>
      <c r="F39" s="394" t="e">
        <f>ROUND($F$37*C39,0)</f>
        <v>#REF!</v>
      </c>
    </row>
    <row r="40" spans="1:10" x14ac:dyDescent="0.25">
      <c r="A40" s="393"/>
      <c r="B40" s="5" t="s">
        <v>66</v>
      </c>
      <c r="C40" s="368">
        <v>0.05</v>
      </c>
      <c r="D40" s="363"/>
      <c r="E40" s="363"/>
      <c r="F40" s="394" t="e">
        <f>ROUND($F$37*C40,0)</f>
        <v>#REF!</v>
      </c>
    </row>
    <row r="41" spans="1:10" x14ac:dyDescent="0.25">
      <c r="A41" s="393"/>
      <c r="B41" s="5" t="s">
        <v>159</v>
      </c>
      <c r="C41" s="368">
        <v>0.16</v>
      </c>
      <c r="D41" s="363"/>
      <c r="E41" s="363"/>
      <c r="F41" s="394" t="e">
        <f>ROUND(F40*C41,0)</f>
        <v>#REF!</v>
      </c>
    </row>
    <row r="42" spans="1:10" ht="18.75" x14ac:dyDescent="0.25">
      <c r="A42" s="395"/>
      <c r="B42" s="396" t="s">
        <v>38</v>
      </c>
      <c r="C42" s="397"/>
      <c r="D42" s="397"/>
      <c r="E42" s="397"/>
      <c r="F42" s="398" t="e">
        <f>SUM(F37:F41)</f>
        <v>#REF!</v>
      </c>
    </row>
    <row r="43" spans="1:10" x14ac:dyDescent="0.25">
      <c r="C43" s="363"/>
      <c r="D43" s="363"/>
      <c r="E43" s="363"/>
      <c r="F43" s="363"/>
    </row>
    <row r="44" spans="1:10" x14ac:dyDescent="0.25">
      <c r="C44" s="363"/>
      <c r="D44" s="363"/>
      <c r="E44" s="363"/>
      <c r="F44" s="363"/>
    </row>
    <row r="45" spans="1:10" x14ac:dyDescent="0.25">
      <c r="B45" s="5">
        <f>+SUMIF(B4:B34,"=Malla electrosoldada",D4:D34)</f>
        <v>54998</v>
      </c>
    </row>
  </sheetData>
  <mergeCells count="4">
    <mergeCell ref="A1:B2"/>
    <mergeCell ref="C1:F1"/>
    <mergeCell ref="C2:F2"/>
    <mergeCell ref="I2:J2"/>
  </mergeCells>
  <pageMargins left="0.7" right="0.7" top="0.75" bottom="0.75" header="0.511811023622047" footer="0.511811023622047"/>
  <pageSetup scale="91" orientation="portrait" horizontalDpi="300" verticalDpi="3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FF"/>
  </sheetPr>
  <dimension ref="A1:K88"/>
  <sheetViews>
    <sheetView zoomScale="95" zoomScaleNormal="95" workbookViewId="0">
      <pane ySplit="3" topLeftCell="A4" activePane="bottomLeft" state="frozen"/>
      <selection pane="bottomLeft" activeCell="A4" sqref="A4"/>
    </sheetView>
  </sheetViews>
  <sheetFormatPr baseColWidth="10" defaultColWidth="11" defaultRowHeight="15" outlineLevelCol="1" x14ac:dyDescent="0.25"/>
  <cols>
    <col min="2" max="2" width="46" customWidth="1"/>
    <col min="5" max="5" width="12" customWidth="1"/>
    <col min="6" max="6" width="21.42578125" customWidth="1"/>
    <col min="9" max="9" width="11.42578125" style="371" hidden="1" customWidth="1" outlineLevel="1"/>
    <col min="10" max="10" width="11.85546875" style="371" hidden="1" customWidth="1" outlineLevel="1"/>
    <col min="11" max="11" width="11.42578125" customWidth="1"/>
  </cols>
  <sheetData>
    <row r="1" spans="1:10" ht="75" customHeight="1" x14ac:dyDescent="0.25">
      <c r="A1" s="681"/>
      <c r="B1" s="681"/>
      <c r="C1" s="678" t="s">
        <v>165</v>
      </c>
      <c r="D1" s="678"/>
      <c r="E1" s="678"/>
      <c r="F1" s="678"/>
    </row>
    <row r="2" spans="1:10" ht="17.25" customHeight="1" x14ac:dyDescent="0.25">
      <c r="A2" s="681"/>
      <c r="B2" s="681"/>
      <c r="C2" s="682" t="s">
        <v>202</v>
      </c>
      <c r="D2" s="682"/>
      <c r="E2" s="682"/>
      <c r="F2" s="682"/>
      <c r="I2" s="680" t="s">
        <v>167</v>
      </c>
      <c r="J2" s="680"/>
    </row>
    <row r="3" spans="1:10" ht="18" customHeight="1" x14ac:dyDescent="0.25">
      <c r="A3" s="399" t="s">
        <v>143</v>
      </c>
      <c r="B3" s="373" t="s">
        <v>3</v>
      </c>
      <c r="C3" s="373" t="s">
        <v>168</v>
      </c>
      <c r="D3" s="373" t="s">
        <v>169</v>
      </c>
      <c r="E3" s="373" t="s">
        <v>170</v>
      </c>
      <c r="F3" s="374" t="s">
        <v>171</v>
      </c>
      <c r="I3" s="371" t="s">
        <v>172</v>
      </c>
      <c r="J3" s="371" t="s">
        <v>173</v>
      </c>
    </row>
    <row r="4" spans="1:10" x14ac:dyDescent="0.25">
      <c r="A4" s="381">
        <v>1</v>
      </c>
      <c r="B4" s="400" t="s">
        <v>203</v>
      </c>
      <c r="C4" s="400"/>
      <c r="D4" s="400"/>
      <c r="E4" s="401"/>
      <c r="F4" s="402"/>
    </row>
    <row r="5" spans="1:10" x14ac:dyDescent="0.25">
      <c r="A5" s="348">
        <v>1.01</v>
      </c>
      <c r="B5" s="349" t="s">
        <v>175</v>
      </c>
      <c r="C5" s="388" t="s">
        <v>80</v>
      </c>
      <c r="D5" s="388">
        <v>194</v>
      </c>
      <c r="E5" s="403" t="e">
        <f>+VLOOKUP(B5,#REF!,3,FALSE())</f>
        <v>#REF!</v>
      </c>
      <c r="F5" s="404" t="e">
        <f t="shared" ref="F5:F13" si="0">+D5*E5</f>
        <v>#REF!</v>
      </c>
      <c r="I5" s="371">
        <v>176</v>
      </c>
      <c r="J5" s="371">
        <f t="shared" ref="J5:J13" si="1">ROUND(I5*1.1,0)</f>
        <v>194</v>
      </c>
    </row>
    <row r="6" spans="1:10" x14ac:dyDescent="0.25">
      <c r="A6" s="348">
        <v>2.0099999999999998</v>
      </c>
      <c r="B6" s="357" t="s">
        <v>176</v>
      </c>
      <c r="C6" s="388" t="s">
        <v>129</v>
      </c>
      <c r="D6" s="388">
        <v>22</v>
      </c>
      <c r="E6" s="403" t="e">
        <f>+VLOOKUP(B6,#REF!,3,FALSE())</f>
        <v>#REF!</v>
      </c>
      <c r="F6" s="404" t="e">
        <f t="shared" si="0"/>
        <v>#REF!</v>
      </c>
      <c r="I6" s="371">
        <v>20</v>
      </c>
      <c r="J6" s="371">
        <f t="shared" si="1"/>
        <v>22</v>
      </c>
    </row>
    <row r="7" spans="1:10" x14ac:dyDescent="0.25">
      <c r="A7" s="348">
        <v>2.02</v>
      </c>
      <c r="B7" s="357" t="s">
        <v>177</v>
      </c>
      <c r="C7" s="388" t="s">
        <v>129</v>
      </c>
      <c r="D7" s="388">
        <v>506</v>
      </c>
      <c r="E7" s="403" t="e">
        <f>+VLOOKUP(B7,#REF!,3,FALSE())</f>
        <v>#REF!</v>
      </c>
      <c r="F7" s="404" t="e">
        <f t="shared" si="0"/>
        <v>#REF!</v>
      </c>
      <c r="I7" s="371">
        <v>460</v>
      </c>
      <c r="J7" s="371">
        <f t="shared" si="1"/>
        <v>506</v>
      </c>
    </row>
    <row r="8" spans="1:10" x14ac:dyDescent="0.25">
      <c r="A8" s="348">
        <v>1.02</v>
      </c>
      <c r="B8" s="349" t="s">
        <v>193</v>
      </c>
      <c r="C8" s="388" t="s">
        <v>80</v>
      </c>
      <c r="D8" s="388">
        <v>22</v>
      </c>
      <c r="E8" s="403" t="e">
        <f>+VLOOKUP(B8,#REF!,3,FALSE())</f>
        <v>#REF!</v>
      </c>
      <c r="F8" s="404" t="e">
        <f t="shared" si="0"/>
        <v>#REF!</v>
      </c>
      <c r="I8" s="371">
        <v>20</v>
      </c>
      <c r="J8" s="371">
        <f t="shared" si="1"/>
        <v>22</v>
      </c>
    </row>
    <row r="9" spans="1:10" x14ac:dyDescent="0.25">
      <c r="A9" s="348">
        <v>2.0499999999999998</v>
      </c>
      <c r="B9" s="357" t="s">
        <v>179</v>
      </c>
      <c r="C9" s="388" t="s">
        <v>129</v>
      </c>
      <c r="D9" s="388">
        <v>12</v>
      </c>
      <c r="E9" s="403" t="e">
        <f>+VLOOKUP(B9,#REF!,3,FALSE())</f>
        <v>#REF!</v>
      </c>
      <c r="F9" s="404" t="e">
        <f t="shared" si="0"/>
        <v>#REF!</v>
      </c>
      <c r="I9" s="371">
        <v>11</v>
      </c>
      <c r="J9" s="371">
        <f t="shared" si="1"/>
        <v>12</v>
      </c>
    </row>
    <row r="10" spans="1:10" x14ac:dyDescent="0.25">
      <c r="A10" s="348">
        <v>2.0699999999999998</v>
      </c>
      <c r="B10" s="357" t="s">
        <v>201</v>
      </c>
      <c r="C10" s="388" t="s">
        <v>129</v>
      </c>
      <c r="D10" s="388">
        <v>68</v>
      </c>
      <c r="E10" s="403" t="e">
        <f>+VLOOKUP(B10,#REF!,3,FALSE())</f>
        <v>#REF!</v>
      </c>
      <c r="F10" s="404" t="e">
        <f t="shared" si="0"/>
        <v>#REF!</v>
      </c>
      <c r="I10" s="371">
        <v>62</v>
      </c>
      <c r="J10" s="371">
        <f t="shared" si="1"/>
        <v>68</v>
      </c>
    </row>
    <row r="11" spans="1:10" x14ac:dyDescent="0.25">
      <c r="A11" s="387">
        <v>2.09</v>
      </c>
      <c r="B11" s="357" t="s">
        <v>204</v>
      </c>
      <c r="C11" s="388" t="s">
        <v>129</v>
      </c>
      <c r="D11" s="388">
        <v>86</v>
      </c>
      <c r="E11" s="403" t="e">
        <f>+VLOOKUP(B11,#REF!,3,FALSE())</f>
        <v>#REF!</v>
      </c>
      <c r="F11" s="404" t="e">
        <f t="shared" si="0"/>
        <v>#REF!</v>
      </c>
      <c r="I11" s="371">
        <v>78</v>
      </c>
      <c r="J11" s="371">
        <f t="shared" si="1"/>
        <v>86</v>
      </c>
    </row>
    <row r="12" spans="1:10" x14ac:dyDescent="0.25">
      <c r="A12" s="348">
        <v>2.2799999999999998</v>
      </c>
      <c r="B12" s="357" t="s">
        <v>205</v>
      </c>
      <c r="C12" s="388" t="s">
        <v>76</v>
      </c>
      <c r="D12" s="388">
        <v>149</v>
      </c>
      <c r="E12" s="403" t="e">
        <f>+VLOOKUP(B12,#REF!,3,FALSE())</f>
        <v>#REF!</v>
      </c>
      <c r="F12" s="404" t="e">
        <f t="shared" si="0"/>
        <v>#REF!</v>
      </c>
      <c r="I12" s="371">
        <v>135</v>
      </c>
      <c r="J12" s="371">
        <f t="shared" si="1"/>
        <v>149</v>
      </c>
    </row>
    <row r="13" spans="1:10" x14ac:dyDescent="0.25">
      <c r="A13" s="348">
        <v>4.01</v>
      </c>
      <c r="B13" s="357" t="s">
        <v>181</v>
      </c>
      <c r="C13" s="388" t="s">
        <v>96</v>
      </c>
      <c r="D13" s="388">
        <v>13882</v>
      </c>
      <c r="E13" s="403" t="e">
        <f>+VLOOKUP(B13,#REF!,3,FALSE())</f>
        <v>#REF!</v>
      </c>
      <c r="F13" s="404" t="e">
        <f t="shared" si="0"/>
        <v>#REF!</v>
      </c>
      <c r="I13" s="371">
        <v>12620</v>
      </c>
      <c r="J13" s="371">
        <f t="shared" si="1"/>
        <v>13882</v>
      </c>
    </row>
    <row r="14" spans="1:10" x14ac:dyDescent="0.25">
      <c r="A14" s="405">
        <v>2</v>
      </c>
      <c r="B14" s="400" t="s">
        <v>206</v>
      </c>
      <c r="C14" s="400"/>
      <c r="D14" s="400"/>
      <c r="E14" s="401"/>
      <c r="F14" s="402"/>
    </row>
    <row r="15" spans="1:10" x14ac:dyDescent="0.25">
      <c r="A15" s="348">
        <v>1.01</v>
      </c>
      <c r="B15" s="349" t="s">
        <v>175</v>
      </c>
      <c r="C15" s="388" t="s">
        <v>80</v>
      </c>
      <c r="D15" s="388">
        <v>55</v>
      </c>
      <c r="E15" s="403" t="e">
        <f>+VLOOKUP(B15,#REF!,3,FALSE())</f>
        <v>#REF!</v>
      </c>
      <c r="F15" s="404" t="e">
        <f t="shared" ref="F15:F22" si="2">+D15*E15</f>
        <v>#REF!</v>
      </c>
      <c r="I15" s="371">
        <v>50</v>
      </c>
      <c r="J15" s="371">
        <f t="shared" ref="J15:J24" si="3">ROUND(I15*1.1,0)</f>
        <v>55</v>
      </c>
    </row>
    <row r="16" spans="1:10" x14ac:dyDescent="0.25">
      <c r="A16" s="348">
        <v>2.0099999999999998</v>
      </c>
      <c r="B16" s="357" t="s">
        <v>176</v>
      </c>
      <c r="C16" s="388" t="s">
        <v>129</v>
      </c>
      <c r="D16" s="388">
        <v>7</v>
      </c>
      <c r="E16" s="403" t="e">
        <f>+VLOOKUP(B16,#REF!,3,FALSE())</f>
        <v>#REF!</v>
      </c>
      <c r="F16" s="404" t="e">
        <f t="shared" si="2"/>
        <v>#REF!</v>
      </c>
      <c r="I16" s="371">
        <v>6</v>
      </c>
      <c r="J16" s="371">
        <f t="shared" si="3"/>
        <v>7</v>
      </c>
    </row>
    <row r="17" spans="1:11" x14ac:dyDescent="0.25">
      <c r="A17" s="348">
        <v>2.2500000000000102</v>
      </c>
      <c r="B17" s="357" t="s">
        <v>207</v>
      </c>
      <c r="C17" s="388" t="s">
        <v>95</v>
      </c>
      <c r="D17" s="388">
        <v>33</v>
      </c>
      <c r="E17" s="403" t="e">
        <f>+VLOOKUP(B17,#REF!,3,FALSE())</f>
        <v>#REF!</v>
      </c>
      <c r="F17" s="404" t="e">
        <f t="shared" si="2"/>
        <v>#REF!</v>
      </c>
      <c r="I17" s="371">
        <v>30</v>
      </c>
      <c r="J17" s="371">
        <f t="shared" si="3"/>
        <v>33</v>
      </c>
    </row>
    <row r="18" spans="1:11" x14ac:dyDescent="0.25">
      <c r="A18" s="348">
        <v>2.0499999999999998</v>
      </c>
      <c r="B18" s="357" t="s">
        <v>179</v>
      </c>
      <c r="C18" s="388" t="s">
        <v>129</v>
      </c>
      <c r="D18" s="388">
        <v>3</v>
      </c>
      <c r="E18" s="403" t="e">
        <f>+VLOOKUP(B18,#REF!,3,FALSE())</f>
        <v>#REF!</v>
      </c>
      <c r="F18" s="404" t="e">
        <f t="shared" si="2"/>
        <v>#REF!</v>
      </c>
      <c r="I18" s="371">
        <v>3</v>
      </c>
      <c r="J18" s="371">
        <f t="shared" si="3"/>
        <v>3</v>
      </c>
      <c r="K18" s="406"/>
    </row>
    <row r="19" spans="1:11" x14ac:dyDescent="0.25">
      <c r="A19" s="348">
        <v>2.13</v>
      </c>
      <c r="B19" s="357" t="s">
        <v>208</v>
      </c>
      <c r="C19" s="388" t="s">
        <v>129</v>
      </c>
      <c r="D19" s="388">
        <v>13</v>
      </c>
      <c r="E19" s="403" t="e">
        <f>+VLOOKUP(B19,#REF!,3,FALSE())</f>
        <v>#REF!</v>
      </c>
      <c r="F19" s="404" t="e">
        <f t="shared" si="2"/>
        <v>#REF!</v>
      </c>
      <c r="I19" s="371">
        <v>12</v>
      </c>
      <c r="J19" s="371">
        <f t="shared" si="3"/>
        <v>13</v>
      </c>
      <c r="K19" s="406"/>
    </row>
    <row r="20" spans="1:11" x14ac:dyDescent="0.25">
      <c r="A20" s="348">
        <v>2.11</v>
      </c>
      <c r="B20" s="357" t="s">
        <v>194</v>
      </c>
      <c r="C20" s="388" t="s">
        <v>129</v>
      </c>
      <c r="D20" s="388">
        <v>6</v>
      </c>
      <c r="E20" s="403" t="e">
        <f>+VLOOKUP(B20,#REF!,3,FALSE())</f>
        <v>#REF!</v>
      </c>
      <c r="F20" s="404" t="e">
        <f t="shared" si="2"/>
        <v>#REF!</v>
      </c>
      <c r="I20" s="371">
        <v>5</v>
      </c>
      <c r="J20" s="371">
        <f t="shared" si="3"/>
        <v>6</v>
      </c>
    </row>
    <row r="21" spans="1:11" x14ac:dyDescent="0.25">
      <c r="A21" s="348">
        <v>4.04</v>
      </c>
      <c r="B21" s="357" t="s">
        <v>196</v>
      </c>
      <c r="C21" s="388" t="s">
        <v>96</v>
      </c>
      <c r="D21" s="388">
        <v>400</v>
      </c>
      <c r="E21" s="403" t="e">
        <f>+VLOOKUP(B21,#REF!,3,FALSE())</f>
        <v>#REF!</v>
      </c>
      <c r="F21" s="404" t="e">
        <f t="shared" si="2"/>
        <v>#REF!</v>
      </c>
      <c r="I21" s="371">
        <v>5</v>
      </c>
      <c r="J21" s="371">
        <f t="shared" si="3"/>
        <v>6</v>
      </c>
    </row>
    <row r="22" spans="1:11" x14ac:dyDescent="0.25">
      <c r="A22" s="348">
        <v>4.05</v>
      </c>
      <c r="B22" s="357" t="s">
        <v>209</v>
      </c>
      <c r="C22" s="388" t="s">
        <v>96</v>
      </c>
      <c r="D22" s="388">
        <v>2200</v>
      </c>
      <c r="E22" s="403" t="e">
        <f>+VLOOKUP(B22,#REF!,3,FALSE())</f>
        <v>#REF!</v>
      </c>
      <c r="F22" s="404" t="e">
        <f t="shared" si="2"/>
        <v>#REF!</v>
      </c>
      <c r="I22" s="371">
        <v>2000</v>
      </c>
      <c r="J22" s="371">
        <f t="shared" si="3"/>
        <v>2200</v>
      </c>
    </row>
    <row r="23" spans="1:11" x14ac:dyDescent="0.25">
      <c r="A23" s="381">
        <v>3</v>
      </c>
      <c r="B23" s="407" t="s">
        <v>210</v>
      </c>
      <c r="C23" s="408"/>
      <c r="D23" s="408"/>
      <c r="E23" s="408"/>
      <c r="F23" s="409"/>
      <c r="G23" s="406"/>
      <c r="H23" s="406"/>
      <c r="J23" s="371">
        <f t="shared" si="3"/>
        <v>0</v>
      </c>
    </row>
    <row r="24" spans="1:11" x14ac:dyDescent="0.25">
      <c r="A24" s="348">
        <v>3.01</v>
      </c>
      <c r="B24" s="357" t="s">
        <v>211</v>
      </c>
      <c r="C24" s="410" t="s">
        <v>95</v>
      </c>
      <c r="D24" s="411">
        <v>1</v>
      </c>
      <c r="E24" s="352" t="e">
        <f>+VLOOKUP(B24,#REF!,3,FALSE())</f>
        <v>#REF!</v>
      </c>
      <c r="F24" s="412" t="e">
        <f>+D24*E24</f>
        <v>#REF!</v>
      </c>
      <c r="G24" s="406"/>
      <c r="H24" s="406"/>
      <c r="I24" s="371">
        <v>1</v>
      </c>
      <c r="J24" s="371">
        <f t="shared" si="3"/>
        <v>1</v>
      </c>
    </row>
    <row r="25" spans="1:11" x14ac:dyDescent="0.25">
      <c r="A25" s="413"/>
      <c r="B25" s="414"/>
      <c r="C25" s="414"/>
      <c r="D25" s="414"/>
      <c r="E25" s="414"/>
      <c r="F25" s="415"/>
    </row>
    <row r="27" spans="1:11" ht="15.75" x14ac:dyDescent="0.25">
      <c r="A27" s="416"/>
      <c r="B27" s="390" t="s">
        <v>156</v>
      </c>
      <c r="C27" s="417"/>
      <c r="D27" s="417"/>
      <c r="E27" s="417"/>
      <c r="F27" s="418" t="e">
        <f>ROUND(SUM(F4:F25),0)</f>
        <v>#REF!</v>
      </c>
    </row>
    <row r="28" spans="1:11" x14ac:dyDescent="0.25">
      <c r="A28" s="419"/>
      <c r="B28" t="s">
        <v>157</v>
      </c>
      <c r="C28" s="420">
        <v>0.23</v>
      </c>
      <c r="F28" s="421" t="e">
        <f>ROUND($F$27*C28,0)</f>
        <v>#REF!</v>
      </c>
    </row>
    <row r="29" spans="1:11" x14ac:dyDescent="0.25">
      <c r="A29" s="419"/>
      <c r="B29" t="s">
        <v>158</v>
      </c>
      <c r="C29" s="420">
        <v>0.02</v>
      </c>
      <c r="F29" s="421" t="e">
        <f>ROUND($F$27*C29,0)</f>
        <v>#REF!</v>
      </c>
    </row>
    <row r="30" spans="1:11" x14ac:dyDescent="0.25">
      <c r="A30" s="419"/>
      <c r="B30" t="s">
        <v>66</v>
      </c>
      <c r="C30" s="420">
        <v>0.05</v>
      </c>
      <c r="F30" s="421" t="e">
        <f>ROUND($F$27*C30,0)</f>
        <v>#REF!</v>
      </c>
    </row>
    <row r="31" spans="1:11" x14ac:dyDescent="0.25">
      <c r="A31" s="419"/>
      <c r="B31" t="s">
        <v>159</v>
      </c>
      <c r="C31" s="420">
        <v>0.16</v>
      </c>
      <c r="F31" s="421" t="e">
        <f>ROUND(F30*C31,0)</f>
        <v>#REF!</v>
      </c>
    </row>
    <row r="32" spans="1:11" ht="18.75" x14ac:dyDescent="0.3">
      <c r="A32" s="422"/>
      <c r="B32" s="423" t="s">
        <v>38</v>
      </c>
      <c r="C32" s="424"/>
      <c r="D32" s="424"/>
      <c r="E32" s="424"/>
      <c r="F32" s="425" t="e">
        <f>SUM(F27:F31)</f>
        <v>#REF!</v>
      </c>
    </row>
    <row r="37" spans="2:2" x14ac:dyDescent="0.25">
      <c r="B37" s="426"/>
    </row>
    <row r="38" spans="2:2" x14ac:dyDescent="0.25">
      <c r="B38" s="426"/>
    </row>
    <row r="39" spans="2:2" x14ac:dyDescent="0.25">
      <c r="B39" s="426"/>
    </row>
    <row r="40" spans="2:2" x14ac:dyDescent="0.25">
      <c r="B40" s="426"/>
    </row>
    <row r="41" spans="2:2" x14ac:dyDescent="0.25">
      <c r="B41" s="426"/>
    </row>
    <row r="42" spans="2:2" x14ac:dyDescent="0.25">
      <c r="B42" s="426"/>
    </row>
    <row r="43" spans="2:2" x14ac:dyDescent="0.25">
      <c r="B43" s="426"/>
    </row>
    <row r="44" spans="2:2" x14ac:dyDescent="0.25">
      <c r="B44" s="426"/>
    </row>
    <row r="45" spans="2:2" x14ac:dyDescent="0.25">
      <c r="B45" s="426"/>
    </row>
    <row r="46" spans="2:2" x14ac:dyDescent="0.25">
      <c r="B46" s="426"/>
    </row>
    <row r="47" spans="2:2" x14ac:dyDescent="0.25">
      <c r="B47" s="426"/>
    </row>
    <row r="48" spans="2:2" x14ac:dyDescent="0.25">
      <c r="B48" s="426"/>
    </row>
    <row r="49" spans="2:2" x14ac:dyDescent="0.25">
      <c r="B49" s="426"/>
    </row>
    <row r="50" spans="2:2" x14ac:dyDescent="0.25">
      <c r="B50" s="426"/>
    </row>
    <row r="51" spans="2:2" x14ac:dyDescent="0.25">
      <c r="B51" s="426"/>
    </row>
    <row r="52" spans="2:2" x14ac:dyDescent="0.25">
      <c r="B52" s="426"/>
    </row>
    <row r="53" spans="2:2" x14ac:dyDescent="0.25">
      <c r="B53" s="426"/>
    </row>
    <row r="54" spans="2:2" x14ac:dyDescent="0.25">
      <c r="B54" s="426"/>
    </row>
    <row r="55" spans="2:2" x14ac:dyDescent="0.25">
      <c r="B55" s="426"/>
    </row>
    <row r="56" spans="2:2" x14ac:dyDescent="0.25">
      <c r="B56" s="426"/>
    </row>
    <row r="57" spans="2:2" x14ac:dyDescent="0.25">
      <c r="B57" s="426"/>
    </row>
    <row r="58" spans="2:2" x14ac:dyDescent="0.25">
      <c r="B58" s="426"/>
    </row>
    <row r="59" spans="2:2" x14ac:dyDescent="0.25">
      <c r="B59" s="426"/>
    </row>
    <row r="60" spans="2:2" x14ac:dyDescent="0.25">
      <c r="B60" s="426"/>
    </row>
    <row r="61" spans="2:2" x14ac:dyDescent="0.25">
      <c r="B61" s="426"/>
    </row>
    <row r="62" spans="2:2" x14ac:dyDescent="0.25">
      <c r="B62" s="426"/>
    </row>
    <row r="63" spans="2:2" x14ac:dyDescent="0.25">
      <c r="B63" s="426"/>
    </row>
    <row r="64" spans="2:2" x14ac:dyDescent="0.25">
      <c r="B64" s="426"/>
    </row>
    <row r="65" spans="2:4" x14ac:dyDescent="0.25">
      <c r="B65" s="426"/>
    </row>
    <row r="66" spans="2:4" x14ac:dyDescent="0.25">
      <c r="B66" s="426"/>
    </row>
    <row r="67" spans="2:4" x14ac:dyDescent="0.25">
      <c r="B67" s="426"/>
    </row>
    <row r="68" spans="2:4" x14ac:dyDescent="0.25">
      <c r="B68" s="426"/>
    </row>
    <row r="69" spans="2:4" x14ac:dyDescent="0.25">
      <c r="B69" s="426"/>
    </row>
    <row r="70" spans="2:4" x14ac:dyDescent="0.25">
      <c r="B70" s="426"/>
    </row>
    <row r="71" spans="2:4" x14ac:dyDescent="0.25">
      <c r="B71" s="426"/>
    </row>
    <row r="72" spans="2:4" x14ac:dyDescent="0.25">
      <c r="B72" s="426"/>
    </row>
    <row r="73" spans="2:4" x14ac:dyDescent="0.25">
      <c r="B73" s="426"/>
    </row>
    <row r="74" spans="2:4" x14ac:dyDescent="0.25">
      <c r="B74" s="426"/>
    </row>
    <row r="75" spans="2:4" x14ac:dyDescent="0.25">
      <c r="B75" s="426"/>
      <c r="D75" s="426"/>
    </row>
    <row r="76" spans="2:4" x14ac:dyDescent="0.25">
      <c r="B76" s="426"/>
      <c r="D76" s="426"/>
    </row>
    <row r="77" spans="2:4" x14ac:dyDescent="0.25">
      <c r="B77" s="426"/>
      <c r="D77" s="426"/>
    </row>
    <row r="78" spans="2:4" x14ac:dyDescent="0.25">
      <c r="B78" s="426"/>
      <c r="D78" s="426"/>
    </row>
    <row r="79" spans="2:4" x14ac:dyDescent="0.25">
      <c r="B79" s="426"/>
      <c r="D79" s="426"/>
    </row>
    <row r="80" spans="2:4" x14ac:dyDescent="0.25">
      <c r="B80" s="426"/>
      <c r="D80" s="426"/>
    </row>
    <row r="81" spans="2:4" x14ac:dyDescent="0.25">
      <c r="B81" s="426"/>
      <c r="D81" s="426"/>
    </row>
    <row r="82" spans="2:4" x14ac:dyDescent="0.25">
      <c r="B82" s="426"/>
      <c r="D82" s="426"/>
    </row>
    <row r="83" spans="2:4" x14ac:dyDescent="0.25">
      <c r="B83" s="426"/>
      <c r="D83" s="426"/>
    </row>
    <row r="84" spans="2:4" x14ac:dyDescent="0.25">
      <c r="B84" s="426"/>
      <c r="D84" s="426"/>
    </row>
    <row r="85" spans="2:4" x14ac:dyDescent="0.25">
      <c r="B85" s="426"/>
      <c r="D85" s="426"/>
    </row>
    <row r="86" spans="2:4" x14ac:dyDescent="0.25">
      <c r="B86" s="426"/>
      <c r="D86" s="426"/>
    </row>
    <row r="87" spans="2:4" x14ac:dyDescent="0.25">
      <c r="B87" s="426"/>
      <c r="D87" s="426"/>
    </row>
    <row r="88" spans="2:4" x14ac:dyDescent="0.25">
      <c r="B88" s="426"/>
      <c r="D88" s="426"/>
    </row>
  </sheetData>
  <mergeCells count="4">
    <mergeCell ref="A1:B2"/>
    <mergeCell ref="C1:F1"/>
    <mergeCell ref="C2:F2"/>
    <mergeCell ref="I2:J2"/>
  </mergeCells>
  <pageMargins left="0.7" right="0.7" top="0.75" bottom="0.75" header="0.511811023622047" footer="0.511811023622047"/>
  <pageSetup orientation="portrait" horizontalDpi="300" verticalDpi="3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9"/>
  <sheetViews>
    <sheetView zoomScale="95" zoomScaleNormal="95" workbookViewId="0">
      <pane ySplit="3" topLeftCell="A4" activePane="bottomLeft" state="frozen"/>
      <selection pane="bottomLeft" activeCell="D5" sqref="D5"/>
    </sheetView>
  </sheetViews>
  <sheetFormatPr baseColWidth="10" defaultColWidth="11" defaultRowHeight="15" x14ac:dyDescent="0.25"/>
  <cols>
    <col min="2" max="2" width="46" customWidth="1"/>
    <col min="5" max="5" width="12" customWidth="1"/>
    <col min="6" max="6" width="21.42578125" customWidth="1"/>
  </cols>
  <sheetData>
    <row r="1" spans="1:6" ht="75" customHeight="1" x14ac:dyDescent="0.25">
      <c r="A1" s="681"/>
      <c r="B1" s="681"/>
      <c r="C1" s="678" t="s">
        <v>212</v>
      </c>
      <c r="D1" s="678"/>
      <c r="E1" s="678"/>
      <c r="F1" s="678"/>
    </row>
    <row r="2" spans="1:6" ht="17.25" customHeight="1" x14ac:dyDescent="0.25">
      <c r="A2" s="681"/>
      <c r="B2" s="681"/>
      <c r="C2" s="682" t="s">
        <v>213</v>
      </c>
      <c r="D2" s="682"/>
      <c r="E2" s="682"/>
      <c r="F2" s="682"/>
    </row>
    <row r="3" spans="1:6" ht="18" customHeight="1" x14ac:dyDescent="0.25">
      <c r="A3" s="399" t="s">
        <v>143</v>
      </c>
      <c r="B3" s="427" t="s">
        <v>214</v>
      </c>
      <c r="C3" s="427" t="s">
        <v>215</v>
      </c>
      <c r="D3" s="427" t="s">
        <v>169</v>
      </c>
      <c r="E3" s="427" t="s">
        <v>216</v>
      </c>
      <c r="F3" s="428" t="s">
        <v>171</v>
      </c>
    </row>
    <row r="4" spans="1:6" x14ac:dyDescent="0.25">
      <c r="A4" s="405">
        <v>2</v>
      </c>
      <c r="B4" s="400" t="s">
        <v>217</v>
      </c>
      <c r="C4" s="400"/>
      <c r="D4" s="400"/>
      <c r="E4" s="401"/>
      <c r="F4" s="402"/>
    </row>
    <row r="5" spans="1:6" x14ac:dyDescent="0.25">
      <c r="A5" s="387">
        <v>2.0099999999999998</v>
      </c>
      <c r="B5" s="357" t="s">
        <v>176</v>
      </c>
      <c r="C5" s="388" t="s">
        <v>129</v>
      </c>
      <c r="D5" s="388">
        <v>16.8</v>
      </c>
      <c r="E5" s="403" t="e">
        <f>+VLOOKUP(B5,#REF!,3,FALSE())</f>
        <v>#REF!</v>
      </c>
      <c r="F5" s="404" t="e">
        <f t="shared" ref="F5:F16" si="0">+D5*E5</f>
        <v>#REF!</v>
      </c>
    </row>
    <row r="6" spans="1:6" x14ac:dyDescent="0.25">
      <c r="A6" s="387">
        <v>2.0099999999999998</v>
      </c>
      <c r="B6" s="357" t="s">
        <v>177</v>
      </c>
      <c r="C6" s="388" t="s">
        <v>129</v>
      </c>
      <c r="D6" s="388">
        <v>0</v>
      </c>
      <c r="E6" s="403" t="e">
        <f>+VLOOKUP(B6,#REF!,3,FALSE())</f>
        <v>#REF!</v>
      </c>
      <c r="F6" s="404" t="e">
        <f t="shared" si="0"/>
        <v>#REF!</v>
      </c>
    </row>
    <row r="7" spans="1:6" x14ac:dyDescent="0.25">
      <c r="A7" s="387">
        <v>2.02</v>
      </c>
      <c r="B7" s="357" t="s">
        <v>178</v>
      </c>
      <c r="C7" s="388" t="s">
        <v>129</v>
      </c>
      <c r="D7" s="388">
        <v>3.6</v>
      </c>
      <c r="E7" s="403" t="e">
        <f>+VLOOKUP(B7,#REF!,3,FALSE())</f>
        <v>#REF!</v>
      </c>
      <c r="F7" s="404" t="e">
        <f t="shared" si="0"/>
        <v>#REF!</v>
      </c>
    </row>
    <row r="8" spans="1:6" x14ac:dyDescent="0.25">
      <c r="A8" s="387">
        <v>2.0299999999999998</v>
      </c>
      <c r="B8" s="357" t="s">
        <v>179</v>
      </c>
      <c r="C8" s="388" t="s">
        <v>129</v>
      </c>
      <c r="D8" s="388">
        <v>4</v>
      </c>
      <c r="E8" s="403" t="e">
        <f>+VLOOKUP(B8,#REF!,3,FALSE())</f>
        <v>#REF!</v>
      </c>
      <c r="F8" s="404" t="e">
        <f t="shared" si="0"/>
        <v>#REF!</v>
      </c>
    </row>
    <row r="9" spans="1:6" x14ac:dyDescent="0.25">
      <c r="A9" s="387">
        <v>2.0699999999999998</v>
      </c>
      <c r="B9" s="357" t="s">
        <v>204</v>
      </c>
      <c r="C9" s="388" t="s">
        <v>129</v>
      </c>
      <c r="D9" s="388">
        <v>17</v>
      </c>
      <c r="E9" s="403" t="e">
        <f>+VLOOKUP(B9,#REF!,3,FALSE())</f>
        <v>#REF!</v>
      </c>
      <c r="F9" s="404" t="e">
        <f t="shared" si="0"/>
        <v>#REF!</v>
      </c>
    </row>
    <row r="10" spans="1:6" x14ac:dyDescent="0.25">
      <c r="A10" s="387">
        <v>2.1</v>
      </c>
      <c r="B10" s="357" t="s">
        <v>208</v>
      </c>
      <c r="C10" s="388" t="s">
        <v>129</v>
      </c>
      <c r="D10" s="388">
        <v>15</v>
      </c>
      <c r="E10" s="403" t="e">
        <f>+VLOOKUP(B10,#REF!,3,FALSE())</f>
        <v>#REF!</v>
      </c>
      <c r="F10" s="404" t="e">
        <f t="shared" si="0"/>
        <v>#REF!</v>
      </c>
    </row>
    <row r="11" spans="1:6" x14ac:dyDescent="0.25">
      <c r="A11" s="387">
        <v>2.11</v>
      </c>
      <c r="B11" s="357" t="s">
        <v>218</v>
      </c>
      <c r="C11" s="388" t="s">
        <v>129</v>
      </c>
      <c r="D11" s="388">
        <v>1</v>
      </c>
      <c r="E11" s="403" t="e">
        <f>+VLOOKUP(B11,#REF!,3,FALSE())</f>
        <v>#REF!</v>
      </c>
      <c r="F11" s="404" t="e">
        <f t="shared" si="0"/>
        <v>#REF!</v>
      </c>
    </row>
    <row r="12" spans="1:6" x14ac:dyDescent="0.25">
      <c r="A12" s="387">
        <v>2.13</v>
      </c>
      <c r="B12" s="357" t="s">
        <v>195</v>
      </c>
      <c r="C12" s="388" t="s">
        <v>76</v>
      </c>
      <c r="D12" s="388">
        <v>60</v>
      </c>
      <c r="E12" s="403" t="e">
        <f>+VLOOKUP(B12,#REF!,3,FALSE())</f>
        <v>#REF!</v>
      </c>
      <c r="F12" s="404" t="e">
        <f t="shared" si="0"/>
        <v>#REF!</v>
      </c>
    </row>
    <row r="13" spans="1:6" x14ac:dyDescent="0.25">
      <c r="A13" s="387">
        <v>3.01</v>
      </c>
      <c r="B13" s="357" t="s">
        <v>211</v>
      </c>
      <c r="C13" s="388" t="s">
        <v>95</v>
      </c>
      <c r="D13" s="388">
        <v>1.2</v>
      </c>
      <c r="E13" s="403" t="e">
        <f>+VLOOKUP(B13,#REF!,3,FALSE())</f>
        <v>#REF!</v>
      </c>
      <c r="F13" s="404" t="e">
        <f t="shared" si="0"/>
        <v>#REF!</v>
      </c>
    </row>
    <row r="14" spans="1:6" x14ac:dyDescent="0.25">
      <c r="A14" s="387">
        <v>4.01</v>
      </c>
      <c r="B14" s="357" t="s">
        <v>181</v>
      </c>
      <c r="C14" s="388" t="s">
        <v>96</v>
      </c>
      <c r="D14" s="388">
        <v>2700</v>
      </c>
      <c r="E14" s="403" t="e">
        <f>+VLOOKUP(B14,#REF!,3,FALSE())</f>
        <v>#REF!</v>
      </c>
      <c r="F14" s="404" t="e">
        <f t="shared" si="0"/>
        <v>#REF!</v>
      </c>
    </row>
    <row r="15" spans="1:6" x14ac:dyDescent="0.25">
      <c r="A15" s="387">
        <v>4.0199999999999996</v>
      </c>
      <c r="B15" s="357" t="s">
        <v>196</v>
      </c>
      <c r="C15" s="388" t="s">
        <v>96</v>
      </c>
      <c r="D15" s="388">
        <v>125</v>
      </c>
      <c r="E15" s="403" t="e">
        <f>+VLOOKUP(B15,#REF!,3,FALSE())</f>
        <v>#REF!</v>
      </c>
      <c r="F15" s="404" t="e">
        <f t="shared" si="0"/>
        <v>#REF!</v>
      </c>
    </row>
    <row r="16" spans="1:6" x14ac:dyDescent="0.25">
      <c r="A16" s="387">
        <v>10.02</v>
      </c>
      <c r="B16" s="357" t="s">
        <v>219</v>
      </c>
      <c r="C16" s="388" t="s">
        <v>95</v>
      </c>
      <c r="D16" s="388">
        <v>2</v>
      </c>
      <c r="E16" s="403" t="e">
        <f>+VLOOKUP(B16,#REF!,3,FALSE())</f>
        <v>#REF!</v>
      </c>
      <c r="F16" s="404" t="e">
        <f t="shared" si="0"/>
        <v>#REF!</v>
      </c>
    </row>
    <row r="17" spans="1:6" x14ac:dyDescent="0.25">
      <c r="A17" s="405">
        <v>3</v>
      </c>
      <c r="B17" s="400" t="s">
        <v>220</v>
      </c>
      <c r="C17" s="400"/>
      <c r="D17" s="400"/>
      <c r="E17" s="401"/>
      <c r="F17" s="402"/>
    </row>
    <row r="18" spans="1:6" x14ac:dyDescent="0.25">
      <c r="A18" s="387">
        <v>2.0099999999999998</v>
      </c>
      <c r="B18" s="357" t="s">
        <v>176</v>
      </c>
      <c r="C18" s="388" t="s">
        <v>129</v>
      </c>
      <c r="D18" s="388">
        <v>60</v>
      </c>
      <c r="E18" s="403" t="e">
        <f>+VLOOKUP(B18,#REF!,3,FALSE())</f>
        <v>#REF!</v>
      </c>
      <c r="F18" s="404" t="e">
        <f t="shared" ref="F18:F28" si="1">+D18*E18</f>
        <v>#REF!</v>
      </c>
    </row>
    <row r="19" spans="1:6" x14ac:dyDescent="0.25">
      <c r="A19" s="387">
        <v>2.0099999999999998</v>
      </c>
      <c r="B19" s="357" t="s">
        <v>177</v>
      </c>
      <c r="C19" s="388" t="s">
        <v>129</v>
      </c>
      <c r="D19" s="388">
        <v>0</v>
      </c>
      <c r="E19" s="403" t="e">
        <f>+VLOOKUP(B19,#REF!,3,FALSE())</f>
        <v>#REF!</v>
      </c>
      <c r="F19" s="404" t="e">
        <f t="shared" si="1"/>
        <v>#REF!</v>
      </c>
    </row>
    <row r="20" spans="1:6" x14ac:dyDescent="0.25">
      <c r="A20" s="387">
        <v>2.02</v>
      </c>
      <c r="B20" s="357" t="s">
        <v>178</v>
      </c>
      <c r="C20" s="388" t="s">
        <v>129</v>
      </c>
      <c r="D20" s="388">
        <v>20</v>
      </c>
      <c r="E20" s="403" t="e">
        <f>+VLOOKUP(B20,#REF!,3,FALSE())</f>
        <v>#REF!</v>
      </c>
      <c r="F20" s="404" t="e">
        <f t="shared" si="1"/>
        <v>#REF!</v>
      </c>
    </row>
    <row r="21" spans="1:6" x14ac:dyDescent="0.25">
      <c r="A21" s="387">
        <v>2.0299999999999998</v>
      </c>
      <c r="B21" s="357" t="s">
        <v>179</v>
      </c>
      <c r="C21" s="388" t="s">
        <v>129</v>
      </c>
      <c r="D21" s="388">
        <v>10</v>
      </c>
      <c r="E21" s="403" t="e">
        <f>+VLOOKUP(B21,#REF!,3,FALSE())</f>
        <v>#REF!</v>
      </c>
      <c r="F21" s="404" t="e">
        <f t="shared" si="1"/>
        <v>#REF!</v>
      </c>
    </row>
    <row r="22" spans="1:6" x14ac:dyDescent="0.25">
      <c r="A22" s="387">
        <v>2.08</v>
      </c>
      <c r="B22" s="357" t="s">
        <v>221</v>
      </c>
      <c r="C22" s="388" t="s">
        <v>129</v>
      </c>
      <c r="D22" s="388">
        <v>2</v>
      </c>
      <c r="E22" s="403" t="e">
        <f>+VLOOKUP(B22,#REF!,3,FALSE())</f>
        <v>#REF!</v>
      </c>
      <c r="F22" s="404" t="e">
        <f t="shared" si="1"/>
        <v>#REF!</v>
      </c>
    </row>
    <row r="23" spans="1:6" x14ac:dyDescent="0.25">
      <c r="A23" s="387">
        <v>2.09</v>
      </c>
      <c r="B23" s="357" t="s">
        <v>194</v>
      </c>
      <c r="C23" s="388" t="s">
        <v>129</v>
      </c>
      <c r="D23" s="388">
        <v>2</v>
      </c>
      <c r="E23" s="403" t="e">
        <f>+VLOOKUP(B23,#REF!,3,FALSE())</f>
        <v>#REF!</v>
      </c>
      <c r="F23" s="404" t="e">
        <f t="shared" si="1"/>
        <v>#REF!</v>
      </c>
    </row>
    <row r="24" spans="1:6" x14ac:dyDescent="0.25">
      <c r="A24" s="387">
        <v>2.1</v>
      </c>
      <c r="B24" s="357" t="s">
        <v>208</v>
      </c>
      <c r="C24" s="388" t="s">
        <v>129</v>
      </c>
      <c r="D24" s="388">
        <v>26</v>
      </c>
      <c r="E24" s="403" t="e">
        <f>+VLOOKUP(B24,#REF!,3,FALSE())</f>
        <v>#REF!</v>
      </c>
      <c r="F24" s="404" t="e">
        <f t="shared" si="1"/>
        <v>#REF!</v>
      </c>
    </row>
    <row r="25" spans="1:6" x14ac:dyDescent="0.25">
      <c r="A25" s="387">
        <v>2.11</v>
      </c>
      <c r="B25" s="357" t="s">
        <v>218</v>
      </c>
      <c r="C25" s="388" t="s">
        <v>129</v>
      </c>
      <c r="D25" s="388">
        <v>10</v>
      </c>
      <c r="E25" s="403" t="e">
        <f>+VLOOKUP(B25,#REF!,3,FALSE())</f>
        <v>#REF!</v>
      </c>
      <c r="F25" s="404" t="e">
        <f t="shared" si="1"/>
        <v>#REF!</v>
      </c>
    </row>
    <row r="26" spans="1:6" x14ac:dyDescent="0.25">
      <c r="A26" s="387">
        <v>2.13</v>
      </c>
      <c r="B26" s="357" t="s">
        <v>195</v>
      </c>
      <c r="C26" s="388" t="s">
        <v>76</v>
      </c>
      <c r="D26" s="388">
        <v>192</v>
      </c>
      <c r="E26" s="403" t="e">
        <f>+VLOOKUP(B26,#REF!,3,FALSE())</f>
        <v>#REF!</v>
      </c>
      <c r="F26" s="404" t="e">
        <f t="shared" si="1"/>
        <v>#REF!</v>
      </c>
    </row>
    <row r="27" spans="1:6" x14ac:dyDescent="0.25">
      <c r="A27" s="387">
        <v>4.01</v>
      </c>
      <c r="B27" s="357" t="s">
        <v>181</v>
      </c>
      <c r="C27" s="388" t="s">
        <v>96</v>
      </c>
      <c r="D27" s="388">
        <v>300</v>
      </c>
      <c r="E27" s="403" t="e">
        <f>+VLOOKUP(B27,#REF!,3,FALSE())</f>
        <v>#REF!</v>
      </c>
      <c r="F27" s="404" t="e">
        <f t="shared" si="1"/>
        <v>#REF!</v>
      </c>
    </row>
    <row r="28" spans="1:6" x14ac:dyDescent="0.25">
      <c r="A28" s="387">
        <v>4.0199999999999996</v>
      </c>
      <c r="B28" s="357" t="s">
        <v>196</v>
      </c>
      <c r="C28" s="388" t="s">
        <v>96</v>
      </c>
      <c r="D28" s="388">
        <v>2500</v>
      </c>
      <c r="E28" s="403" t="e">
        <f>+VLOOKUP(B28,#REF!,3,FALSE())</f>
        <v>#REF!</v>
      </c>
      <c r="F28" s="404" t="e">
        <f t="shared" si="1"/>
        <v>#REF!</v>
      </c>
    </row>
    <row r="29" spans="1:6" x14ac:dyDescent="0.25">
      <c r="A29" s="405">
        <v>4</v>
      </c>
      <c r="B29" s="400" t="s">
        <v>222</v>
      </c>
      <c r="C29" s="400"/>
      <c r="D29" s="400"/>
      <c r="E29" s="401"/>
      <c r="F29" s="402"/>
    </row>
    <row r="30" spans="1:6" x14ac:dyDescent="0.25">
      <c r="A30" s="387">
        <v>2.0099999999999998</v>
      </c>
      <c r="B30" s="357" t="s">
        <v>176</v>
      </c>
      <c r="C30" s="388" t="s">
        <v>129</v>
      </c>
      <c r="D30" s="388">
        <v>16</v>
      </c>
      <c r="E30" s="403" t="e">
        <f>+VLOOKUP(B30,#REF!,3,FALSE())</f>
        <v>#REF!</v>
      </c>
      <c r="F30" s="404" t="e">
        <f t="shared" ref="F30:F37" si="2">+D30*E30</f>
        <v>#REF!</v>
      </c>
    </row>
    <row r="31" spans="1:6" x14ac:dyDescent="0.25">
      <c r="A31" s="387">
        <v>2.0099999999999998</v>
      </c>
      <c r="B31" s="357" t="s">
        <v>177</v>
      </c>
      <c r="C31" s="388" t="s">
        <v>129</v>
      </c>
      <c r="D31" s="388">
        <v>0</v>
      </c>
      <c r="E31" s="403" t="e">
        <f>+VLOOKUP(B31,#REF!,3,FALSE())</f>
        <v>#REF!</v>
      </c>
      <c r="F31" s="404" t="e">
        <f t="shared" si="2"/>
        <v>#REF!</v>
      </c>
    </row>
    <row r="32" spans="1:6" x14ac:dyDescent="0.25">
      <c r="A32" s="387">
        <v>2.02</v>
      </c>
      <c r="B32" s="357" t="s">
        <v>178</v>
      </c>
      <c r="C32" s="388" t="s">
        <v>129</v>
      </c>
      <c r="D32" s="388">
        <v>4</v>
      </c>
      <c r="E32" s="403" t="e">
        <f>+VLOOKUP(B32,#REF!,3,FALSE())</f>
        <v>#REF!</v>
      </c>
      <c r="F32" s="404" t="e">
        <f t="shared" si="2"/>
        <v>#REF!</v>
      </c>
    </row>
    <row r="33" spans="1:6" x14ac:dyDescent="0.25">
      <c r="A33" s="387">
        <v>2.0299999999999998</v>
      </c>
      <c r="B33" s="357" t="s">
        <v>179</v>
      </c>
      <c r="C33" s="388" t="s">
        <v>129</v>
      </c>
      <c r="D33" s="388">
        <v>4</v>
      </c>
      <c r="E33" s="403" t="e">
        <f>+VLOOKUP(B33,#REF!,3,FALSE())</f>
        <v>#REF!</v>
      </c>
      <c r="F33" s="404" t="e">
        <f t="shared" si="2"/>
        <v>#REF!</v>
      </c>
    </row>
    <row r="34" spans="1:6" x14ac:dyDescent="0.25">
      <c r="A34" s="387">
        <v>2.0499999999999998</v>
      </c>
      <c r="B34" s="357" t="s">
        <v>201</v>
      </c>
      <c r="C34" s="388" t="s">
        <v>129</v>
      </c>
      <c r="D34" s="388">
        <v>16</v>
      </c>
      <c r="E34" s="403" t="e">
        <f>+VLOOKUP(B34,#REF!,3,FALSE())</f>
        <v>#REF!</v>
      </c>
      <c r="F34" s="404" t="e">
        <f t="shared" si="2"/>
        <v>#REF!</v>
      </c>
    </row>
    <row r="35" spans="1:6" x14ac:dyDescent="0.25">
      <c r="A35" s="387">
        <v>2.0699999999999998</v>
      </c>
      <c r="B35" s="357" t="s">
        <v>204</v>
      </c>
      <c r="C35" s="388" t="s">
        <v>129</v>
      </c>
      <c r="D35" s="388">
        <v>30</v>
      </c>
      <c r="E35" s="403" t="e">
        <f>+VLOOKUP(B35,#REF!,3,FALSE())</f>
        <v>#REF!</v>
      </c>
      <c r="F35" s="404" t="e">
        <f t="shared" si="2"/>
        <v>#REF!</v>
      </c>
    </row>
    <row r="36" spans="1:6" x14ac:dyDescent="0.25">
      <c r="A36" s="387">
        <v>2.13</v>
      </c>
      <c r="B36" s="357" t="s">
        <v>195</v>
      </c>
      <c r="C36" s="388" t="s">
        <v>76</v>
      </c>
      <c r="D36" s="388">
        <v>45</v>
      </c>
      <c r="E36" s="403" t="e">
        <f>+VLOOKUP(B36,#REF!,3,FALSE())</f>
        <v>#REF!</v>
      </c>
      <c r="F36" s="404" t="e">
        <f t="shared" si="2"/>
        <v>#REF!</v>
      </c>
    </row>
    <row r="37" spans="1:6" x14ac:dyDescent="0.25">
      <c r="A37" s="387">
        <v>4.01</v>
      </c>
      <c r="B37" s="357" t="s">
        <v>181</v>
      </c>
      <c r="C37" s="388" t="s">
        <v>96</v>
      </c>
      <c r="D37" s="388">
        <v>4200</v>
      </c>
      <c r="E37" s="403" t="e">
        <f>+VLOOKUP(B37,#REF!,3,FALSE())</f>
        <v>#REF!</v>
      </c>
      <c r="F37" s="404" t="e">
        <f t="shared" si="2"/>
        <v>#REF!</v>
      </c>
    </row>
    <row r="38" spans="1:6" x14ac:dyDescent="0.25">
      <c r="A38" s="405">
        <v>5</v>
      </c>
      <c r="B38" s="400" t="s">
        <v>223</v>
      </c>
      <c r="C38" s="400"/>
      <c r="D38" s="400"/>
      <c r="E38" s="401"/>
      <c r="F38" s="402"/>
    </row>
    <row r="39" spans="1:6" x14ac:dyDescent="0.25">
      <c r="A39" s="387">
        <v>2.0099999999999998</v>
      </c>
      <c r="B39" s="357" t="s">
        <v>176</v>
      </c>
      <c r="C39" s="388" t="s">
        <v>129</v>
      </c>
      <c r="D39" s="388">
        <v>12</v>
      </c>
      <c r="E39" s="403" t="e">
        <f>+VLOOKUP(B39,#REF!,3,FALSE())</f>
        <v>#REF!</v>
      </c>
      <c r="F39" s="404" t="e">
        <f t="shared" ref="F39:F63" si="3">+D39*E39</f>
        <v>#REF!</v>
      </c>
    </row>
    <row r="40" spans="1:6" x14ac:dyDescent="0.25">
      <c r="A40" s="387">
        <v>2.0099999999999998</v>
      </c>
      <c r="B40" s="357" t="s">
        <v>177</v>
      </c>
      <c r="C40" s="388" t="s">
        <v>129</v>
      </c>
      <c r="D40" s="388">
        <v>0</v>
      </c>
      <c r="E40" s="403" t="e">
        <f>+VLOOKUP(B40,#REF!,3,FALSE())</f>
        <v>#REF!</v>
      </c>
      <c r="F40" s="404" t="e">
        <f t="shared" si="3"/>
        <v>#REF!</v>
      </c>
    </row>
    <row r="41" spans="1:6" x14ac:dyDescent="0.25">
      <c r="A41" s="387">
        <v>2.02</v>
      </c>
      <c r="B41" s="357" t="s">
        <v>178</v>
      </c>
      <c r="C41" s="388" t="s">
        <v>129</v>
      </c>
      <c r="D41" s="388">
        <v>6</v>
      </c>
      <c r="E41" s="403" t="e">
        <f>+VLOOKUP(B41,#REF!,3,FALSE())</f>
        <v>#REF!</v>
      </c>
      <c r="F41" s="404" t="e">
        <f t="shared" si="3"/>
        <v>#REF!</v>
      </c>
    </row>
    <row r="42" spans="1:6" x14ac:dyDescent="0.25">
      <c r="A42" s="387">
        <v>2.0299999999999998</v>
      </c>
      <c r="B42" s="357" t="s">
        <v>179</v>
      </c>
      <c r="C42" s="388" t="s">
        <v>129</v>
      </c>
      <c r="D42" s="388">
        <v>1.5</v>
      </c>
      <c r="E42" s="403" t="e">
        <f>+VLOOKUP(B42,#REF!,3,FALSE())</f>
        <v>#REF!</v>
      </c>
      <c r="F42" s="404" t="e">
        <f t="shared" si="3"/>
        <v>#REF!</v>
      </c>
    </row>
    <row r="43" spans="1:6" x14ac:dyDescent="0.25">
      <c r="A43" s="387">
        <v>2.0499999999999998</v>
      </c>
      <c r="B43" s="357" t="s">
        <v>201</v>
      </c>
      <c r="C43" s="388" t="s">
        <v>129</v>
      </c>
      <c r="D43" s="388">
        <v>6</v>
      </c>
      <c r="E43" s="403" t="e">
        <f>+VLOOKUP(B43,#REF!,3,FALSE())</f>
        <v>#REF!</v>
      </c>
      <c r="F43" s="404" t="e">
        <f t="shared" si="3"/>
        <v>#REF!</v>
      </c>
    </row>
    <row r="44" spans="1:6" x14ac:dyDescent="0.25">
      <c r="A44" s="387">
        <v>2.09</v>
      </c>
      <c r="B44" s="357" t="s">
        <v>194</v>
      </c>
      <c r="C44" s="388" t="s">
        <v>129</v>
      </c>
      <c r="D44" s="388">
        <v>8</v>
      </c>
      <c r="E44" s="403" t="e">
        <f>+VLOOKUP(B44,#REF!,3,FALSE())</f>
        <v>#REF!</v>
      </c>
      <c r="F44" s="404" t="e">
        <f t="shared" si="3"/>
        <v>#REF!</v>
      </c>
    </row>
    <row r="45" spans="1:6" x14ac:dyDescent="0.25">
      <c r="A45" s="387">
        <v>2.11</v>
      </c>
      <c r="B45" s="357" t="s">
        <v>218</v>
      </c>
      <c r="C45" s="388" t="s">
        <v>129</v>
      </c>
      <c r="D45" s="388">
        <v>4</v>
      </c>
      <c r="E45" s="403" t="e">
        <f>+VLOOKUP(B45,#REF!,3,FALSE())</f>
        <v>#REF!</v>
      </c>
      <c r="F45" s="404" t="e">
        <f t="shared" si="3"/>
        <v>#REF!</v>
      </c>
    </row>
    <row r="46" spans="1:6" x14ac:dyDescent="0.25">
      <c r="A46" s="387">
        <v>4.01</v>
      </c>
      <c r="B46" s="357" t="s">
        <v>181</v>
      </c>
      <c r="C46" s="388" t="s">
        <v>96</v>
      </c>
      <c r="D46" s="388">
        <v>660</v>
      </c>
      <c r="E46" s="403" t="e">
        <f>+VLOOKUP(B46,#REF!,3,FALSE())</f>
        <v>#REF!</v>
      </c>
      <c r="F46" s="404" t="e">
        <f t="shared" si="3"/>
        <v>#REF!</v>
      </c>
    </row>
    <row r="47" spans="1:6" x14ac:dyDescent="0.25">
      <c r="A47" s="387">
        <v>4.0199999999999996</v>
      </c>
      <c r="B47" s="357" t="s">
        <v>196</v>
      </c>
      <c r="C47" s="388" t="s">
        <v>96</v>
      </c>
      <c r="D47" s="388">
        <v>330</v>
      </c>
      <c r="E47" s="403" t="e">
        <f>+VLOOKUP(B47,#REF!,3,FALSE())</f>
        <v>#REF!</v>
      </c>
      <c r="F47" s="404" t="e">
        <f t="shared" si="3"/>
        <v>#REF!</v>
      </c>
    </row>
    <row r="48" spans="1:6" x14ac:dyDescent="0.25">
      <c r="A48" s="387">
        <v>7.01</v>
      </c>
      <c r="B48" s="357" t="s">
        <v>209</v>
      </c>
      <c r="C48" s="388" t="s">
        <v>96</v>
      </c>
      <c r="D48" s="388">
        <v>1000</v>
      </c>
      <c r="E48" s="403" t="e">
        <f>+VLOOKUP(B48,#REF!,3,FALSE())</f>
        <v>#REF!</v>
      </c>
      <c r="F48" s="404" t="e">
        <f t="shared" si="3"/>
        <v>#REF!</v>
      </c>
    </row>
    <row r="49" spans="1:6" x14ac:dyDescent="0.25">
      <c r="A49" s="387">
        <v>7.02</v>
      </c>
      <c r="B49" s="357" t="s">
        <v>224</v>
      </c>
      <c r="C49" s="388" t="s">
        <v>80</v>
      </c>
      <c r="D49" s="388">
        <v>60</v>
      </c>
      <c r="E49" s="403" t="e">
        <f>+VLOOKUP(B49,#REF!,3,FALSE())</f>
        <v>#REF!</v>
      </c>
      <c r="F49" s="404" t="e">
        <f t="shared" si="3"/>
        <v>#REF!</v>
      </c>
    </row>
    <row r="50" spans="1:6" x14ac:dyDescent="0.25">
      <c r="A50" s="387">
        <v>7.07</v>
      </c>
      <c r="B50" s="357" t="s">
        <v>225</v>
      </c>
      <c r="C50" s="388" t="s">
        <v>80</v>
      </c>
      <c r="D50" s="388">
        <v>90</v>
      </c>
      <c r="E50" s="403" t="e">
        <f>+VLOOKUP(B50,#REF!,3,FALSE())</f>
        <v>#REF!</v>
      </c>
      <c r="F50" s="404" t="e">
        <f t="shared" si="3"/>
        <v>#REF!</v>
      </c>
    </row>
    <row r="51" spans="1:6" x14ac:dyDescent="0.25">
      <c r="A51" s="387">
        <v>8.0399999999999991</v>
      </c>
      <c r="B51" s="357" t="s">
        <v>226</v>
      </c>
      <c r="C51" s="388" t="s">
        <v>80</v>
      </c>
      <c r="D51" s="388">
        <v>92</v>
      </c>
      <c r="E51" s="403" t="e">
        <f>+VLOOKUP(B51,#REF!,3,FALSE())</f>
        <v>#REF!</v>
      </c>
      <c r="F51" s="404" t="e">
        <f t="shared" si="3"/>
        <v>#REF!</v>
      </c>
    </row>
    <row r="52" spans="1:6" x14ac:dyDescent="0.25">
      <c r="A52" s="387">
        <v>9.01</v>
      </c>
      <c r="B52" s="357" t="s">
        <v>227</v>
      </c>
      <c r="C52" s="388" t="s">
        <v>76</v>
      </c>
      <c r="D52" s="388">
        <v>20</v>
      </c>
      <c r="E52" s="403" t="e">
        <f>+VLOOKUP(B52,#REF!,3,FALSE())</f>
        <v>#REF!</v>
      </c>
      <c r="F52" s="404" t="e">
        <f t="shared" si="3"/>
        <v>#REF!</v>
      </c>
    </row>
    <row r="53" spans="1:6" x14ac:dyDescent="0.25">
      <c r="A53" s="387">
        <v>9.02</v>
      </c>
      <c r="B53" s="357" t="s">
        <v>228</v>
      </c>
      <c r="C53" s="388" t="s">
        <v>95</v>
      </c>
      <c r="D53" s="388">
        <v>1</v>
      </c>
      <c r="E53" s="403" t="e">
        <f>+VLOOKUP(B53,#REF!,3,FALSE())</f>
        <v>#REF!</v>
      </c>
      <c r="F53" s="404" t="e">
        <f t="shared" si="3"/>
        <v>#REF!</v>
      </c>
    </row>
    <row r="54" spans="1:6" x14ac:dyDescent="0.25">
      <c r="A54" s="387">
        <v>9.0299999999999994</v>
      </c>
      <c r="B54" s="357" t="s">
        <v>229</v>
      </c>
      <c r="C54" s="388" t="s">
        <v>95</v>
      </c>
      <c r="D54" s="388">
        <v>5</v>
      </c>
      <c r="E54" s="403" t="e">
        <f>+VLOOKUP(B54,#REF!,3,FALSE())</f>
        <v>#REF!</v>
      </c>
      <c r="F54" s="404" t="e">
        <f t="shared" si="3"/>
        <v>#REF!</v>
      </c>
    </row>
    <row r="55" spans="1:6" x14ac:dyDescent="0.25">
      <c r="A55" s="387">
        <v>9.0399999999999991</v>
      </c>
      <c r="B55" s="357" t="s">
        <v>230</v>
      </c>
      <c r="C55" s="388" t="s">
        <v>95</v>
      </c>
      <c r="D55" s="388">
        <v>7</v>
      </c>
      <c r="E55" s="403" t="e">
        <f>+VLOOKUP(B55,#REF!,3,FALSE())</f>
        <v>#REF!</v>
      </c>
      <c r="F55" s="404" t="e">
        <f t="shared" si="3"/>
        <v>#REF!</v>
      </c>
    </row>
    <row r="56" spans="1:6" x14ac:dyDescent="0.25">
      <c r="A56" s="387">
        <v>9.0500000000000007</v>
      </c>
      <c r="B56" s="357" t="s">
        <v>231</v>
      </c>
      <c r="C56" s="388" t="s">
        <v>95</v>
      </c>
      <c r="D56" s="388">
        <v>1</v>
      </c>
      <c r="E56" s="403" t="e">
        <f>+VLOOKUP(B56,#REF!,3,FALSE())</f>
        <v>#REF!</v>
      </c>
      <c r="F56" s="404" t="e">
        <f t="shared" si="3"/>
        <v>#REF!</v>
      </c>
    </row>
    <row r="57" spans="1:6" x14ac:dyDescent="0.25">
      <c r="A57" s="387">
        <v>9.06</v>
      </c>
      <c r="B57" s="357" t="s">
        <v>232</v>
      </c>
      <c r="C57" s="388" t="s">
        <v>95</v>
      </c>
      <c r="D57" s="388">
        <v>5</v>
      </c>
      <c r="E57" s="403" t="e">
        <f>+VLOOKUP(B57,#REF!,3,FALSE())</f>
        <v>#REF!</v>
      </c>
      <c r="F57" s="404" t="e">
        <f t="shared" si="3"/>
        <v>#REF!</v>
      </c>
    </row>
    <row r="58" spans="1:6" x14ac:dyDescent="0.25">
      <c r="A58" s="387">
        <v>9.07</v>
      </c>
      <c r="B58" s="357" t="s">
        <v>233</v>
      </c>
      <c r="C58" s="388" t="s">
        <v>95</v>
      </c>
      <c r="D58" s="388">
        <v>2</v>
      </c>
      <c r="E58" s="403" t="e">
        <f>+VLOOKUP(B58,#REF!,3,FALSE())</f>
        <v>#REF!</v>
      </c>
      <c r="F58" s="404" t="e">
        <f t="shared" si="3"/>
        <v>#REF!</v>
      </c>
    </row>
    <row r="59" spans="1:6" x14ac:dyDescent="0.25">
      <c r="A59" s="387">
        <v>9.08</v>
      </c>
      <c r="B59" s="357" t="s">
        <v>234</v>
      </c>
      <c r="C59" s="388" t="s">
        <v>95</v>
      </c>
      <c r="D59" s="388">
        <v>1</v>
      </c>
      <c r="E59" s="403" t="e">
        <f>+VLOOKUP(B59,#REF!,3,FALSE())</f>
        <v>#REF!</v>
      </c>
      <c r="F59" s="404" t="e">
        <f t="shared" si="3"/>
        <v>#REF!</v>
      </c>
    </row>
    <row r="60" spans="1:6" x14ac:dyDescent="0.25">
      <c r="A60" s="387">
        <v>10.01</v>
      </c>
      <c r="B60" s="357" t="s">
        <v>235</v>
      </c>
      <c r="C60" s="388" t="s">
        <v>76</v>
      </c>
      <c r="D60" s="388">
        <v>40</v>
      </c>
      <c r="E60" s="403" t="e">
        <f>+VLOOKUP(B60,#REF!,3,FALSE())</f>
        <v>#REF!</v>
      </c>
      <c r="F60" s="404" t="e">
        <f t="shared" si="3"/>
        <v>#REF!</v>
      </c>
    </row>
    <row r="61" spans="1:6" x14ac:dyDescent="0.25">
      <c r="A61" s="387">
        <v>10.050000000000001</v>
      </c>
      <c r="B61" s="357" t="s">
        <v>236</v>
      </c>
      <c r="C61" s="388" t="s">
        <v>80</v>
      </c>
      <c r="D61" s="388">
        <v>5</v>
      </c>
      <c r="E61" s="403" t="e">
        <f>+VLOOKUP(B61,#REF!,3,FALSE())</f>
        <v>#REF!</v>
      </c>
      <c r="F61" s="404" t="e">
        <f t="shared" si="3"/>
        <v>#REF!</v>
      </c>
    </row>
    <row r="62" spans="1:6" x14ac:dyDescent="0.25">
      <c r="A62" s="387">
        <v>10.06</v>
      </c>
      <c r="B62" s="357" t="s">
        <v>237</v>
      </c>
      <c r="C62" s="388" t="s">
        <v>76</v>
      </c>
      <c r="D62" s="388">
        <v>24</v>
      </c>
      <c r="E62" s="403" t="e">
        <f>+VLOOKUP(B62,#REF!,3,FALSE())</f>
        <v>#REF!</v>
      </c>
      <c r="F62" s="404" t="e">
        <f t="shared" si="3"/>
        <v>#REF!</v>
      </c>
    </row>
    <row r="63" spans="1:6" x14ac:dyDescent="0.25">
      <c r="A63" s="387">
        <v>10.08</v>
      </c>
      <c r="B63" s="357" t="s">
        <v>190</v>
      </c>
      <c r="C63" s="388" t="s">
        <v>80</v>
      </c>
      <c r="D63" s="388">
        <v>52</v>
      </c>
      <c r="E63" s="403" t="e">
        <f>+VLOOKUP(B63,#REF!,3,FALSE())</f>
        <v>#REF!</v>
      </c>
      <c r="F63" s="404" t="e">
        <f t="shared" si="3"/>
        <v>#REF!</v>
      </c>
    </row>
    <row r="64" spans="1:6" x14ac:dyDescent="0.25">
      <c r="A64" s="405">
        <v>6</v>
      </c>
      <c r="B64" s="400" t="s">
        <v>238</v>
      </c>
      <c r="C64" s="400"/>
      <c r="D64" s="400"/>
      <c r="E64" s="400"/>
      <c r="F64" s="402"/>
    </row>
    <row r="65" spans="1:6" x14ac:dyDescent="0.25">
      <c r="A65" s="387">
        <v>1.01</v>
      </c>
      <c r="B65" s="429" t="s">
        <v>175</v>
      </c>
      <c r="C65" s="429" t="s">
        <v>80</v>
      </c>
      <c r="D65" s="429">
        <v>88</v>
      </c>
      <c r="E65" s="403" t="e">
        <f>+VLOOKUP(B65,#REF!,3,FALSE())</f>
        <v>#REF!</v>
      </c>
      <c r="F65" s="404" t="e">
        <f t="shared" ref="F65:F71" si="4">+D65*E65</f>
        <v>#REF!</v>
      </c>
    </row>
    <row r="66" spans="1:6" x14ac:dyDescent="0.25">
      <c r="A66" s="387">
        <v>2.0099999999999998</v>
      </c>
      <c r="B66" s="357" t="s">
        <v>176</v>
      </c>
      <c r="C66" s="429" t="s">
        <v>129</v>
      </c>
      <c r="D66" s="429">
        <v>40</v>
      </c>
      <c r="E66" s="403" t="e">
        <f>+VLOOKUP(B66,#REF!,3,FALSE())</f>
        <v>#REF!</v>
      </c>
      <c r="F66" s="404" t="e">
        <f t="shared" si="4"/>
        <v>#REF!</v>
      </c>
    </row>
    <row r="67" spans="1:6" x14ac:dyDescent="0.25">
      <c r="A67" s="387">
        <v>2.0099999999999998</v>
      </c>
      <c r="B67" s="357" t="s">
        <v>177</v>
      </c>
      <c r="C67" s="388" t="s">
        <v>129</v>
      </c>
      <c r="D67" s="388">
        <v>0</v>
      </c>
      <c r="E67" s="403" t="e">
        <f>+VLOOKUP(B67,#REF!,3,FALSE())</f>
        <v>#REF!</v>
      </c>
      <c r="F67" s="404" t="e">
        <f t="shared" si="4"/>
        <v>#REF!</v>
      </c>
    </row>
    <row r="68" spans="1:6" x14ac:dyDescent="0.25">
      <c r="A68" s="387">
        <v>2.0299999999999998</v>
      </c>
      <c r="B68" s="357" t="s">
        <v>179</v>
      </c>
      <c r="C68" s="429" t="s">
        <v>129</v>
      </c>
      <c r="D68" s="429">
        <v>5</v>
      </c>
      <c r="E68" s="403" t="e">
        <f>+VLOOKUP(B68,#REF!,3,FALSE())</f>
        <v>#REF!</v>
      </c>
      <c r="F68" s="404" t="e">
        <f t="shared" si="4"/>
        <v>#REF!</v>
      </c>
    </row>
    <row r="69" spans="1:6" x14ac:dyDescent="0.25">
      <c r="A69" s="387">
        <v>2.1</v>
      </c>
      <c r="B69" s="357" t="s">
        <v>208</v>
      </c>
      <c r="C69" s="429" t="s">
        <v>129</v>
      </c>
      <c r="D69" s="429">
        <v>55</v>
      </c>
      <c r="E69" s="403" t="e">
        <f>+VLOOKUP(B69,#REF!,3,FALSE())</f>
        <v>#REF!</v>
      </c>
      <c r="F69" s="404" t="e">
        <f t="shared" si="4"/>
        <v>#REF!</v>
      </c>
    </row>
    <row r="70" spans="1:6" x14ac:dyDescent="0.25">
      <c r="A70" s="387">
        <v>2.13</v>
      </c>
      <c r="B70" s="357" t="s">
        <v>195</v>
      </c>
      <c r="C70" s="429" t="s">
        <v>76</v>
      </c>
      <c r="D70" s="429">
        <v>75</v>
      </c>
      <c r="E70" s="403" t="e">
        <f>+VLOOKUP(B70,#REF!,3,FALSE())</f>
        <v>#REF!</v>
      </c>
      <c r="F70" s="404" t="e">
        <f t="shared" si="4"/>
        <v>#REF!</v>
      </c>
    </row>
    <row r="71" spans="1:6" x14ac:dyDescent="0.25">
      <c r="A71" s="387">
        <v>4.01</v>
      </c>
      <c r="B71" s="357" t="s">
        <v>181</v>
      </c>
      <c r="C71" s="429" t="s">
        <v>96</v>
      </c>
      <c r="D71" s="430">
        <v>4700</v>
      </c>
      <c r="E71" s="403" t="e">
        <f>+VLOOKUP(B71,#REF!,3,FALSE())</f>
        <v>#REF!</v>
      </c>
      <c r="F71" s="404" t="e">
        <f t="shared" si="4"/>
        <v>#REF!</v>
      </c>
    </row>
    <row r="72" spans="1:6" x14ac:dyDescent="0.25">
      <c r="A72" s="405">
        <v>6</v>
      </c>
      <c r="B72" s="400" t="s">
        <v>239</v>
      </c>
      <c r="C72" s="400"/>
      <c r="D72" s="400"/>
      <c r="E72" s="400"/>
      <c r="F72" s="402"/>
    </row>
    <row r="73" spans="1:6" x14ac:dyDescent="0.25">
      <c r="A73" s="387">
        <v>2.0099999999999998</v>
      </c>
      <c r="B73" s="357" t="s">
        <v>176</v>
      </c>
      <c r="C73" s="429" t="s">
        <v>129</v>
      </c>
      <c r="D73" s="429">
        <v>6</v>
      </c>
      <c r="E73" s="403" t="e">
        <f>+VLOOKUP(B73,#REF!,3,FALSE())</f>
        <v>#REF!</v>
      </c>
      <c r="F73" s="404" t="e">
        <f>+D73*E73</f>
        <v>#REF!</v>
      </c>
    </row>
    <row r="74" spans="1:6" x14ac:dyDescent="0.25">
      <c r="A74" s="387">
        <v>2.0299999999999998</v>
      </c>
      <c r="B74" s="357" t="s">
        <v>179</v>
      </c>
      <c r="C74" s="429" t="s">
        <v>129</v>
      </c>
      <c r="D74" s="429">
        <v>1</v>
      </c>
      <c r="E74" s="403" t="e">
        <f>+VLOOKUP(B74,#REF!,3,FALSE())</f>
        <v>#REF!</v>
      </c>
      <c r="F74" s="404" t="e">
        <f>+D74*E74</f>
        <v>#REF!</v>
      </c>
    </row>
    <row r="75" spans="1:6" x14ac:dyDescent="0.25">
      <c r="A75" s="387">
        <v>2.1</v>
      </c>
      <c r="B75" s="357" t="s">
        <v>208</v>
      </c>
      <c r="C75" s="429" t="s">
        <v>129</v>
      </c>
      <c r="D75" s="429">
        <v>6</v>
      </c>
      <c r="E75" s="403" t="e">
        <f>+VLOOKUP(B75,#REF!,3,FALSE())</f>
        <v>#REF!</v>
      </c>
      <c r="F75" s="404" t="e">
        <f>+D75*E75</f>
        <v>#REF!</v>
      </c>
    </row>
    <row r="76" spans="1:6" x14ac:dyDescent="0.25">
      <c r="A76" s="387">
        <v>2.13</v>
      </c>
      <c r="B76" s="357" t="s">
        <v>195</v>
      </c>
      <c r="C76" s="429" t="s">
        <v>76</v>
      </c>
      <c r="D76" s="429">
        <v>45</v>
      </c>
      <c r="E76" s="403" t="e">
        <f>+VLOOKUP(B76,#REF!,3,FALSE())</f>
        <v>#REF!</v>
      </c>
      <c r="F76" s="404" t="e">
        <f>+D76*E76</f>
        <v>#REF!</v>
      </c>
    </row>
    <row r="77" spans="1:6" x14ac:dyDescent="0.25">
      <c r="A77" s="387">
        <v>4.01</v>
      </c>
      <c r="B77" s="357" t="s">
        <v>181</v>
      </c>
      <c r="C77" s="429" t="s">
        <v>96</v>
      </c>
      <c r="D77" s="429">
        <v>516</v>
      </c>
      <c r="E77" s="403" t="e">
        <f>+VLOOKUP(B77,#REF!,3,FALSE())</f>
        <v>#REF!</v>
      </c>
      <c r="F77" s="404" t="e">
        <f>+D77*E77</f>
        <v>#REF!</v>
      </c>
    </row>
    <row r="78" spans="1:6" x14ac:dyDescent="0.25">
      <c r="A78" s="405">
        <v>7</v>
      </c>
      <c r="B78" s="400" t="s">
        <v>240</v>
      </c>
      <c r="C78" s="400"/>
      <c r="D78" s="400"/>
      <c r="E78" s="400"/>
      <c r="F78" s="402"/>
    </row>
    <row r="79" spans="1:6" x14ac:dyDescent="0.25">
      <c r="A79" s="387">
        <v>2.0099999999999998</v>
      </c>
      <c r="B79" s="357" t="s">
        <v>176</v>
      </c>
      <c r="C79" s="429" t="s">
        <v>129</v>
      </c>
      <c r="D79" s="429">
        <v>35</v>
      </c>
      <c r="E79" s="403" t="e">
        <f>+VLOOKUP(B79,#REF!,3,FALSE())</f>
        <v>#REF!</v>
      </c>
      <c r="F79" s="404" t="e">
        <f t="shared" ref="F79:F85" si="5">+D79*E79</f>
        <v>#REF!</v>
      </c>
    </row>
    <row r="80" spans="1:6" x14ac:dyDescent="0.25">
      <c r="A80" s="387">
        <v>2.0299999999999998</v>
      </c>
      <c r="B80" s="357" t="s">
        <v>179</v>
      </c>
      <c r="C80" s="429" t="s">
        <v>129</v>
      </c>
      <c r="D80" s="429">
        <v>6</v>
      </c>
      <c r="E80" s="403" t="e">
        <f>+VLOOKUP(B80,#REF!,3,FALSE())</f>
        <v>#REF!</v>
      </c>
      <c r="F80" s="404" t="e">
        <f t="shared" si="5"/>
        <v>#REF!</v>
      </c>
    </row>
    <row r="81" spans="1:6" x14ac:dyDescent="0.25">
      <c r="A81" s="387">
        <v>2.0499999999999998</v>
      </c>
      <c r="B81" s="357" t="s">
        <v>201</v>
      </c>
      <c r="C81" s="429" t="s">
        <v>129</v>
      </c>
      <c r="D81" s="429">
        <v>22</v>
      </c>
      <c r="E81" s="403" t="e">
        <f>+VLOOKUP(B81,#REF!,3,FALSE())</f>
        <v>#REF!</v>
      </c>
      <c r="F81" s="404" t="e">
        <f t="shared" si="5"/>
        <v>#REF!</v>
      </c>
    </row>
    <row r="82" spans="1:6" x14ac:dyDescent="0.25">
      <c r="A82" s="387">
        <v>2.0699999999999998</v>
      </c>
      <c r="B82" s="357" t="s">
        <v>204</v>
      </c>
      <c r="C82" s="429" t="s">
        <v>129</v>
      </c>
      <c r="D82" s="429">
        <v>20</v>
      </c>
      <c r="E82" s="403" t="e">
        <f>+VLOOKUP(B82,#REF!,3,FALSE())</f>
        <v>#REF!</v>
      </c>
      <c r="F82" s="404" t="e">
        <f t="shared" si="5"/>
        <v>#REF!</v>
      </c>
    </row>
    <row r="83" spans="1:6" x14ac:dyDescent="0.25">
      <c r="A83" s="387">
        <v>2.1</v>
      </c>
      <c r="B83" s="357" t="s">
        <v>208</v>
      </c>
      <c r="C83" s="429" t="s">
        <v>129</v>
      </c>
      <c r="D83" s="429">
        <v>35</v>
      </c>
      <c r="E83" s="403" t="e">
        <f>+VLOOKUP(B83,#REF!,3,FALSE())</f>
        <v>#REF!</v>
      </c>
      <c r="F83" s="404" t="e">
        <f t="shared" si="5"/>
        <v>#REF!</v>
      </c>
    </row>
    <row r="84" spans="1:6" x14ac:dyDescent="0.25">
      <c r="A84" s="387">
        <v>2.13</v>
      </c>
      <c r="B84" s="357" t="s">
        <v>195</v>
      </c>
      <c r="C84" s="429" t="s">
        <v>76</v>
      </c>
      <c r="D84" s="429">
        <v>70</v>
      </c>
      <c r="E84" s="403" t="e">
        <f>+VLOOKUP(B84,#REF!,3,FALSE())</f>
        <v>#REF!</v>
      </c>
      <c r="F84" s="404" t="e">
        <f t="shared" si="5"/>
        <v>#REF!</v>
      </c>
    </row>
    <row r="85" spans="1:6" x14ac:dyDescent="0.25">
      <c r="A85" s="387">
        <v>4.01</v>
      </c>
      <c r="B85" s="357" t="s">
        <v>181</v>
      </c>
      <c r="C85" s="429" t="s">
        <v>96</v>
      </c>
      <c r="D85" s="429">
        <v>3000</v>
      </c>
      <c r="E85" s="403" t="e">
        <f>+VLOOKUP(B85,#REF!,3,FALSE())</f>
        <v>#REF!</v>
      </c>
      <c r="F85" s="404" t="e">
        <f t="shared" si="5"/>
        <v>#REF!</v>
      </c>
    </row>
    <row r="86" spans="1:6" x14ac:dyDescent="0.25">
      <c r="A86" s="413"/>
      <c r="B86" s="414"/>
      <c r="C86" s="414"/>
      <c r="D86" s="414"/>
      <c r="E86" s="414"/>
      <c r="F86" s="415"/>
    </row>
    <row r="88" spans="1:6" ht="15.75" x14ac:dyDescent="0.25">
      <c r="B88" s="364" t="s">
        <v>156</v>
      </c>
      <c r="F88" s="431" t="e">
        <f>SUM(F4:F87)</f>
        <v>#REF!</v>
      </c>
    </row>
    <row r="89" spans="1:6" x14ac:dyDescent="0.25">
      <c r="B89" t="s">
        <v>157</v>
      </c>
      <c r="C89" s="368">
        <v>0.23</v>
      </c>
      <c r="F89" s="432" t="e">
        <f>+$F$88*C89</f>
        <v>#REF!</v>
      </c>
    </row>
    <row r="90" spans="1:6" x14ac:dyDescent="0.25">
      <c r="B90" t="s">
        <v>158</v>
      </c>
      <c r="C90" s="368">
        <v>0.02</v>
      </c>
      <c r="F90" s="432" t="e">
        <f>+$F$88*C90</f>
        <v>#REF!</v>
      </c>
    </row>
    <row r="91" spans="1:6" x14ac:dyDescent="0.25">
      <c r="B91" t="s">
        <v>66</v>
      </c>
      <c r="C91" s="368">
        <v>0.05</v>
      </c>
      <c r="F91" s="432" t="e">
        <f>+$F$88*C91</f>
        <v>#REF!</v>
      </c>
    </row>
    <row r="92" spans="1:6" x14ac:dyDescent="0.25">
      <c r="B92" t="s">
        <v>159</v>
      </c>
      <c r="C92" s="420">
        <v>0.16</v>
      </c>
      <c r="F92" s="432" t="e">
        <f>+F91*C92</f>
        <v>#REF!</v>
      </c>
    </row>
    <row r="93" spans="1:6" ht="18.75" x14ac:dyDescent="0.3">
      <c r="B93" s="433" t="s">
        <v>38</v>
      </c>
      <c r="F93" s="434" t="e">
        <f>SUM(F88:F92)</f>
        <v>#REF!</v>
      </c>
    </row>
    <row r="98" spans="2:4" x14ac:dyDescent="0.25">
      <c r="B98" s="426"/>
      <c r="D98">
        <f>SUM(D5:D85)</f>
        <v>21540.1</v>
      </c>
    </row>
    <row r="99" spans="2:4" x14ac:dyDescent="0.25">
      <c r="B99" s="426"/>
    </row>
    <row r="100" spans="2:4" x14ac:dyDescent="0.25">
      <c r="B100" s="426"/>
    </row>
    <row r="101" spans="2:4" x14ac:dyDescent="0.25">
      <c r="B101" s="426"/>
    </row>
    <row r="102" spans="2:4" x14ac:dyDescent="0.25">
      <c r="B102" s="426"/>
    </row>
    <row r="103" spans="2:4" x14ac:dyDescent="0.25">
      <c r="B103" s="426"/>
    </row>
    <row r="104" spans="2:4" x14ac:dyDescent="0.25">
      <c r="B104" s="426"/>
    </row>
    <row r="105" spans="2:4" x14ac:dyDescent="0.25">
      <c r="B105" s="426"/>
    </row>
    <row r="106" spans="2:4" x14ac:dyDescent="0.25">
      <c r="B106" s="426"/>
    </row>
    <row r="107" spans="2:4" x14ac:dyDescent="0.25">
      <c r="B107" s="426"/>
    </row>
    <row r="108" spans="2:4" x14ac:dyDescent="0.25">
      <c r="B108" s="426"/>
    </row>
    <row r="109" spans="2:4" x14ac:dyDescent="0.25">
      <c r="B109" s="426"/>
    </row>
    <row r="110" spans="2:4" x14ac:dyDescent="0.25">
      <c r="B110" s="426"/>
    </row>
    <row r="111" spans="2:4" x14ac:dyDescent="0.25">
      <c r="B111" s="426"/>
    </row>
    <row r="112" spans="2:4" x14ac:dyDescent="0.25">
      <c r="B112" s="426"/>
    </row>
    <row r="113" spans="2:2" x14ac:dyDescent="0.25">
      <c r="B113" s="426"/>
    </row>
    <row r="114" spans="2:2" x14ac:dyDescent="0.25">
      <c r="B114" s="426"/>
    </row>
    <row r="115" spans="2:2" x14ac:dyDescent="0.25">
      <c r="B115" s="426"/>
    </row>
    <row r="116" spans="2:2" x14ac:dyDescent="0.25">
      <c r="B116" s="426"/>
    </row>
    <row r="117" spans="2:2" x14ac:dyDescent="0.25">
      <c r="B117" s="426"/>
    </row>
    <row r="118" spans="2:2" x14ac:dyDescent="0.25">
      <c r="B118" s="426"/>
    </row>
    <row r="119" spans="2:2" x14ac:dyDescent="0.25">
      <c r="B119" s="426"/>
    </row>
    <row r="120" spans="2:2" x14ac:dyDescent="0.25">
      <c r="B120" s="426"/>
    </row>
    <row r="121" spans="2:2" x14ac:dyDescent="0.25">
      <c r="B121" s="426"/>
    </row>
    <row r="122" spans="2:2" x14ac:dyDescent="0.25">
      <c r="B122" s="426"/>
    </row>
    <row r="123" spans="2:2" x14ac:dyDescent="0.25">
      <c r="B123" s="426"/>
    </row>
    <row r="124" spans="2:2" x14ac:dyDescent="0.25">
      <c r="B124" s="426"/>
    </row>
    <row r="125" spans="2:2" x14ac:dyDescent="0.25">
      <c r="B125" s="426"/>
    </row>
    <row r="126" spans="2:2" x14ac:dyDescent="0.25">
      <c r="B126" s="426"/>
    </row>
    <row r="127" spans="2:2" x14ac:dyDescent="0.25">
      <c r="B127" s="426"/>
    </row>
    <row r="128" spans="2:2" x14ac:dyDescent="0.25">
      <c r="B128" s="426"/>
    </row>
    <row r="129" spans="2:4" x14ac:dyDescent="0.25">
      <c r="B129" s="426"/>
    </row>
    <row r="130" spans="2:4" x14ac:dyDescent="0.25">
      <c r="B130" s="426"/>
    </row>
    <row r="131" spans="2:4" x14ac:dyDescent="0.25">
      <c r="B131" s="426"/>
    </row>
    <row r="132" spans="2:4" x14ac:dyDescent="0.25">
      <c r="B132" s="426"/>
    </row>
    <row r="133" spans="2:4" x14ac:dyDescent="0.25">
      <c r="B133" s="426"/>
    </row>
    <row r="134" spans="2:4" x14ac:dyDescent="0.25">
      <c r="B134" s="426"/>
    </row>
    <row r="135" spans="2:4" x14ac:dyDescent="0.25">
      <c r="B135" s="426"/>
    </row>
    <row r="136" spans="2:4" x14ac:dyDescent="0.25">
      <c r="B136" s="426"/>
      <c r="D136" s="426"/>
    </row>
    <row r="137" spans="2:4" x14ac:dyDescent="0.25">
      <c r="B137" s="426"/>
      <c r="D137" s="426"/>
    </row>
    <row r="138" spans="2:4" x14ac:dyDescent="0.25">
      <c r="B138" s="426"/>
      <c r="D138" s="426"/>
    </row>
    <row r="139" spans="2:4" x14ac:dyDescent="0.25">
      <c r="B139" s="426"/>
      <c r="D139" s="426"/>
    </row>
    <row r="140" spans="2:4" x14ac:dyDescent="0.25">
      <c r="B140" s="426"/>
      <c r="D140" s="426"/>
    </row>
    <row r="141" spans="2:4" x14ac:dyDescent="0.25">
      <c r="B141" s="426"/>
      <c r="D141" s="426"/>
    </row>
    <row r="142" spans="2:4" x14ac:dyDescent="0.25">
      <c r="B142" s="426"/>
      <c r="D142" s="426"/>
    </row>
    <row r="143" spans="2:4" x14ac:dyDescent="0.25">
      <c r="B143" s="426"/>
      <c r="D143" s="426"/>
    </row>
    <row r="144" spans="2:4" x14ac:dyDescent="0.25">
      <c r="B144" s="426"/>
      <c r="D144" s="426"/>
    </row>
    <row r="145" spans="2:4" x14ac:dyDescent="0.25">
      <c r="B145" s="426"/>
      <c r="D145" s="426"/>
    </row>
    <row r="146" spans="2:4" x14ac:dyDescent="0.25">
      <c r="B146" s="426"/>
      <c r="D146" s="426"/>
    </row>
    <row r="147" spans="2:4" x14ac:dyDescent="0.25">
      <c r="B147" s="426"/>
      <c r="D147" s="426"/>
    </row>
    <row r="148" spans="2:4" x14ac:dyDescent="0.25">
      <c r="B148" s="426"/>
      <c r="D148" s="426"/>
    </row>
    <row r="149" spans="2:4" x14ac:dyDescent="0.25">
      <c r="B149" s="426"/>
      <c r="D149" s="426"/>
    </row>
  </sheetData>
  <mergeCells count="3">
    <mergeCell ref="A1:B2"/>
    <mergeCell ref="C1:F1"/>
    <mergeCell ref="C2:F2"/>
  </mergeCells>
  <pageMargins left="0.7" right="0.7" top="0.75" bottom="0.75" header="0.511811023622047" footer="0.511811023622047"/>
  <pageSetup orientation="portrait" horizontalDpi="300" verticalDpi="3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80"/>
  <sheetViews>
    <sheetView zoomScale="95" zoomScaleNormal="95" workbookViewId="0">
      <pane ySplit="3" topLeftCell="A4" activePane="bottomLeft" state="frozen"/>
      <selection pane="bottomLeft" activeCell="F23" sqref="F23"/>
    </sheetView>
  </sheetViews>
  <sheetFormatPr baseColWidth="10" defaultColWidth="11" defaultRowHeight="15" x14ac:dyDescent="0.25"/>
  <cols>
    <col min="2" max="2" width="46" customWidth="1"/>
    <col min="5" max="5" width="12" customWidth="1"/>
    <col min="6" max="6" width="21.42578125" customWidth="1"/>
  </cols>
  <sheetData>
    <row r="1" spans="1:6" ht="75" customHeight="1" x14ac:dyDescent="0.25">
      <c r="A1" s="681"/>
      <c r="B1" s="681"/>
      <c r="C1" s="678" t="s">
        <v>165</v>
      </c>
      <c r="D1" s="678"/>
      <c r="E1" s="678"/>
      <c r="F1" s="678"/>
    </row>
    <row r="2" spans="1:6" ht="17.25" customHeight="1" x14ac:dyDescent="0.25">
      <c r="A2" s="681"/>
      <c r="B2" s="681"/>
      <c r="C2" s="682" t="s">
        <v>241</v>
      </c>
      <c r="D2" s="682"/>
      <c r="E2" s="682"/>
      <c r="F2" s="682"/>
    </row>
    <row r="3" spans="1:6" ht="18" customHeight="1" x14ac:dyDescent="0.25">
      <c r="A3" s="399" t="s">
        <v>143</v>
      </c>
      <c r="B3" s="427" t="s">
        <v>214</v>
      </c>
      <c r="C3" s="427" t="s">
        <v>215</v>
      </c>
      <c r="D3" s="427" t="s">
        <v>169</v>
      </c>
      <c r="E3" s="427" t="s">
        <v>216</v>
      </c>
      <c r="F3" s="428" t="s">
        <v>171</v>
      </c>
    </row>
    <row r="4" spans="1:6" x14ac:dyDescent="0.25">
      <c r="A4" s="405"/>
      <c r="B4" s="400" t="s">
        <v>242</v>
      </c>
      <c r="C4" s="400"/>
      <c r="D4" s="400"/>
      <c r="E4" s="401"/>
      <c r="F4" s="402"/>
    </row>
    <row r="5" spans="1:6" x14ac:dyDescent="0.25">
      <c r="A5" s="387"/>
      <c r="B5" s="429" t="s">
        <v>175</v>
      </c>
      <c r="C5" s="388"/>
      <c r="D5" s="388">
        <v>105</v>
      </c>
      <c r="E5" s="403" t="e">
        <f>+VLOOKUP(B5,#REF!,3,FALSE())</f>
        <v>#REF!</v>
      </c>
      <c r="F5" s="404" t="e">
        <f t="shared" ref="F5:F16" si="0">+D5*E5</f>
        <v>#REF!</v>
      </c>
    </row>
    <row r="6" spans="1:6" x14ac:dyDescent="0.25">
      <c r="A6" s="387"/>
      <c r="B6" s="357" t="s">
        <v>176</v>
      </c>
      <c r="C6" s="388"/>
      <c r="D6" s="388">
        <v>20</v>
      </c>
      <c r="E6" s="403" t="e">
        <f>+VLOOKUP(B6,#REF!,3,FALSE())</f>
        <v>#REF!</v>
      </c>
      <c r="F6" s="404" t="e">
        <f t="shared" si="0"/>
        <v>#REF!</v>
      </c>
    </row>
    <row r="7" spans="1:6" x14ac:dyDescent="0.25">
      <c r="A7" s="387"/>
      <c r="B7" s="429" t="s">
        <v>193</v>
      </c>
      <c r="C7" s="388"/>
      <c r="D7" s="388">
        <v>105</v>
      </c>
      <c r="E7" s="403" t="e">
        <f>+VLOOKUP(B7,#REF!,3,FALSE())</f>
        <v>#REF!</v>
      </c>
      <c r="F7" s="404" t="e">
        <f t="shared" si="0"/>
        <v>#REF!</v>
      </c>
    </row>
    <row r="8" spans="1:6" x14ac:dyDescent="0.25">
      <c r="A8" s="387"/>
      <c r="B8" s="357" t="s">
        <v>179</v>
      </c>
      <c r="C8" s="388"/>
      <c r="D8" s="388">
        <v>7</v>
      </c>
      <c r="E8" s="403" t="e">
        <f>+VLOOKUP(B8,#REF!,3,FALSE())</f>
        <v>#REF!</v>
      </c>
      <c r="F8" s="404" t="e">
        <f t="shared" si="0"/>
        <v>#REF!</v>
      </c>
    </row>
    <row r="9" spans="1:6" x14ac:dyDescent="0.25">
      <c r="A9" s="387"/>
      <c r="B9" s="357" t="s">
        <v>201</v>
      </c>
      <c r="C9" s="388"/>
      <c r="D9" s="388">
        <v>19</v>
      </c>
      <c r="E9" s="403" t="e">
        <f>+VLOOKUP(B9,#REF!,3,FALSE())</f>
        <v>#REF!</v>
      </c>
      <c r="F9" s="404" t="e">
        <f t="shared" si="0"/>
        <v>#REF!</v>
      </c>
    </row>
    <row r="10" spans="1:6" x14ac:dyDescent="0.25">
      <c r="A10" s="387"/>
      <c r="B10" s="357" t="s">
        <v>204</v>
      </c>
      <c r="C10" s="388"/>
      <c r="D10" s="388">
        <v>32</v>
      </c>
      <c r="E10" s="403" t="e">
        <f>+VLOOKUP(B10,#REF!,3,FALSE())</f>
        <v>#REF!</v>
      </c>
      <c r="F10" s="404" t="e">
        <f t="shared" si="0"/>
        <v>#REF!</v>
      </c>
    </row>
    <row r="11" spans="1:6" x14ac:dyDescent="0.25">
      <c r="A11" s="387"/>
      <c r="B11" s="357" t="s">
        <v>218</v>
      </c>
      <c r="C11" s="388"/>
      <c r="D11" s="388">
        <v>1</v>
      </c>
      <c r="E11" s="403" t="e">
        <f>+VLOOKUP(B11,#REF!,3,FALSE())</f>
        <v>#REF!</v>
      </c>
      <c r="F11" s="404" t="e">
        <f t="shared" si="0"/>
        <v>#REF!</v>
      </c>
    </row>
    <row r="12" spans="1:6" x14ac:dyDescent="0.25">
      <c r="A12" s="387"/>
      <c r="B12" s="357" t="s">
        <v>194</v>
      </c>
      <c r="C12" s="388"/>
      <c r="D12" s="388">
        <v>4</v>
      </c>
      <c r="E12" s="403" t="e">
        <f>+VLOOKUP(B12,#REF!,3,FALSE())</f>
        <v>#REF!</v>
      </c>
      <c r="F12" s="404" t="e">
        <f t="shared" si="0"/>
        <v>#REF!</v>
      </c>
    </row>
    <row r="13" spans="1:6" x14ac:dyDescent="0.25">
      <c r="A13" s="387"/>
      <c r="B13" s="357" t="s">
        <v>205</v>
      </c>
      <c r="C13" s="388"/>
      <c r="D13" s="388">
        <v>162</v>
      </c>
      <c r="E13" s="403" t="e">
        <f>+VLOOKUP(B13,#REF!,3,FALSE())</f>
        <v>#REF!</v>
      </c>
      <c r="F13" s="404" t="e">
        <f t="shared" si="0"/>
        <v>#REF!</v>
      </c>
    </row>
    <row r="14" spans="1:6" x14ac:dyDescent="0.25">
      <c r="A14" s="387"/>
      <c r="B14" s="357" t="s">
        <v>181</v>
      </c>
      <c r="C14" s="388"/>
      <c r="D14" s="388">
        <v>5600</v>
      </c>
      <c r="E14" s="403" t="e">
        <f>+VLOOKUP(B14,#REF!,3,FALSE())</f>
        <v>#REF!</v>
      </c>
      <c r="F14" s="404" t="e">
        <f t="shared" si="0"/>
        <v>#REF!</v>
      </c>
    </row>
    <row r="15" spans="1:6" x14ac:dyDescent="0.25">
      <c r="A15" s="387"/>
      <c r="B15" s="357" t="s">
        <v>196</v>
      </c>
      <c r="C15" s="388"/>
      <c r="D15" s="388">
        <v>200</v>
      </c>
      <c r="E15" s="403" t="e">
        <f>+VLOOKUP(B15,#REF!,3,FALSE())</f>
        <v>#REF!</v>
      </c>
      <c r="F15" s="404" t="e">
        <f t="shared" si="0"/>
        <v>#REF!</v>
      </c>
    </row>
    <row r="16" spans="1:6" x14ac:dyDescent="0.25">
      <c r="A16" s="387"/>
      <c r="B16" s="357" t="s">
        <v>209</v>
      </c>
      <c r="C16" s="388"/>
      <c r="D16" s="388">
        <v>4000</v>
      </c>
      <c r="E16" s="403" t="e">
        <f>+VLOOKUP(B16,#REF!,3,FALSE())</f>
        <v>#REF!</v>
      </c>
      <c r="F16" s="404" t="e">
        <f t="shared" si="0"/>
        <v>#REF!</v>
      </c>
    </row>
    <row r="17" spans="1:6" x14ac:dyDescent="0.25">
      <c r="A17" s="413"/>
      <c r="B17" s="414"/>
      <c r="C17" s="414"/>
      <c r="D17" s="414"/>
      <c r="E17" s="414"/>
      <c r="F17" s="415"/>
    </row>
    <row r="19" spans="1:6" ht="15.75" x14ac:dyDescent="0.25">
      <c r="A19" s="416"/>
      <c r="B19" s="390" t="s">
        <v>156</v>
      </c>
      <c r="C19" s="417"/>
      <c r="D19" s="417"/>
      <c r="E19" s="417"/>
      <c r="F19" s="418" t="e">
        <f>ROUND(SUM(F5:F17),0)</f>
        <v>#REF!</v>
      </c>
    </row>
    <row r="20" spans="1:6" x14ac:dyDescent="0.25">
      <c r="A20" s="419"/>
      <c r="B20" t="s">
        <v>157</v>
      </c>
      <c r="C20" s="368">
        <v>0.23</v>
      </c>
      <c r="F20" s="421" t="e">
        <f>ROUND($F$19*C20,0)</f>
        <v>#REF!</v>
      </c>
    </row>
    <row r="21" spans="1:6" x14ac:dyDescent="0.25">
      <c r="A21" s="419"/>
      <c r="B21" t="s">
        <v>158</v>
      </c>
      <c r="C21" s="368">
        <v>0.02</v>
      </c>
      <c r="F21" s="421" t="e">
        <f>ROUND($F$19*C21,0)</f>
        <v>#REF!</v>
      </c>
    </row>
    <row r="22" spans="1:6" x14ac:dyDescent="0.25">
      <c r="A22" s="419"/>
      <c r="B22" t="s">
        <v>66</v>
      </c>
      <c r="C22" s="368">
        <v>0.05</v>
      </c>
      <c r="F22" s="421" t="e">
        <f>ROUND($F$19*C22,0)</f>
        <v>#REF!</v>
      </c>
    </row>
    <row r="23" spans="1:6" x14ac:dyDescent="0.25">
      <c r="A23" s="419"/>
      <c r="B23" t="s">
        <v>159</v>
      </c>
      <c r="C23" s="435">
        <v>0.16</v>
      </c>
      <c r="F23" s="421" t="e">
        <f>ROUND(F22*C23,0)</f>
        <v>#REF!</v>
      </c>
    </row>
    <row r="24" spans="1:6" ht="18.75" x14ac:dyDescent="0.3">
      <c r="A24" s="422"/>
      <c r="B24" s="423" t="s">
        <v>38</v>
      </c>
      <c r="C24" s="424"/>
      <c r="D24" s="424"/>
      <c r="E24" s="424"/>
      <c r="F24" s="425" t="e">
        <f>SUM(F19:F23)</f>
        <v>#REF!</v>
      </c>
    </row>
    <row r="29" spans="1:6" x14ac:dyDescent="0.25">
      <c r="B29" s="426"/>
    </row>
    <row r="30" spans="1:6" x14ac:dyDescent="0.25">
      <c r="B30" s="426"/>
    </row>
    <row r="31" spans="1:6" x14ac:dyDescent="0.25">
      <c r="B31" s="426"/>
    </row>
    <row r="32" spans="1:6" x14ac:dyDescent="0.25">
      <c r="B32" s="426"/>
    </row>
    <row r="33" spans="2:2" x14ac:dyDescent="0.25">
      <c r="B33" s="426"/>
    </row>
    <row r="34" spans="2:2" x14ac:dyDescent="0.25">
      <c r="B34" s="426"/>
    </row>
    <row r="35" spans="2:2" x14ac:dyDescent="0.25">
      <c r="B35" s="426"/>
    </row>
    <row r="36" spans="2:2" x14ac:dyDescent="0.25">
      <c r="B36" s="426"/>
    </row>
    <row r="37" spans="2:2" x14ac:dyDescent="0.25">
      <c r="B37" s="426"/>
    </row>
    <row r="38" spans="2:2" x14ac:dyDescent="0.25">
      <c r="B38" s="426"/>
    </row>
    <row r="39" spans="2:2" x14ac:dyDescent="0.25">
      <c r="B39" s="426"/>
    </row>
    <row r="40" spans="2:2" x14ac:dyDescent="0.25">
      <c r="B40" s="426"/>
    </row>
    <row r="41" spans="2:2" x14ac:dyDescent="0.25">
      <c r="B41" s="426"/>
    </row>
    <row r="42" spans="2:2" x14ac:dyDescent="0.25">
      <c r="B42" s="426"/>
    </row>
    <row r="43" spans="2:2" x14ac:dyDescent="0.25">
      <c r="B43" s="426"/>
    </row>
    <row r="44" spans="2:2" x14ac:dyDescent="0.25">
      <c r="B44" s="426"/>
    </row>
    <row r="45" spans="2:2" x14ac:dyDescent="0.25">
      <c r="B45" s="426"/>
    </row>
    <row r="46" spans="2:2" x14ac:dyDescent="0.25">
      <c r="B46" s="426"/>
    </row>
    <row r="47" spans="2:2" x14ac:dyDescent="0.25">
      <c r="B47" s="426"/>
    </row>
    <row r="48" spans="2:2" x14ac:dyDescent="0.25">
      <c r="B48" s="426"/>
    </row>
    <row r="49" spans="2:2" x14ac:dyDescent="0.25">
      <c r="B49" s="426"/>
    </row>
    <row r="50" spans="2:2" x14ac:dyDescent="0.25">
      <c r="B50" s="426"/>
    </row>
    <row r="51" spans="2:2" x14ac:dyDescent="0.25">
      <c r="B51" s="426"/>
    </row>
    <row r="52" spans="2:2" x14ac:dyDescent="0.25">
      <c r="B52" s="426"/>
    </row>
    <row r="53" spans="2:2" x14ac:dyDescent="0.25">
      <c r="B53" s="426"/>
    </row>
    <row r="54" spans="2:2" x14ac:dyDescent="0.25">
      <c r="B54" s="426"/>
    </row>
    <row r="55" spans="2:2" x14ac:dyDescent="0.25">
      <c r="B55" s="426"/>
    </row>
    <row r="56" spans="2:2" x14ac:dyDescent="0.25">
      <c r="B56" s="426"/>
    </row>
    <row r="57" spans="2:2" x14ac:dyDescent="0.25">
      <c r="B57" s="426"/>
    </row>
    <row r="58" spans="2:2" x14ac:dyDescent="0.25">
      <c r="B58" s="426"/>
    </row>
    <row r="59" spans="2:2" x14ac:dyDescent="0.25">
      <c r="B59" s="426"/>
    </row>
    <row r="60" spans="2:2" x14ac:dyDescent="0.25">
      <c r="B60" s="426"/>
    </row>
    <row r="61" spans="2:2" x14ac:dyDescent="0.25">
      <c r="B61" s="426"/>
    </row>
    <row r="62" spans="2:2" x14ac:dyDescent="0.25">
      <c r="B62" s="426"/>
    </row>
    <row r="63" spans="2:2" x14ac:dyDescent="0.25">
      <c r="B63" s="426"/>
    </row>
    <row r="64" spans="2:2" x14ac:dyDescent="0.25">
      <c r="B64" s="426"/>
    </row>
    <row r="65" spans="2:4" x14ac:dyDescent="0.25">
      <c r="B65" s="426"/>
    </row>
    <row r="66" spans="2:4" x14ac:dyDescent="0.25">
      <c r="B66" s="426"/>
    </row>
    <row r="67" spans="2:4" x14ac:dyDescent="0.25">
      <c r="B67" s="426"/>
      <c r="D67" s="426"/>
    </row>
    <row r="68" spans="2:4" x14ac:dyDescent="0.25">
      <c r="B68" s="426"/>
      <c r="D68" s="426"/>
    </row>
    <row r="69" spans="2:4" x14ac:dyDescent="0.25">
      <c r="B69" s="426"/>
      <c r="D69" s="426"/>
    </row>
    <row r="70" spans="2:4" x14ac:dyDescent="0.25">
      <c r="B70" s="426"/>
      <c r="D70" s="426"/>
    </row>
    <row r="71" spans="2:4" x14ac:dyDescent="0.25">
      <c r="B71" s="426"/>
      <c r="D71" s="426"/>
    </row>
    <row r="72" spans="2:4" x14ac:dyDescent="0.25">
      <c r="B72" s="426"/>
      <c r="D72" s="426"/>
    </row>
    <row r="73" spans="2:4" x14ac:dyDescent="0.25">
      <c r="B73" s="426"/>
      <c r="D73" s="426"/>
    </row>
    <row r="74" spans="2:4" x14ac:dyDescent="0.25">
      <c r="B74" s="426"/>
      <c r="D74" s="426"/>
    </row>
    <row r="75" spans="2:4" x14ac:dyDescent="0.25">
      <c r="B75" s="426"/>
      <c r="D75" s="426"/>
    </row>
    <row r="76" spans="2:4" x14ac:dyDescent="0.25">
      <c r="B76" s="426"/>
      <c r="D76" s="426"/>
    </row>
    <row r="77" spans="2:4" x14ac:dyDescent="0.25">
      <c r="B77" s="426"/>
      <c r="D77" s="426"/>
    </row>
    <row r="78" spans="2:4" x14ac:dyDescent="0.25">
      <c r="B78" s="426"/>
      <c r="D78" s="426"/>
    </row>
    <row r="79" spans="2:4" x14ac:dyDescent="0.25">
      <c r="B79" s="426"/>
      <c r="D79" s="426"/>
    </row>
    <row r="80" spans="2:4" x14ac:dyDescent="0.25">
      <c r="B80" s="426"/>
      <c r="D80" s="426"/>
    </row>
  </sheetData>
  <mergeCells count="3">
    <mergeCell ref="A1:B2"/>
    <mergeCell ref="C1:F1"/>
    <mergeCell ref="C2:F2"/>
  </mergeCells>
  <pageMargins left="0.7" right="0.7" top="0.75" bottom="0.75" header="0.511811023622047" footer="0.511811023622047"/>
  <pageSetup orientation="portrait" horizontalDpi="300" verticalDpi="30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6"/>
  <sheetViews>
    <sheetView zoomScale="95" zoomScaleNormal="95" workbookViewId="0">
      <pane ySplit="3" topLeftCell="A6" activePane="bottomLeft" state="frozen"/>
      <selection pane="bottomLeft" activeCell="F20" sqref="F20"/>
    </sheetView>
  </sheetViews>
  <sheetFormatPr baseColWidth="10" defaultColWidth="11" defaultRowHeight="15" x14ac:dyDescent="0.25"/>
  <cols>
    <col min="2" max="2" width="31.140625" customWidth="1"/>
    <col min="6" max="6" width="19.85546875" customWidth="1"/>
    <col min="9" max="9" width="14.140625" customWidth="1"/>
  </cols>
  <sheetData>
    <row r="1" spans="1:6" ht="75" customHeight="1" x14ac:dyDescent="0.25">
      <c r="A1" s="681"/>
      <c r="B1" s="681"/>
      <c r="C1" s="678" t="s">
        <v>165</v>
      </c>
      <c r="D1" s="678"/>
      <c r="E1" s="678"/>
      <c r="F1" s="678"/>
    </row>
    <row r="2" spans="1:6" ht="17.25" customHeight="1" x14ac:dyDescent="0.25">
      <c r="A2" s="681"/>
      <c r="B2" s="681"/>
      <c r="C2" s="682" t="s">
        <v>243</v>
      </c>
      <c r="D2" s="682"/>
      <c r="E2" s="682"/>
      <c r="F2" s="682"/>
    </row>
    <row r="3" spans="1:6" ht="18" customHeight="1" x14ac:dyDescent="0.25">
      <c r="A3" s="399" t="s">
        <v>143</v>
      </c>
      <c r="B3" s="427" t="s">
        <v>214</v>
      </c>
      <c r="C3" s="427" t="s">
        <v>215</v>
      </c>
      <c r="D3" s="427" t="s">
        <v>169</v>
      </c>
      <c r="E3" s="427" t="s">
        <v>216</v>
      </c>
      <c r="F3" s="428" t="s">
        <v>171</v>
      </c>
    </row>
    <row r="4" spans="1:6" x14ac:dyDescent="0.25">
      <c r="A4" s="387">
        <v>1.01</v>
      </c>
      <c r="B4" s="436" t="s">
        <v>175</v>
      </c>
      <c r="C4" s="437" t="e">
        <f>+VLOOKUP($B4,#REF!,2,FALSE())</f>
        <v>#REF!</v>
      </c>
      <c r="D4" s="436">
        <v>18</v>
      </c>
      <c r="E4" s="438" t="e">
        <f>+VLOOKUP(B4,#REF!,3,FALSE())</f>
        <v>#REF!</v>
      </c>
      <c r="F4" s="439" t="e">
        <f t="shared" ref="F4:F16" si="0">+D4*E4</f>
        <v>#REF!</v>
      </c>
    </row>
    <row r="5" spans="1:6" x14ac:dyDescent="0.25">
      <c r="A5" s="387">
        <v>1.02</v>
      </c>
      <c r="B5" s="429" t="s">
        <v>193</v>
      </c>
      <c r="C5" s="440" t="e">
        <f>+VLOOKUP($B5,#REF!,2,FALSE())</f>
        <v>#REF!</v>
      </c>
      <c r="D5" s="441">
        <v>18</v>
      </c>
      <c r="E5" s="403" t="e">
        <f>+VLOOKUP(B5,#REF!,3,FALSE())</f>
        <v>#REF!</v>
      </c>
      <c r="F5" s="404" t="e">
        <f t="shared" si="0"/>
        <v>#REF!</v>
      </c>
    </row>
    <row r="6" spans="1:6" x14ac:dyDescent="0.25">
      <c r="A6" s="387">
        <v>2.0099999999999998</v>
      </c>
      <c r="B6" s="357" t="s">
        <v>176</v>
      </c>
      <c r="C6" s="440" t="e">
        <f>+VLOOKUP($B6,#REF!,2,FALSE())</f>
        <v>#REF!</v>
      </c>
      <c r="D6" s="429">
        <v>7</v>
      </c>
      <c r="E6" s="403" t="e">
        <f>+VLOOKUP(B6,#REF!,3,FALSE())</f>
        <v>#REF!</v>
      </c>
      <c r="F6" s="404" t="e">
        <f t="shared" si="0"/>
        <v>#REF!</v>
      </c>
    </row>
    <row r="7" spans="1:6" x14ac:dyDescent="0.25">
      <c r="A7" s="387">
        <v>2.0299999999999998</v>
      </c>
      <c r="B7" s="357" t="s">
        <v>179</v>
      </c>
      <c r="C7" s="440" t="e">
        <f>+VLOOKUP($B7,#REF!,2,FALSE())</f>
        <v>#REF!</v>
      </c>
      <c r="D7" s="429">
        <v>2</v>
      </c>
      <c r="E7" s="403" t="e">
        <f>+VLOOKUP(B7,#REF!,3,FALSE())</f>
        <v>#REF!</v>
      </c>
      <c r="F7" s="404" t="e">
        <f t="shared" si="0"/>
        <v>#REF!</v>
      </c>
    </row>
    <row r="8" spans="1:6" x14ac:dyDescent="0.25">
      <c r="A8" s="387">
        <v>2.08</v>
      </c>
      <c r="B8" s="357" t="s">
        <v>221</v>
      </c>
      <c r="C8" s="440" t="e">
        <f>+VLOOKUP($B8,#REF!,2,FALSE())</f>
        <v>#REF!</v>
      </c>
      <c r="D8" s="429">
        <v>2</v>
      </c>
      <c r="E8" s="403" t="e">
        <f>+VLOOKUP(B8,#REF!,3,FALSE())</f>
        <v>#REF!</v>
      </c>
      <c r="F8" s="404" t="e">
        <f t="shared" si="0"/>
        <v>#REF!</v>
      </c>
    </row>
    <row r="9" spans="1:6" x14ac:dyDescent="0.25">
      <c r="A9" s="387">
        <v>2.09</v>
      </c>
      <c r="B9" s="357" t="s">
        <v>194</v>
      </c>
      <c r="C9" s="440" t="e">
        <f>+VLOOKUP($B9,#REF!,2,FALSE())</f>
        <v>#REF!</v>
      </c>
      <c r="D9" s="429">
        <v>5</v>
      </c>
      <c r="E9" s="403" t="e">
        <f>+VLOOKUP(B9,#REF!,3,FALSE())</f>
        <v>#REF!</v>
      </c>
      <c r="F9" s="404" t="e">
        <f t="shared" si="0"/>
        <v>#REF!</v>
      </c>
    </row>
    <row r="10" spans="1:6" x14ac:dyDescent="0.25">
      <c r="A10" s="387">
        <v>2.1</v>
      </c>
      <c r="B10" s="357" t="s">
        <v>208</v>
      </c>
      <c r="C10" s="440" t="e">
        <f>+VLOOKUP($B10,#REF!,2,FALSE())</f>
        <v>#REF!</v>
      </c>
      <c r="D10" s="429">
        <v>7</v>
      </c>
      <c r="E10" s="403" t="e">
        <f>+VLOOKUP(B10,#REF!,3,FALSE())</f>
        <v>#REF!</v>
      </c>
      <c r="F10" s="404" t="e">
        <f t="shared" si="0"/>
        <v>#REF!</v>
      </c>
    </row>
    <row r="11" spans="1:6" x14ac:dyDescent="0.25">
      <c r="A11" s="387">
        <v>2.13</v>
      </c>
      <c r="B11" s="357" t="s">
        <v>195</v>
      </c>
      <c r="C11" s="440" t="e">
        <f>+VLOOKUP($B11,#REF!,2,FALSE())</f>
        <v>#REF!</v>
      </c>
      <c r="D11" s="429">
        <v>65</v>
      </c>
      <c r="E11" s="403" t="e">
        <f>+VLOOKUP(B11,#REF!,3,FALSE())</f>
        <v>#REF!</v>
      </c>
      <c r="F11" s="404" t="e">
        <f t="shared" si="0"/>
        <v>#REF!</v>
      </c>
    </row>
    <row r="12" spans="1:6" x14ac:dyDescent="0.25">
      <c r="A12" s="387">
        <v>2.14</v>
      </c>
      <c r="B12" s="357" t="s">
        <v>207</v>
      </c>
      <c r="C12" s="440" t="e">
        <f>+VLOOKUP($B12,#REF!,2,FALSE())</f>
        <v>#REF!</v>
      </c>
      <c r="D12" s="429">
        <v>24</v>
      </c>
      <c r="E12" s="403" t="e">
        <f>+VLOOKUP(B12,#REF!,3,FALSE())</f>
        <v>#REF!</v>
      </c>
      <c r="F12" s="404" t="e">
        <f t="shared" si="0"/>
        <v>#REF!</v>
      </c>
    </row>
    <row r="13" spans="1:6" x14ac:dyDescent="0.25">
      <c r="A13" s="387">
        <v>4.01</v>
      </c>
      <c r="B13" s="357" t="s">
        <v>181</v>
      </c>
      <c r="C13" s="440" t="e">
        <f>+VLOOKUP($B13,#REF!,2,FALSE())</f>
        <v>#REF!</v>
      </c>
      <c r="D13" s="429">
        <v>432</v>
      </c>
      <c r="E13" s="403" t="e">
        <f>+VLOOKUP(B13,#REF!,3,FALSE())</f>
        <v>#REF!</v>
      </c>
      <c r="F13" s="404" t="e">
        <f t="shared" si="0"/>
        <v>#REF!</v>
      </c>
    </row>
    <row r="14" spans="1:6" x14ac:dyDescent="0.25">
      <c r="A14" s="387">
        <v>4.0199999999999996</v>
      </c>
      <c r="B14" s="357" t="s">
        <v>196</v>
      </c>
      <c r="C14" s="440" t="e">
        <f>+VLOOKUP($B14,#REF!,2,FALSE())</f>
        <v>#REF!</v>
      </c>
      <c r="D14" s="429">
        <v>67</v>
      </c>
      <c r="E14" s="403" t="e">
        <f>+VLOOKUP(B14,#REF!,3,FALSE())</f>
        <v>#REF!</v>
      </c>
      <c r="F14" s="404" t="e">
        <f t="shared" si="0"/>
        <v>#REF!</v>
      </c>
    </row>
    <row r="15" spans="1:6" x14ac:dyDescent="0.25">
      <c r="A15" s="387">
        <v>7.01</v>
      </c>
      <c r="B15" s="357" t="s">
        <v>209</v>
      </c>
      <c r="C15" s="440" t="s">
        <v>96</v>
      </c>
      <c r="D15" s="429">
        <v>936</v>
      </c>
      <c r="E15" s="403" t="e">
        <f>+VLOOKUP(B15,#REF!,3,FALSE())</f>
        <v>#REF!</v>
      </c>
      <c r="F15" s="404" t="e">
        <f t="shared" si="0"/>
        <v>#REF!</v>
      </c>
    </row>
    <row r="16" spans="1:6" x14ac:dyDescent="0.25">
      <c r="A16" s="387">
        <v>7.06</v>
      </c>
      <c r="B16" s="357" t="s">
        <v>244</v>
      </c>
      <c r="C16" s="440" t="s">
        <v>80</v>
      </c>
      <c r="D16" s="429">
        <v>25</v>
      </c>
      <c r="E16" s="403" t="e">
        <f>+VLOOKUP(B16,#REF!,3,FALSE())</f>
        <v>#REF!</v>
      </c>
      <c r="F16" s="404" t="e">
        <f t="shared" si="0"/>
        <v>#REF!</v>
      </c>
    </row>
    <row r="17" spans="1:9" x14ac:dyDescent="0.25">
      <c r="A17" s="413"/>
      <c r="B17" s="414"/>
      <c r="C17" s="414"/>
      <c r="D17" s="414"/>
      <c r="E17" s="414"/>
      <c r="F17" s="415"/>
    </row>
    <row r="19" spans="1:9" ht="15.75" x14ac:dyDescent="0.25">
      <c r="A19" s="416"/>
      <c r="B19" s="390" t="s">
        <v>156</v>
      </c>
      <c r="C19" s="417"/>
      <c r="D19" s="417"/>
      <c r="E19" s="417"/>
      <c r="F19" s="442" t="e">
        <f>ROUND(SUM(F$4:F18),0)</f>
        <v>#REF!</v>
      </c>
      <c r="I19" s="432"/>
    </row>
    <row r="20" spans="1:9" x14ac:dyDescent="0.25">
      <c r="A20" s="419"/>
      <c r="B20" t="s">
        <v>157</v>
      </c>
      <c r="C20" s="420">
        <v>0.23</v>
      </c>
      <c r="F20" s="443" t="e">
        <f>ROUND($F$19*C20,0)</f>
        <v>#REF!</v>
      </c>
    </row>
    <row r="21" spans="1:9" x14ac:dyDescent="0.25">
      <c r="A21" s="419"/>
      <c r="B21" t="s">
        <v>158</v>
      </c>
      <c r="C21" s="420">
        <v>0.02</v>
      </c>
      <c r="F21" s="443" t="e">
        <f>ROUND($F$19*C21,0)</f>
        <v>#REF!</v>
      </c>
    </row>
    <row r="22" spans="1:9" x14ac:dyDescent="0.25">
      <c r="A22" s="419"/>
      <c r="B22" t="s">
        <v>66</v>
      </c>
      <c r="C22" s="420">
        <v>0.05</v>
      </c>
      <c r="F22" s="443" t="e">
        <f>ROUND($F$19*C22,0)</f>
        <v>#REF!</v>
      </c>
    </row>
    <row r="23" spans="1:9" x14ac:dyDescent="0.25">
      <c r="A23" s="419"/>
      <c r="B23" t="s">
        <v>159</v>
      </c>
      <c r="C23" s="420">
        <v>0.16</v>
      </c>
      <c r="F23" s="443" t="e">
        <f>ROUND(+F22*C23,0)</f>
        <v>#REF!</v>
      </c>
    </row>
    <row r="24" spans="1:9" ht="18.75" x14ac:dyDescent="0.3">
      <c r="A24" s="422"/>
      <c r="B24" s="423" t="s">
        <v>38</v>
      </c>
      <c r="C24" s="424"/>
      <c r="D24" s="424"/>
      <c r="E24" s="424"/>
      <c r="F24" s="444" t="e">
        <f>SUM(F19:F23)</f>
        <v>#REF!</v>
      </c>
    </row>
    <row r="26" spans="1:9" x14ac:dyDescent="0.25">
      <c r="F26" s="443"/>
    </row>
  </sheetData>
  <mergeCells count="3">
    <mergeCell ref="A1:B2"/>
    <mergeCell ref="C1:F1"/>
    <mergeCell ref="C2:F2"/>
  </mergeCells>
  <pageMargins left="0.7" right="0.7" top="0.75" bottom="0.75" header="0.511811023622047" footer="0.511811023622047"/>
  <pageSetup orientation="portrait" horizontalDpi="300" verticalDpi="30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7:D33"/>
  <sheetViews>
    <sheetView topLeftCell="A10" zoomScale="95" zoomScaleNormal="95" workbookViewId="0">
      <selection activeCell="B24" sqref="B24"/>
    </sheetView>
  </sheetViews>
  <sheetFormatPr baseColWidth="10" defaultColWidth="11" defaultRowHeight="15" x14ac:dyDescent="0.25"/>
  <cols>
    <col min="3" max="3" width="13.42578125" customWidth="1"/>
    <col min="4" max="4" width="16.85546875" customWidth="1"/>
  </cols>
  <sheetData>
    <row r="7" spans="2:4" x14ac:dyDescent="0.25">
      <c r="B7" s="348">
        <v>0</v>
      </c>
      <c r="C7" s="355">
        <v>18000</v>
      </c>
      <c r="D7" s="445">
        <f t="shared" ref="D7:D25" si="0">+C7*B7</f>
        <v>0</v>
      </c>
    </row>
    <row r="8" spans="2:4" x14ac:dyDescent="0.25">
      <c r="B8" s="387">
        <v>455.53</v>
      </c>
      <c r="C8" s="446">
        <v>60000</v>
      </c>
      <c r="D8" s="445">
        <f t="shared" si="0"/>
        <v>27331800</v>
      </c>
    </row>
    <row r="9" spans="2:4" x14ac:dyDescent="0.25">
      <c r="B9" s="387">
        <v>164.41</v>
      </c>
      <c r="C9" s="446">
        <v>13200</v>
      </c>
      <c r="D9" s="445">
        <f t="shared" si="0"/>
        <v>2170212</v>
      </c>
    </row>
    <row r="10" spans="2:4" x14ac:dyDescent="0.25">
      <c r="B10" s="447">
        <v>84</v>
      </c>
      <c r="C10" s="448">
        <v>50000</v>
      </c>
      <c r="D10" s="445">
        <f t="shared" si="0"/>
        <v>4200000</v>
      </c>
    </row>
    <row r="11" spans="2:4" x14ac:dyDescent="0.25">
      <c r="B11" s="447">
        <v>17</v>
      </c>
      <c r="C11" s="446">
        <v>100000</v>
      </c>
      <c r="D11" s="445">
        <f t="shared" si="0"/>
        <v>1700000</v>
      </c>
    </row>
    <row r="12" spans="2:4" x14ac:dyDescent="0.25">
      <c r="B12" s="447">
        <v>52</v>
      </c>
      <c r="C12" s="446">
        <v>185000</v>
      </c>
      <c r="D12" s="445">
        <f t="shared" si="0"/>
        <v>9620000</v>
      </c>
    </row>
    <row r="13" spans="2:4" x14ac:dyDescent="0.25">
      <c r="B13" s="447">
        <v>2</v>
      </c>
      <c r="C13" s="446">
        <v>700000</v>
      </c>
      <c r="D13" s="445">
        <f t="shared" si="0"/>
        <v>1400000</v>
      </c>
    </row>
    <row r="14" spans="2:4" x14ac:dyDescent="0.25">
      <c r="B14" s="447">
        <v>21.4</v>
      </c>
      <c r="C14" s="446">
        <v>150000</v>
      </c>
      <c r="D14" s="445">
        <f t="shared" si="0"/>
        <v>3210000</v>
      </c>
    </row>
    <row r="15" spans="2:4" x14ac:dyDescent="0.25">
      <c r="B15" s="447">
        <v>16.600000000000001</v>
      </c>
      <c r="C15" s="446">
        <v>800000</v>
      </c>
      <c r="D15" s="445">
        <f t="shared" si="0"/>
        <v>13280000.000000002</v>
      </c>
    </row>
    <row r="16" spans="2:4" x14ac:dyDescent="0.25">
      <c r="B16" s="447">
        <v>48.2</v>
      </c>
      <c r="C16" s="446">
        <v>25000</v>
      </c>
      <c r="D16" s="445">
        <f t="shared" si="0"/>
        <v>1205000</v>
      </c>
    </row>
    <row r="17" spans="2:4" x14ac:dyDescent="0.25">
      <c r="B17" s="447">
        <v>1</v>
      </c>
      <c r="C17" s="446">
        <v>1797690.14</v>
      </c>
      <c r="D17" s="445">
        <f t="shared" si="0"/>
        <v>1797690.14</v>
      </c>
    </row>
    <row r="18" spans="2:4" x14ac:dyDescent="0.25">
      <c r="B18" s="447">
        <v>1</v>
      </c>
      <c r="C18" s="446">
        <v>2500000</v>
      </c>
      <c r="D18" s="445">
        <f t="shared" si="0"/>
        <v>2500000</v>
      </c>
    </row>
    <row r="19" spans="2:4" x14ac:dyDescent="0.25">
      <c r="B19" s="447">
        <v>4</v>
      </c>
      <c r="C19" s="446">
        <v>420000</v>
      </c>
      <c r="D19" s="445">
        <f t="shared" si="0"/>
        <v>1680000</v>
      </c>
    </row>
    <row r="20" spans="2:4" x14ac:dyDescent="0.25">
      <c r="B20" s="449"/>
      <c r="C20" s="450"/>
      <c r="D20" s="445">
        <f t="shared" si="0"/>
        <v>0</v>
      </c>
    </row>
    <row r="21" spans="2:4" x14ac:dyDescent="0.25">
      <c r="B21" s="451">
        <v>455.53</v>
      </c>
      <c r="C21" s="452">
        <v>8000</v>
      </c>
      <c r="D21" s="445">
        <f t="shared" si="0"/>
        <v>3644240</v>
      </c>
    </row>
    <row r="22" spans="2:4" x14ac:dyDescent="0.25">
      <c r="B22" s="451">
        <v>1</v>
      </c>
      <c r="C22" s="452">
        <v>1450000</v>
      </c>
      <c r="D22" s="445">
        <f t="shared" si="0"/>
        <v>1450000</v>
      </c>
    </row>
    <row r="23" spans="2:4" x14ac:dyDescent="0.25">
      <c r="B23" s="451">
        <v>1.36</v>
      </c>
      <c r="C23" s="452">
        <v>320000</v>
      </c>
      <c r="D23" s="445">
        <f t="shared" si="0"/>
        <v>435200.00000000006</v>
      </c>
    </row>
    <row r="24" spans="2:4" x14ac:dyDescent="0.25">
      <c r="B24" s="451">
        <v>133.14320000000001</v>
      </c>
      <c r="C24" s="452">
        <v>15000</v>
      </c>
      <c r="D24" s="445">
        <f t="shared" si="0"/>
        <v>1997148</v>
      </c>
    </row>
    <row r="25" spans="2:4" x14ac:dyDescent="0.25">
      <c r="B25" s="453">
        <v>147.80000000000001</v>
      </c>
      <c r="C25" s="454">
        <v>18000</v>
      </c>
      <c r="D25" s="445">
        <f t="shared" si="0"/>
        <v>2660400</v>
      </c>
    </row>
    <row r="26" spans="2:4" x14ac:dyDescent="0.25">
      <c r="B26" s="5"/>
      <c r="C26" s="5"/>
    </row>
    <row r="27" spans="2:4" ht="15.75" x14ac:dyDescent="0.25">
      <c r="B27" s="5"/>
      <c r="D27" s="455">
        <f>SUM(D7:D26)</f>
        <v>80281690.140000001</v>
      </c>
    </row>
    <row r="28" spans="2:4" x14ac:dyDescent="0.25">
      <c r="B28" s="5"/>
      <c r="D28" s="456" t="e">
        <f>+D27*#REF!</f>
        <v>#REF!</v>
      </c>
    </row>
    <row r="29" spans="2:4" x14ac:dyDescent="0.25">
      <c r="B29" s="5"/>
      <c r="D29" s="457" t="e">
        <f>+#REF!*D27</f>
        <v>#REF!</v>
      </c>
    </row>
    <row r="30" spans="2:4" x14ac:dyDescent="0.25">
      <c r="B30" s="5"/>
      <c r="D30" s="457" t="e">
        <f>+#REF!*D27</f>
        <v>#REF!</v>
      </c>
    </row>
    <row r="31" spans="2:4" x14ac:dyDescent="0.25">
      <c r="B31" s="5"/>
      <c r="D31" s="457" t="e">
        <f>+D30*#REF!</f>
        <v>#REF!</v>
      </c>
    </row>
    <row r="32" spans="2:4" ht="18.75" x14ac:dyDescent="0.25">
      <c r="B32" s="5"/>
      <c r="D32" s="370" t="e">
        <f>SUM(D27:D31)</f>
        <v>#REF!</v>
      </c>
    </row>
    <row r="33" spans="2:3" x14ac:dyDescent="0.25">
      <c r="B33" s="5"/>
      <c r="C33" s="5"/>
    </row>
  </sheetData>
  <pageMargins left="0.7" right="0.7" top="0.75" bottom="0.75" header="0.511811023622047" footer="0.511811023622047"/>
  <pageSetup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zoomScale="95" zoomScaleNormal="95" workbookViewId="0"/>
  </sheetViews>
  <sheetFormatPr baseColWidth="10" defaultColWidth="11" defaultRowHeight="15" x14ac:dyDescent="0.25"/>
  <sheetData/>
  <pageMargins left="0.7" right="0.7" top="0.75" bottom="0.75" header="0.511811023622047" footer="0.511811023622047"/>
  <pageSetup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9FF33"/>
  </sheetPr>
  <dimension ref="A1:M30"/>
  <sheetViews>
    <sheetView showGridLines="0" zoomScale="90" zoomScaleNormal="90" workbookViewId="0">
      <selection activeCell="L12" sqref="L12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286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.75" customHeight="1" thickTop="1" thickBot="1" x14ac:dyDescent="0.3">
      <c r="A9" s="262"/>
      <c r="B9" s="460" t="s">
        <v>109</v>
      </c>
      <c r="C9" s="660" t="s">
        <v>338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16</v>
      </c>
      <c r="M9" s="262"/>
    </row>
    <row r="10" spans="1:13" ht="30" customHeight="1" thickTop="1" thickBot="1" x14ac:dyDescent="0.3">
      <c r="B10" s="269" t="s">
        <v>111</v>
      </c>
      <c r="C10" s="458">
        <v>6.1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APUS!G182</f>
        <v>63367.43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15018080.91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237</v>
      </c>
      <c r="G15" s="302"/>
      <c r="H15" s="302"/>
      <c r="I15" s="302">
        <v>1</v>
      </c>
      <c r="J15" s="302">
        <v>1</v>
      </c>
      <c r="K15" s="302">
        <f>F15*I15</f>
        <v>237</v>
      </c>
      <c r="L15" s="303" t="s">
        <v>288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237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2:L2"/>
    <mergeCell ref="B4:L4"/>
    <mergeCell ref="L5:L8"/>
    <mergeCell ref="B6:K6"/>
    <mergeCell ref="B7:K8"/>
    <mergeCell ref="K26:L26"/>
    <mergeCell ref="K29:L29"/>
    <mergeCell ref="C9:J9"/>
    <mergeCell ref="B13:C13"/>
    <mergeCell ref="D13:E13"/>
    <mergeCell ref="F13:H13"/>
  </mergeCells>
  <pageMargins left="0.78749999999999998" right="0.78749999999999998" top="1.05277777777778" bottom="1.05277777777778" header="0.78749999999999998" footer="0.78749999999999998"/>
  <pageSetup scale="47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9FF33"/>
  </sheetPr>
  <dimension ref="A1:M30"/>
  <sheetViews>
    <sheetView showGridLines="0" topLeftCell="C1" zoomScale="90" zoomScaleNormal="90" workbookViewId="0">
      <selection activeCell="L12" sqref="L12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286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27" customHeight="1" thickTop="1" thickBot="1" x14ac:dyDescent="0.3">
      <c r="A9" s="262"/>
      <c r="B9" s="460" t="s">
        <v>109</v>
      </c>
      <c r="C9" s="660" t="s">
        <v>339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16</v>
      </c>
      <c r="M9" s="262"/>
    </row>
    <row r="10" spans="1:13" ht="30" customHeight="1" thickTop="1" thickBot="1" x14ac:dyDescent="0.3">
      <c r="B10" s="269" t="s">
        <v>111</v>
      </c>
      <c r="C10" s="458">
        <v>7.1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APUS!G212</f>
        <v>53826.25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10765250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200</v>
      </c>
      <c r="G15" s="302"/>
      <c r="H15" s="302"/>
      <c r="I15" s="302">
        <v>1</v>
      </c>
      <c r="J15" s="302">
        <v>1</v>
      </c>
      <c r="K15" s="302">
        <f>F15*I15</f>
        <v>200</v>
      </c>
      <c r="L15" s="303" t="s">
        <v>312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200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2:L2"/>
    <mergeCell ref="B4:L4"/>
    <mergeCell ref="K26:L26"/>
    <mergeCell ref="K29:L29"/>
    <mergeCell ref="L5:L8"/>
    <mergeCell ref="B6:K6"/>
    <mergeCell ref="B7:K8"/>
    <mergeCell ref="C9:J9"/>
    <mergeCell ref="B13:C13"/>
    <mergeCell ref="D13:E13"/>
    <mergeCell ref="F13:H13"/>
  </mergeCells>
  <pageMargins left="0.78749999999999998" right="0.78749999999999998" top="1.05277777777778" bottom="1.05277777777778" header="0.78749999999999998" footer="0.78749999999999998"/>
  <pageSetup scale="47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rowBreaks count="1" manualBreakCount="1">
    <brk id="52" min="1" max="1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9FF33"/>
  </sheetPr>
  <dimension ref="A1:M30"/>
  <sheetViews>
    <sheetView zoomScale="90" zoomScaleNormal="90" workbookViewId="0">
      <selection activeCell="C9" sqref="C9:J9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318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" customHeight="1" thickTop="1" thickBot="1" x14ac:dyDescent="0.3">
      <c r="A9" s="262"/>
      <c r="B9" s="460" t="s">
        <v>109</v>
      </c>
      <c r="C9" s="660" t="s">
        <v>341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215</v>
      </c>
      <c r="M9" s="262"/>
    </row>
    <row r="10" spans="1:13" ht="30" customHeight="1" thickTop="1" thickBot="1" x14ac:dyDescent="0.3">
      <c r="B10" s="269" t="s">
        <v>111</v>
      </c>
      <c r="C10" s="458">
        <v>8.1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f>APUS!G245</f>
        <v>42383610.560000002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42383610.560000002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128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1</v>
      </c>
      <c r="G15" s="302"/>
      <c r="H15" s="302"/>
      <c r="I15" s="302">
        <v>1</v>
      </c>
      <c r="J15" s="302">
        <v>1</v>
      </c>
      <c r="K15" s="302">
        <f>F15*I15</f>
        <v>1</v>
      </c>
      <c r="L15" s="303" t="s">
        <v>356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1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K26:L26"/>
    <mergeCell ref="K29:L29"/>
    <mergeCell ref="B2:L2"/>
    <mergeCell ref="B4:L4"/>
    <mergeCell ref="L5:L8"/>
    <mergeCell ref="B6:K6"/>
    <mergeCell ref="B7:K8"/>
    <mergeCell ref="C9:J9"/>
    <mergeCell ref="B13:C13"/>
    <mergeCell ref="D13:E13"/>
    <mergeCell ref="F13:H13"/>
  </mergeCells>
  <pageMargins left="0.78749999999999998" right="0.78749999999999998" top="1.05277777777778" bottom="1.05277777777778" header="0.78749999999999998" footer="0.78749999999999998"/>
  <pageSetup scale="47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rowBreaks count="11" manualBreakCount="11">
    <brk id="55" min="1" max="11" man="1"/>
    <brk id="109" min="1" max="11" man="1"/>
    <brk id="160" min="1" max="11" man="1"/>
    <brk id="210" min="1" max="11" man="1"/>
    <brk id="262" min="1" max="11" man="1"/>
    <brk id="314" min="1" max="11" man="1"/>
    <brk id="368" min="1" max="11" man="1"/>
    <brk id="418" min="1" max="11" man="1"/>
    <brk id="469" min="1" max="11" man="1"/>
    <brk id="523" min="1" max="11" man="1"/>
    <brk id="571" min="1" max="11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1898F-9719-4901-A56B-9D14DE692E35}">
  <sheetPr>
    <tabColor rgb="FF99FF33"/>
  </sheetPr>
  <dimension ref="A1:M30"/>
  <sheetViews>
    <sheetView zoomScale="90" zoomScaleNormal="90" workbookViewId="0">
      <selection activeCell="L16" sqref="L16"/>
    </sheetView>
  </sheetViews>
  <sheetFormatPr baseColWidth="10" defaultColWidth="11.42578125" defaultRowHeight="12.75" x14ac:dyDescent="0.25"/>
  <cols>
    <col min="1" max="1" width="2.42578125" style="262" customWidth="1"/>
    <col min="2" max="2" width="15.42578125" style="263" customWidth="1"/>
    <col min="3" max="5" width="11.42578125" style="263"/>
    <col min="6" max="6" width="11.42578125" style="264"/>
    <col min="7" max="7" width="25.5703125" style="264" customWidth="1"/>
    <col min="8" max="10" width="11.42578125" style="264"/>
    <col min="11" max="11" width="12.5703125" style="264" customWidth="1"/>
    <col min="12" max="12" width="50.42578125" style="262" customWidth="1"/>
    <col min="13" max="13" width="2.85546875" style="262" customWidth="1"/>
    <col min="14" max="16384" width="11.42578125" style="262"/>
  </cols>
  <sheetData>
    <row r="1" spans="1:13" ht="12.75" customHeight="1" thickBot="1" x14ac:dyDescent="0.3">
      <c r="B1" s="464"/>
      <c r="C1" s="464"/>
      <c r="D1" s="464"/>
      <c r="E1" s="464"/>
      <c r="F1" s="465"/>
      <c r="G1" s="465"/>
      <c r="H1" s="465"/>
      <c r="I1" s="465"/>
      <c r="J1" s="465"/>
      <c r="K1" s="465"/>
      <c r="L1" s="466"/>
    </row>
    <row r="2" spans="1:13" ht="18.75" customHeight="1" thickTop="1" thickBot="1" x14ac:dyDescent="0.3">
      <c r="B2" s="652" t="s">
        <v>108</v>
      </c>
      <c r="C2" s="652"/>
      <c r="D2" s="652"/>
      <c r="E2" s="652"/>
      <c r="F2" s="652"/>
      <c r="G2" s="652"/>
      <c r="H2" s="652"/>
      <c r="I2" s="652"/>
      <c r="J2" s="652"/>
      <c r="K2" s="652"/>
      <c r="L2" s="652"/>
    </row>
    <row r="3" spans="1:13" ht="12.75" customHeight="1" thickTop="1" thickBot="1" x14ac:dyDescent="0.3">
      <c r="B3" s="265"/>
      <c r="C3" s="265"/>
      <c r="D3" s="265"/>
      <c r="E3" s="265"/>
      <c r="F3" s="266"/>
      <c r="G3" s="266"/>
      <c r="H3" s="266"/>
      <c r="I3" s="266"/>
      <c r="J3" s="266"/>
      <c r="K3" s="266"/>
      <c r="L3" s="267"/>
    </row>
    <row r="4" spans="1:13" ht="20.25" customHeight="1" thickTop="1" thickBot="1" x14ac:dyDescent="0.3"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</row>
    <row r="5" spans="1:13" ht="18" customHeight="1" thickTop="1" thickBot="1" x14ac:dyDescent="0.3">
      <c r="B5" s="268"/>
      <c r="C5" s="265"/>
      <c r="D5" s="265"/>
      <c r="E5" s="265"/>
      <c r="F5" s="266"/>
      <c r="G5" s="266"/>
      <c r="H5" s="266"/>
      <c r="I5" s="266"/>
      <c r="J5" s="266"/>
      <c r="K5" s="266"/>
      <c r="L5" s="654" t="s">
        <v>247</v>
      </c>
    </row>
    <row r="6" spans="1:13" customFormat="1" ht="27" customHeight="1" thickTop="1" thickBot="1" x14ac:dyDescent="0.3">
      <c r="A6" s="262"/>
      <c r="B6" s="655" t="s">
        <v>257</v>
      </c>
      <c r="C6" s="655"/>
      <c r="D6" s="655"/>
      <c r="E6" s="655"/>
      <c r="F6" s="655"/>
      <c r="G6" s="655"/>
      <c r="H6" s="655"/>
      <c r="I6" s="655"/>
      <c r="J6" s="655"/>
      <c r="K6" s="655"/>
      <c r="L6" s="654"/>
      <c r="M6" s="262"/>
    </row>
    <row r="7" spans="1:13" customFormat="1" ht="13.5" customHeight="1" thickTop="1" thickBot="1" x14ac:dyDescent="0.3">
      <c r="A7" s="262"/>
      <c r="B7" s="656" t="s">
        <v>369</v>
      </c>
      <c r="C7" s="656"/>
      <c r="D7" s="656"/>
      <c r="E7" s="656"/>
      <c r="F7" s="656"/>
      <c r="G7" s="656"/>
      <c r="H7" s="656"/>
      <c r="I7" s="656"/>
      <c r="J7" s="656"/>
      <c r="K7" s="656"/>
      <c r="L7" s="654"/>
      <c r="M7" s="262"/>
    </row>
    <row r="8" spans="1:13" customFormat="1" ht="13.5" customHeight="1" thickTop="1" thickBot="1" x14ac:dyDescent="0.3">
      <c r="A8" s="262"/>
      <c r="B8" s="656"/>
      <c r="C8" s="656"/>
      <c r="D8" s="656"/>
      <c r="E8" s="656"/>
      <c r="F8" s="656"/>
      <c r="G8" s="656"/>
      <c r="H8" s="656"/>
      <c r="I8" s="656"/>
      <c r="J8" s="656"/>
      <c r="K8" s="656"/>
      <c r="L8" s="654"/>
      <c r="M8" s="262"/>
    </row>
    <row r="9" spans="1:13" customFormat="1" ht="30" customHeight="1" thickTop="1" thickBot="1" x14ac:dyDescent="0.3">
      <c r="A9" s="262"/>
      <c r="B9" s="460" t="s">
        <v>109</v>
      </c>
      <c r="C9" s="660" t="s">
        <v>347</v>
      </c>
      <c r="D9" s="661"/>
      <c r="E9" s="661"/>
      <c r="F9" s="661"/>
      <c r="G9" s="661"/>
      <c r="H9" s="661"/>
      <c r="I9" s="661"/>
      <c r="J9" s="661"/>
      <c r="K9" s="461" t="s">
        <v>110</v>
      </c>
      <c r="L9" s="271" t="s">
        <v>15</v>
      </c>
      <c r="M9" s="262"/>
    </row>
    <row r="10" spans="1:13" ht="30" customHeight="1" thickTop="1" thickBot="1" x14ac:dyDescent="0.3">
      <c r="B10" s="269" t="s">
        <v>111</v>
      </c>
      <c r="C10" s="458">
        <v>9.1</v>
      </c>
      <c r="D10" s="273"/>
      <c r="E10" s="273"/>
      <c r="F10" s="274"/>
      <c r="G10" s="274"/>
      <c r="H10" s="274"/>
      <c r="I10" s="274"/>
      <c r="J10" s="274"/>
      <c r="K10" s="469" t="s">
        <v>112</v>
      </c>
      <c r="L10" s="276">
        <v>222561</v>
      </c>
    </row>
    <row r="11" spans="1:13" ht="25.5" customHeight="1" thickTop="1" thickBot="1" x14ac:dyDescent="0.3">
      <c r="B11" s="277"/>
      <c r="C11" s="278"/>
      <c r="D11" s="278"/>
      <c r="E11" s="278"/>
      <c r="F11" s="279"/>
      <c r="G11" s="279"/>
      <c r="H11" s="279"/>
      <c r="I11" s="279"/>
      <c r="J11" s="279"/>
      <c r="K11" s="313" t="s">
        <v>113</v>
      </c>
      <c r="L11" s="281">
        <f>L10*K15</f>
        <v>1112805</v>
      </c>
    </row>
    <row r="12" spans="1:13" ht="15" customHeight="1" thickTop="1" thickBot="1" x14ac:dyDescent="0.3">
      <c r="B12" s="268"/>
      <c r="C12" s="265"/>
      <c r="D12" s="265"/>
      <c r="E12" s="265"/>
      <c r="F12" s="266"/>
      <c r="G12" s="266"/>
      <c r="H12" s="266"/>
      <c r="I12" s="266"/>
      <c r="J12" s="266"/>
      <c r="K12" s="266"/>
      <c r="L12" s="282"/>
    </row>
    <row r="13" spans="1:13" ht="15" customHeight="1" thickTop="1" thickBot="1" x14ac:dyDescent="0.3">
      <c r="B13" s="647" t="s">
        <v>114</v>
      </c>
      <c r="C13" s="647"/>
      <c r="D13" s="648" t="s">
        <v>115</v>
      </c>
      <c r="E13" s="648"/>
      <c r="F13" s="649" t="s">
        <v>116</v>
      </c>
      <c r="G13" s="649"/>
      <c r="H13" s="649"/>
      <c r="I13" s="283" t="s">
        <v>5</v>
      </c>
      <c r="J13" s="284" t="s">
        <v>4</v>
      </c>
      <c r="K13" s="285" t="s">
        <v>38</v>
      </c>
      <c r="L13" s="286" t="s">
        <v>118</v>
      </c>
    </row>
    <row r="14" spans="1:13" ht="15" customHeight="1" thickBot="1" x14ac:dyDescent="0.3">
      <c r="B14" s="287" t="s">
        <v>119</v>
      </c>
      <c r="C14" s="288" t="s">
        <v>120</v>
      </c>
      <c r="D14" s="289" t="s">
        <v>121</v>
      </c>
      <c r="E14" s="290" t="s">
        <v>122</v>
      </c>
      <c r="F14" s="291" t="s">
        <v>123</v>
      </c>
      <c r="G14" s="292" t="s">
        <v>124</v>
      </c>
      <c r="H14" s="293" t="s">
        <v>125</v>
      </c>
      <c r="I14" s="294"/>
      <c r="J14" s="295" t="s">
        <v>15</v>
      </c>
      <c r="K14" s="296" t="s">
        <v>126</v>
      </c>
      <c r="L14" s="297" t="s">
        <v>127</v>
      </c>
    </row>
    <row r="15" spans="1:13" ht="15" customHeight="1" thickTop="1" x14ac:dyDescent="0.25">
      <c r="B15" s="298"/>
      <c r="C15" s="299"/>
      <c r="D15" s="299"/>
      <c r="E15" s="299"/>
      <c r="F15" s="302">
        <v>2.5</v>
      </c>
      <c r="G15" s="302">
        <v>2</v>
      </c>
      <c r="H15" s="302"/>
      <c r="I15" s="302">
        <f>F15*G15</f>
        <v>5</v>
      </c>
      <c r="J15" s="302">
        <f>I15</f>
        <v>5</v>
      </c>
      <c r="K15" s="302">
        <f>J15</f>
        <v>5</v>
      </c>
      <c r="L15" s="303" t="s">
        <v>349</v>
      </c>
    </row>
    <row r="16" spans="1:13" ht="15" customHeight="1" x14ac:dyDescent="0.25">
      <c r="B16" s="304"/>
      <c r="C16" s="305"/>
      <c r="D16" s="305"/>
      <c r="E16" s="305"/>
      <c r="F16" s="302"/>
      <c r="G16" s="302"/>
      <c r="H16" s="302"/>
      <c r="I16" s="302"/>
      <c r="J16" s="302"/>
      <c r="K16" s="302">
        <f>+J16</f>
        <v>0</v>
      </c>
      <c r="L16" s="307"/>
    </row>
    <row r="17" spans="2:12" ht="15" customHeight="1" x14ac:dyDescent="0.25">
      <c r="B17" s="304"/>
      <c r="C17" s="305"/>
      <c r="D17" s="305"/>
      <c r="E17" s="305"/>
      <c r="F17" s="306"/>
      <c r="G17" s="306"/>
      <c r="H17" s="306"/>
      <c r="I17" s="306"/>
      <c r="J17" s="302"/>
      <c r="K17" s="302">
        <f>+J17</f>
        <v>0</v>
      </c>
      <c r="L17" s="307"/>
    </row>
    <row r="18" spans="2:12" ht="15" customHeight="1" x14ac:dyDescent="0.25">
      <c r="B18" s="268"/>
      <c r="C18" s="265"/>
      <c r="D18" s="265"/>
      <c r="E18" s="265"/>
      <c r="F18" s="266"/>
      <c r="G18" s="266"/>
      <c r="H18" s="266"/>
      <c r="I18" s="266"/>
      <c r="J18" s="266"/>
      <c r="K18" s="308">
        <f>ROUND(SUM(K15:K17),2)</f>
        <v>5</v>
      </c>
      <c r="L18" s="309"/>
    </row>
    <row r="19" spans="2:12" ht="15" customHeight="1" x14ac:dyDescent="0.25">
      <c r="B19" s="268"/>
      <c r="C19" s="265"/>
      <c r="D19" s="265"/>
      <c r="E19" s="265"/>
      <c r="F19" s="266"/>
      <c r="G19" s="266"/>
      <c r="H19" s="266"/>
      <c r="I19" s="266"/>
      <c r="J19" s="266"/>
      <c r="K19" s="266"/>
      <c r="L19" s="309"/>
    </row>
    <row r="20" spans="2:12" ht="15" customHeight="1" x14ac:dyDescent="0.25">
      <c r="B20" s="268"/>
      <c r="C20" s="265"/>
      <c r="D20" s="265"/>
      <c r="E20" s="265"/>
      <c r="F20" s="266"/>
      <c r="G20" s="266"/>
      <c r="H20" s="266"/>
      <c r="I20" s="266"/>
      <c r="J20" s="266"/>
      <c r="K20" s="266"/>
      <c r="L20" s="309"/>
    </row>
    <row r="21" spans="2:12" ht="15" customHeight="1" x14ac:dyDescent="0.25">
      <c r="B21" s="268"/>
      <c r="C21" s="265"/>
      <c r="D21" s="265"/>
      <c r="E21" s="265"/>
      <c r="F21" s="266"/>
      <c r="G21" s="266"/>
      <c r="H21" s="266"/>
      <c r="I21" s="266"/>
      <c r="J21" s="266"/>
      <c r="K21" s="266"/>
      <c r="L21" s="309"/>
    </row>
    <row r="22" spans="2:12" ht="15" customHeight="1" x14ac:dyDescent="0.25">
      <c r="B22" s="268"/>
      <c r="C22" s="265"/>
      <c r="D22" s="265"/>
      <c r="E22" s="265"/>
      <c r="F22" s="266"/>
      <c r="G22" s="266"/>
      <c r="H22" s="266"/>
      <c r="I22" s="266"/>
      <c r="J22" s="266"/>
      <c r="K22" s="266"/>
      <c r="L22" s="309"/>
    </row>
    <row r="23" spans="2:12" ht="15" customHeight="1" x14ac:dyDescent="0.25">
      <c r="B23" s="268"/>
      <c r="C23" s="265"/>
      <c r="D23" s="265"/>
      <c r="E23" s="265"/>
      <c r="F23" s="266"/>
      <c r="G23" s="266"/>
      <c r="H23" s="266"/>
      <c r="I23" s="266"/>
      <c r="J23" s="266"/>
      <c r="K23" s="266"/>
      <c r="L23" s="309"/>
    </row>
    <row r="24" spans="2:12" ht="15" customHeight="1" x14ac:dyDescent="0.25">
      <c r="B24" s="268"/>
      <c r="C24" s="265"/>
      <c r="D24" s="265"/>
      <c r="E24" s="265"/>
      <c r="F24" s="266"/>
      <c r="G24" s="266"/>
      <c r="H24" s="266"/>
      <c r="I24" s="266"/>
      <c r="J24" s="266"/>
      <c r="K24" s="266"/>
      <c r="L24" s="309"/>
    </row>
    <row r="25" spans="2:12" ht="15" customHeight="1" x14ac:dyDescent="0.2">
      <c r="B25" s="268"/>
      <c r="C25" s="265"/>
      <c r="D25" s="265"/>
      <c r="E25" s="265"/>
      <c r="F25" s="266"/>
      <c r="H25" s="266"/>
      <c r="I25" s="266"/>
      <c r="J25" s="266"/>
      <c r="K25" s="468" t="s">
        <v>330</v>
      </c>
      <c r="L25" s="462"/>
    </row>
    <row r="26" spans="2:12" ht="15" customHeight="1" x14ac:dyDescent="0.2">
      <c r="B26" s="268"/>
      <c r="C26" s="265"/>
      <c r="D26" s="265"/>
      <c r="E26" s="265"/>
      <c r="F26" s="266"/>
      <c r="G26" s="266"/>
      <c r="H26" s="266"/>
      <c r="I26" s="266"/>
      <c r="J26" s="266"/>
      <c r="K26" s="561" t="s">
        <v>331</v>
      </c>
      <c r="L26" s="651"/>
    </row>
    <row r="27" spans="2:12" ht="15" customHeight="1" x14ac:dyDescent="0.2">
      <c r="B27" s="310"/>
      <c r="C27" s="265"/>
      <c r="D27" s="265"/>
      <c r="E27" s="265"/>
      <c r="F27" s="266"/>
      <c r="G27" s="266"/>
      <c r="H27" s="266"/>
      <c r="I27" s="266"/>
      <c r="J27" s="266"/>
      <c r="K27" s="1" t="s">
        <v>332</v>
      </c>
      <c r="L27" s="463"/>
    </row>
    <row r="28" spans="2:12" ht="15" customHeight="1" x14ac:dyDescent="0.2">
      <c r="B28" s="311"/>
      <c r="C28" s="265"/>
      <c r="D28" s="265"/>
      <c r="E28" s="265"/>
      <c r="F28" s="266"/>
      <c r="G28" s="266"/>
      <c r="H28" s="266"/>
      <c r="I28" s="266"/>
      <c r="J28" s="266"/>
      <c r="K28" s="1"/>
      <c r="L28" s="462"/>
    </row>
    <row r="29" spans="2:12" ht="15" customHeight="1" thickBot="1" x14ac:dyDescent="0.3">
      <c r="B29" s="277"/>
      <c r="C29" s="278"/>
      <c r="D29" s="278"/>
      <c r="E29" s="278"/>
      <c r="F29" s="279"/>
      <c r="G29" s="279"/>
      <c r="H29" s="279"/>
      <c r="I29" s="279"/>
      <c r="J29" s="279"/>
      <c r="K29" s="657"/>
      <c r="L29" s="657"/>
    </row>
    <row r="30" spans="2:12" ht="13.5" thickTop="1" x14ac:dyDescent="0.25"/>
  </sheetData>
  <mergeCells count="11">
    <mergeCell ref="B13:C13"/>
    <mergeCell ref="D13:E13"/>
    <mergeCell ref="F13:H13"/>
    <mergeCell ref="K26:L26"/>
    <mergeCell ref="K29:L29"/>
    <mergeCell ref="C9:J9"/>
    <mergeCell ref="B2:L2"/>
    <mergeCell ref="B4:L4"/>
    <mergeCell ref="L5:L8"/>
    <mergeCell ref="B6:K6"/>
    <mergeCell ref="B7:K8"/>
  </mergeCells>
  <pageMargins left="0.78749999999999998" right="0.78749999999999998" top="1.05277777777778" bottom="1.05277777777778" header="0.78749999999999998" footer="0.78749999999999998"/>
  <pageSetup scale="47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rowBreaks count="11" manualBreakCount="11">
    <brk id="55" min="1" max="11" man="1"/>
    <brk id="109" min="1" max="11" man="1"/>
    <brk id="160" min="1" max="11" man="1"/>
    <brk id="210" min="1" max="11" man="1"/>
    <brk id="262" min="1" max="11" man="1"/>
    <brk id="314" min="1" max="11" man="1"/>
    <brk id="368" min="1" max="11" man="1"/>
    <brk id="418" min="1" max="11" man="1"/>
    <brk id="469" min="1" max="11" man="1"/>
    <brk id="523" min="1" max="11" man="1"/>
    <brk id="571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18</vt:i4>
      </vt:variant>
    </vt:vector>
  </HeadingPairs>
  <TitlesOfParts>
    <vt:vector size="40" baseType="lpstr">
      <vt:lpstr>CRONOG CON FLUJO</vt:lpstr>
      <vt:lpstr>PPTO </vt:lpstr>
      <vt:lpstr>ANÁLISIS AIU </vt:lpstr>
      <vt:lpstr>APUS</vt:lpstr>
      <vt:lpstr>CADENA DE VALOR</vt:lpstr>
      <vt:lpstr>MEMORIA  1 - DESTRONQUE Y LIJAD</vt:lpstr>
      <vt:lpstr>MEMORIA  2 - LAVADA Y DESCONTAM</vt:lpstr>
      <vt:lpstr>MEMORIA  3 - RECUBRIMIENTO SINT</vt:lpstr>
      <vt:lpstr>MEMORIA  4 - REDUCTORES DE VELO</vt:lpstr>
      <vt:lpstr>MEMORIA  5 - BARANDA DE PROTECC</vt:lpstr>
      <vt:lpstr>frente2</vt:lpstr>
      <vt:lpstr>TK ALM 100k</vt:lpstr>
      <vt:lpstr>TANK DREN</vt:lpstr>
      <vt:lpstr>Pad inyeccion</vt:lpstr>
      <vt:lpstr>Foso Bombas</vt:lpstr>
      <vt:lpstr>Bmb transf</vt:lpstr>
      <vt:lpstr>Hoja1</vt:lpstr>
      <vt:lpstr>Hoja2</vt:lpstr>
      <vt:lpstr>MEMORIA 6 - DESMONTE BARANDA EX</vt:lpstr>
      <vt:lpstr>MEMORIA 7 - LAV Y DESCON CARCAM</vt:lpstr>
      <vt:lpstr>MEMORIA 8 - HOMOLOGACION FEDEPA</vt:lpstr>
      <vt:lpstr>MEMORIA 9 - VALLA INFORMATIVA</vt:lpstr>
      <vt:lpstr>'ANÁLISIS AIU '!Área_de_impresión</vt:lpstr>
      <vt:lpstr>APUS!Área_de_impresión</vt:lpstr>
      <vt:lpstr>'CADENA DE VALOR'!Área_de_impresión</vt:lpstr>
      <vt:lpstr>'CRONOG CON FLUJO'!Área_de_impresión</vt:lpstr>
      <vt:lpstr>'MEMORIA  1 - DESTRONQUE Y LIJAD'!Área_de_impresión</vt:lpstr>
      <vt:lpstr>'MEMORIA  2 - LAVADA Y DESCONTAM'!Área_de_impresión</vt:lpstr>
      <vt:lpstr>'MEMORIA  3 - RECUBRIMIENTO SINT'!Área_de_impresión</vt:lpstr>
      <vt:lpstr>'MEMORIA  4 - REDUCTORES DE VELO'!Área_de_impresión</vt:lpstr>
      <vt:lpstr>'MEMORIA  5 - BARANDA DE PROTECC'!Área_de_impresión</vt:lpstr>
      <vt:lpstr>'MEMORIA 6 - DESMONTE BARANDA EX'!Área_de_impresión</vt:lpstr>
      <vt:lpstr>'MEMORIA 7 - LAV Y DESCON CARCAM'!Área_de_impresión</vt:lpstr>
      <vt:lpstr>'MEMORIA 8 - HOMOLOGACION FEDEPA'!Área_de_impresión</vt:lpstr>
      <vt:lpstr>'MEMORIA 9 - VALLA INFORMATIVA'!Área_de_impresión</vt:lpstr>
      <vt:lpstr>'PPTO '!Área_de_impresión</vt:lpstr>
      <vt:lpstr>'ANÁLISIS AIU '!Print_Area_0</vt:lpstr>
      <vt:lpstr>'TANK DREN'!Z_37740202_80EB_4916_B922_B7E4F26DAB4F_.wvu.Cols</vt:lpstr>
      <vt:lpstr>'ANÁLISIS AIU '!Z_37740202_80EB_4916_B922_B7E4F26DAB4F_.wvu.PrintArea</vt:lpstr>
      <vt:lpstr>'ANÁLISIS AIU '!Z_37740202_80EB_4916_B922_B7E4F26DAB4F_.wvu.PrintTitles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Olga Isabel Lancheros Gutierrez</dc:creator>
  <cp:keywords/>
  <dc:description/>
  <cp:lastModifiedBy>ACTIVE RECREACION SAS</cp:lastModifiedBy>
  <cp:revision>103</cp:revision>
  <cp:lastPrinted>2024-09-19T21:00:46Z</cp:lastPrinted>
  <dcterms:created xsi:type="dcterms:W3CDTF">2008-06-06T19:42:47Z</dcterms:created>
  <dcterms:modified xsi:type="dcterms:W3CDTF">2025-02-18T01:57:48Z</dcterms:modified>
  <cp:category/>
  <cp:contentStatus/>
</cp:coreProperties>
</file>