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3.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drawings/drawing4.xml" ContentType="application/vnd.openxmlformats-officedocument.drawing+xml"/>
  <Override PartName="/xl/comments4.xml" ContentType="application/vnd.openxmlformats-officedocument.spreadsheetml.comments+xml"/>
  <Override PartName="/xl/threadedComments/threadedComment4.xml" ContentType="application/vnd.ms-excel.threaded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threadedComments/threadedComment5.xml" ContentType="application/vnd.ms-excel.threadedcomments+xml"/>
  <Override PartName="/xl/drawings/drawing7.xml" ContentType="application/vnd.openxmlformats-officedocument.drawing+xml"/>
  <Override PartName="/xl/comments9.xml" ContentType="application/vnd.openxmlformats-officedocument.spreadsheetml.comments+xml"/>
  <Override PartName="/xl/threadedComments/threadedComment6.xml" ContentType="application/vnd.ms-excel.threaded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codeName="{51196F13-6AD0-C1B8-E2B4-A1F9AE17003E}"/>
  <workbookPr codeName="ThisWorkbook"/>
  <mc:AlternateContent xmlns:mc="http://schemas.openxmlformats.org/markup-compatibility/2006">
    <mc:Choice Requires="x15">
      <x15ac:absPath xmlns:x15ac="http://schemas.microsoft.com/office/spreadsheetml/2010/11/ac" url="C:\Users\Cesar y Mari\Desktop\2020  CORANTIOQUIA\1. CONTRATACIÓN GENERAL\1. ESTUDIOS PREVIOS\68. Intervenoria PORH\SECOP\2. Externos\"/>
    </mc:Choice>
  </mc:AlternateContent>
  <xr:revisionPtr revIDLastSave="0" documentId="8_{D07A9DAD-F821-4630-8A87-CB1B64153F5B}" xr6:coauthVersionLast="45" xr6:coauthVersionMax="45" xr10:uidLastSave="{00000000-0000-0000-0000-000000000000}"/>
  <bookViews>
    <workbookView xWindow="-120" yWindow="-120" windowWidth="20730" windowHeight="11160" tabRatio="651" firstSheet="5" activeTab="6" xr2:uid="{00000000-000D-0000-FFFF-FFFF00000000}"/>
  </bookViews>
  <sheets>
    <sheet name="Resolución 667_2016" sheetId="2" state="hidden" r:id="rId1"/>
    <sheet name="Estructura_PGAR" sheetId="5" r:id="rId2"/>
    <sheet name="Línea 2 PGAR Económica" sheetId="6" state="hidden" r:id="rId3"/>
    <sheet name="Línea 3 PGAR Social" sheetId="7" state="hidden" r:id="rId4"/>
    <sheet name="Línea 4 PGAR Gobernanza" sheetId="8" state="hidden" r:id="rId5"/>
    <sheet name="Estructura_Plan_Acción" sheetId="14" r:id="rId6"/>
    <sheet name="Aporte_Contrato_Desempeño" sheetId="9" r:id="rId7"/>
    <sheet name="OT_vs_Municipios" sheetId="18" state="hidden" r:id="rId8"/>
    <sheet name="Comunidades_vs_Municipios" sheetId="19" state="hidden" r:id="rId9"/>
    <sheet name="Parámetros" sheetId="17" state="hidden" r:id="rId10"/>
    <sheet name="Política_inclusión_social" sheetId="20" state="hidden" r:id="rId11"/>
    <sheet name="Parámetros_componentes_retos" sheetId="12" state="hidden" r:id="rId12"/>
    <sheet name="Parámetros_retos_indicadores" sheetId="13" state="hidden" r:id="rId13"/>
    <sheet name="Parámetros_líneas_componentes" sheetId="10" state="hidden" r:id="rId14"/>
    <sheet name="Párametros_proyectos_subactivid" sheetId="16" state="hidden" r:id="rId15"/>
    <sheet name="Párametros_programas_proyectos" sheetId="15" state="hidden" r:id="rId16"/>
  </sheets>
  <externalReferences>
    <externalReference r:id="rId17"/>
  </externalReferences>
  <definedNames>
    <definedName name="_1._Aumentar_la_superficie_de_áreas_protegidas_y_otras_estrategias_de_conservación_en_la_jurisdicción">Parámetros_retos_indicadores!$B$2:$B$3</definedName>
    <definedName name="_1._Protección_de_biodiversidad_y_servicios_ecosistémicos">Parámetros_componentes_retos!$B$2:$B$7</definedName>
    <definedName name="_1._Protegiendo_ecosistemas_naturales">Párametros_proyectos_subactivid!$B$2:$B$16</definedName>
    <definedName name="_10._Fortaleciendo_los_actores_para_la_gestión">Párametros_proyectos_subactivid!$K$2:$K$39</definedName>
    <definedName name="_10._Protección_efectiva_de_los_ecosistemas_presentes_en_los_territorios_étnicos_incluyendo_la_respectiva_restauración_y_saneamiento">Parámetros_retos_indicadores!$K$2</definedName>
    <definedName name="_10._Saneamiento_ambiental">Parámetros_componentes_retos!$K$2:$K$6</definedName>
    <definedName name="_11._Establecer_las_medidas_herramientas_e_instrumentos_pertinentes_para_la_promoción_gestión_e_implementación_de_acciones_ambientales_en_los_territorios_étnicos_que_contribuyan_a_la_mitigación_y_adaptación_al_cambio_climático">Parámetros_retos_indicadores!$L$2</definedName>
    <definedName name="_11._Movilidad_sostenible">Parámetros_componentes_retos!$L$2</definedName>
    <definedName name="_11._Participando_en_lo_ambiental">Párametros_proyectos_subactivid!$L$2:$L$7</definedName>
    <definedName name="_12._Identificación_y_manejo_de_riesgos_e_impactos_ecológicos_y_económicos_producto_del_cambio_climático_en_los_territorios_étnicos">Parámetros_componentes_retos!$M$2</definedName>
    <definedName name="_12._Lograr_cero_deforestación_en_cadenas_productivas_priorizadas">Parámetros_retos_indicadores!$M$2:$M$4</definedName>
    <definedName name="_13._Fortalecer_la_sostenibilidad_de_áreas_de_producción_campesina_y_de_grupos_étnicos">Parámetros_retos_indicadores!$N$2:$N$3</definedName>
    <definedName name="_13._Institucionalidad_fortalecida_para_una_gestión_ambiental_corresponsable">Parámetros_componentes_retos!$N$2</definedName>
    <definedName name="_14._Aumentar_los_ingresos_asociados_a_los_negocios_verdes_y_a_bioeconomía">Parámetros_retos_indicadores!$O$2:$O$4</definedName>
    <definedName name="_14._La_articulación_y_el_diálogo_en_la_transición_hacia_la_sostenibilidad">Parámetros_componentes_retos!$O$2:$O$5</definedName>
    <definedName name="_15._La_gestión_de_la_información_y_el_conocimiento_investigación_desarrollo_innovación">Parámetros_componentes_retos!$P$2:$P$4</definedName>
    <definedName name="_15._Priorizar_e_intervenir_los_socioecosistemas_en_paisajes_productivos_con_sostenibilidad_ambiental">Parámetros_retos_indicadores!$P$2:$P$4</definedName>
    <definedName name="_16._Legalidad_legitimidad_y_transparencia_en_lo_ambiental">Parámetros_componentes_retos!$Q$2:$Q$5</definedName>
    <definedName name="_16._Transformar_los_hábitos_de_consumo_hacia_un_consumo_sostenible">Parámetros_retos_indicadores!$Q$2:$Q$6</definedName>
    <definedName name="_17._Aumentar_la_proporción_de_uso_de_energías_alternativas_en_la_matriz_energética_de_la_jurisdicción">Parámetros_retos_indicadores!$R$2</definedName>
    <definedName name="_17._Cultura_ambiental_para_la_incidencia_en_decisiones">Parámetros_componentes_retos!$R$2:$R$3</definedName>
    <definedName name="_18._Aumentar_el_uso_eficiente_de_energías_limpias">Parámetros_retos_indicadores!$S$2</definedName>
    <definedName name="_18._Incidencia_institucional_fortalecida_para_una_eficiente_coordinación_y_cooperación_con_las_autoridades_étnicas_en_materia_de_gestión_ambiental">Parámetros_componentes_retos!$S$2:$S$8</definedName>
    <definedName name="_19._Fomento_de_prácticas_económicas_colectivas_orientadas_al_aprovechamiento_pertinente_y_sostenible_de_los_territorios_étnicos">Parámetros_retos_indicadores!$T$2</definedName>
    <definedName name="_2._Armonización_de_lo_ambiental_en_la_planeación_territorial_y_sectorial">Parámetros_componentes_retos!$C$2:$C$4</definedName>
    <definedName name="_2._Conectando_ecosistemas_naturales">Párametros_proyectos_subactivid!$C$2:$C$11</definedName>
    <definedName name="_2._Proteger_el_agua_como_derecho_y_medio_de_vida_en_el_marco_de_la_planeación_integral_de_las_cuencas_hidrográficas">Parámetros_retos_indicadores!$C$2:$C$11</definedName>
    <definedName name="_20._Generación_de_valor_y_desarrollo_tecnológico_en_los_procesos_y_medios_de_la_producción_de_las_comunidades_en_los_territorios_étnicos">Parámetros_retos_indicadores!$U$2:$U$3</definedName>
    <definedName name="_21._Disminuir_el_número_de_casos_de_mortalidad_por_desastres_asociados_a_fenómenos_naturales_y_antrópicos">Parámetros_retos_indicadores!$V$2:$V$4</definedName>
    <definedName name="_22._Disminuir_la_pérdida_de_los_servicios_ecosistémicos_a_causa_de_los_efectos_del_cambio_climático">Parámetros_retos_indicadores!$W$2:$W$4</definedName>
    <definedName name="_23._Disminuir_las_toneladas_de_residuos_sólidos_en_los_sitios_de_disposición_final_de_residuos_ordinarios_especiales_y_peligrosos">Parámetros_retos_indicadores!$X$2:$X$10</definedName>
    <definedName name="_24._Disminuir_la_cantidad_de_aguas_residuales_no_tratadas_vertidas_a_fuentes_hídricas">Parámetros_retos_indicadores!$Y$2:$Y$5</definedName>
    <definedName name="_25._Cumplir_los_objetivos_de_calidad_del_agua_propuesto">Parámetros_retos_indicadores!$Z$2:$Z$5</definedName>
    <definedName name="_26._Mejorar_la_calidad_del_aire_en_centros_poblados_rurales_y_urbanos">Parámetros_retos_indicadores!$AA$2:$AA$7</definedName>
    <definedName name="_27._Aumentar_la_población_con_acceso_a_agua_potable">Parámetros_retos_indicadores!$AB$2:$AB$4</definedName>
    <definedName name="_28._Promover_la_movilidad_sostenible">Parámetros_retos_indicadores!$AC$2:$AC$5</definedName>
    <definedName name="_29._Identificación_y_manejo_del_riesgo_climático_asociado_a_los_planes_de_vida_y_de_etnodesarrollo_de_los_territorios_étnicos">Parámetros_retos_indicadores!$AD$2</definedName>
    <definedName name="_3._Administrar_efectivamente_las_áreas_protegidas_y_otras_estrategias_de_conservación">Parámetros_retos_indicadores!$D$2:$D$4</definedName>
    <definedName name="_3._Organización_y_administración_estratégica_de_los_territorios_étnicos_para_la_gestión_integral_y_sostenible_de_la_biodiversidad">Parámetros_componentes_retos!$D$2:$D$3</definedName>
    <definedName name="_3._Planificando_el_uso_y_manejo_del_agua">Párametros_proyectos_subactivid!$D$2:$D$7</definedName>
    <definedName name="_30._Fortalecer_la_capacidad_instalada_de_los_actores">Parámetros_retos_indicadores!$AE$2:$AE$6</definedName>
    <definedName name="_31._Armonizar_los_asuntos_y_determinantes_ambientales_en_la_planeación_de_las_autoridades_ambientales_en_la_jurisdicción">Parámetros_retos_indicadores!$AF$2</definedName>
    <definedName name="_32._Armonizar_los_componentes_programáticos_de_los_diferentes_planes_institucionales_en_la_jurisdicción">Parámetros_retos_indicadores!$AG$2</definedName>
    <definedName name="_33._Ejecutar_los_retos_del_PGAR_con_corresponsabilidad">Parámetros_retos_indicadores!$AH$2:$AH$3</definedName>
    <definedName name="_34._Apropiar_a_los_actores_de_su_territorio_desde_la_comunicación_el_reconocimiento_y_fortalecimiento_en_lo_cultural">Parámetros_retos_indicadores!$AI$2</definedName>
    <definedName name="_35._Disponer_apropiar_y_usar_la_información_y_conocimiento_ambiental_para_la_toma_de_decisiones_en_el_territorio">Parámetros_retos_indicadores!$AJ$2:$AJ$4</definedName>
    <definedName name="_36._Promover_la_generación_y_o_apropiación_de_desarrollos_tecnológicos_para_el_uso_de_la_biodiversidad_y_una_mayor_eficiencia_de_uso_del_patrimonio_ambiental">Parámetros_retos_indicadores!$AK$2</definedName>
    <definedName name="_37._Promover_la_generación_de_conocimiento_investigación_innovación_y_la_creatividad_asociado_al_desarrollo_sostenible_en_temáticas_priorizadas">Parámetros_retos_indicadores!$AL$2:$AL$3</definedName>
    <definedName name="_38._Legalidad_legitimidad_y_transparencia_en_lo_ambiental">Parámetros_retos_indicadores!$AM$2:$AM$4</definedName>
    <definedName name="_39._Prevenir_y_atender_el_conflicto_en_el_uso_y_aprovechamiento_de_los_recursos_naturales">Parámetros_retos_indicadores!$AN$2</definedName>
    <definedName name="_4._Aumentar_la_conectividad_y_diversidad_biológica_en_predios_públicos_y_privados_para_consolidar_la_estructura_ecológica_del_territorio">Parámetros_retos_indicadores!$E$2:$E$3</definedName>
    <definedName name="_4._Contribuyendo_a_la_sostenibilidad_del_agua">Párametros_proyectos_subactivid!$E$2:$E$12</definedName>
    <definedName name="_4._Modelos_sostenibles_desde_sectores_económicos_integrando_el_ciclo_de_vida_del_producto">Parámetros_componentes_retos!$E$2:$E$4</definedName>
    <definedName name="_40._Fortalecer_la_capacidad_de_control_articulado_en_situaciones_críticas_ambientales_territoriales">Parámetros_retos_indicadores!$AO$2</definedName>
    <definedName name="_41._Fortalecer_desde_la_comunicación_y_la_coherencia_la_confianza_de_los_actores_del_territorio_en_la_Autoridad_ambiental">Parámetros_retos_indicadores!$AP$2</definedName>
    <definedName name="_42._Fortalecer_la_incidencia_en_la_toma_de_decisiones_ambientales_adecuadas_desde_la_comunicación_formación_y_apropiación_social_en_la_ciudadanía_y_grupos_organizados">Parámetros_retos_indicadores!$AQ$2</definedName>
    <definedName name="_43._La_educación_y_la_comunicación_de_lo_ambiental_incorporados_en_los_instrumentos_de_planeación_de_gestión_de_desarrollo_institucional_y_territorial">Parámetros_retos_indicadores!$AR$2</definedName>
    <definedName name="_44._Implementación_de_un_modelo_de_atención_con_enfoque_étnico_diferencial_en_Corantioquia_que_garantice_el_reconocimiento_protección_cumplimiento_y_desarrollo_de_los_derechos_de_los_pueblos_étnicos">Parámetros_retos_indicadores!$AS$2</definedName>
    <definedName name="_45._Capacidad_en_las_autoridades_étnicas_para_la_promoción_y_ejercicio_efectivo_de_derechos_territoriales">Parámetros_retos_indicadores!$AT$2</definedName>
    <definedName name="_46._Sistema_de_seguimiento_control_y_evaluación_del_trabajo_ambiental_entre_los_pueblos_étnicos_y_Corantioquia">Parámetros_retos_indicadores!$AU$2</definedName>
    <definedName name="_47._Modelo_de_coordinación_interinstitucional_gubernamental_para_el_cumplimiento_de_las_funciones_ambientales_por_parte_de_las_autoridades_internas_de_los_pueblos_étnicos_Infraestructura_dotación_e_información">Parámetros_retos_indicadores!$AV$2</definedName>
    <definedName name="_48._Fortalecimiento_de_los_saberes_ancestrales_culturales_espirituales_y_sociales_a_través_de_procesos_de_sistematización_preservación_recuperación_e_investigación_para_el_desarrollo_de_la_identidad_de_los_pueblos_étnicos">Parámetros_retos_indicadores!$AW$2</definedName>
    <definedName name="_49._Creación_de_un_servidor_y_plataforma_de_información_étnica_que_articule_y_evidencie_la_situación_territorial_ambiental_y_la_gestión_en_los_territorios_étnicos">Parámetros_retos_indicadores!$AX$2</definedName>
    <definedName name="_5._Direccionando_la_ocupación_del_territorio">Párametros_proyectos_subactivid!$F$2:$F$11</definedName>
    <definedName name="_5._Identificar_proteger_y_manejar_los_elementos_naturales_del_espacio_público">Parámetros_retos_indicadores!$F$2:$F$3</definedName>
    <definedName name="_5._Paisajes_socioecosistemas_con_transición_a_la_sostenibilidad_ambiental">Parámetros_componentes_retos!$F$2</definedName>
    <definedName name="_50._Desarrollo_de_procesos_de_etnoeducación_ambiental_propio_de_los_pueblos_étnicos_con_la_creación_de_espacios_etnoeducativos_ambientales_en_territorios_ancestrales_y_colectivos">Parámetros_retos_indicadores!$AY$2</definedName>
    <definedName name="_6._Construyendo_territorios_resilientes">Párametros_proyectos_subactivid!$G$2:$G$7</definedName>
    <definedName name="_6._La_ciudadanía_y_sus_prácticas_cotidianas">Parámetros_componentes_retos!$G$2</definedName>
    <definedName name="_6._Restaurar_recuperar_y_o_rehabilitar_ecosistemas_degradados">Parámetros_retos_indicadores!$G$2:$G$3</definedName>
    <definedName name="_7._Construyendo_escenarios_y_hábitos_económicos_sostenibles">Párametros_proyectos_subactivid!$H$2:$H$13</definedName>
    <definedName name="_7._Desarrollar_modelos_municipales_de_ocupación_sostenible_e_integración_con_planes_étnicos">Parámetros_retos_indicadores!$H$2:$H$3</definedName>
    <definedName name="_7._Uso_de_energías_renovables">Parámetros_componentes_retos!$H$2:$H$3</definedName>
    <definedName name="_8._Aprovechamiento_sostenible_de_los_territorios_étnicos_para_el_fomento_de_las_economías_propias">Parámetros_componentes_retos!$I$2:$I$3</definedName>
    <definedName name="_8._Consolidando_hábitat_y_hábitos_sostenibles">Párametros_proyectos_subactivid!$I$2:$I$10</definedName>
    <definedName name="_8._Promover_planes_de_acción_ambientales_de_esquemas_asociativos_para_la_incorporación_de_los_asuntos_y_determinantes_ambientales">Parámetros_retos_indicadores!$I$2</definedName>
    <definedName name="_9._Adaptación_al_cambio_climático_y_Gestión_Integral_del_Riesgo">Parámetros_componentes_retos!$J$2:$J$3</definedName>
    <definedName name="_9._Armonizar_la_planeación_ambiental_de_la_jurisdicción_con_los_Planes_Integrales_de_Gestión_del_Cambio_Climático_Sectoriales">Parámetros_retos_indicadores!$J$2</definedName>
    <definedName name="_9._Promoviendo_la_legalidad_ambiental">Párametros_proyectos_subactivid!$J$2:$J$17</definedName>
    <definedName name="_xlnm._FilterDatabase" localSheetId="1" hidden="1">Estructura_PGAR!$A$3:$R$120</definedName>
    <definedName name="_xlnm._FilterDatabase" localSheetId="5" hidden="1">Estructura_Plan_Acción!$A$1:$AX$141</definedName>
    <definedName name="_xlnm._FilterDatabase" localSheetId="2" hidden="1">'Línea 2 PGAR Económica'!$A$3:$Q$25</definedName>
    <definedName name="_xlnm._FilterDatabase" localSheetId="3" hidden="1">'Línea 3 PGAR Social'!$A$3:$Q$40</definedName>
    <definedName name="_xlnm._FilterDatabase" localSheetId="4" hidden="1">'Línea 4 PGAR Gobernanza'!$A$3:$Q$34</definedName>
    <definedName name="Aburrá_Norte">OT_vs_Municipios!$A$2:$A$6</definedName>
    <definedName name="Aburrá_Sur">OT_vs_Municipios!$B$2:$B$11</definedName>
    <definedName name="Afro_Aburrá_Norte">Comunidades_vs_Municipios!$G$2:$G$3</definedName>
    <definedName name="Afro_Aburrá_Sur">Comunidades_vs_Municipios!$H$2:$H$3</definedName>
    <definedName name="Afro_Cartama">Comunidades_vs_Municipios!$I$2:$I$3</definedName>
    <definedName name="Afro_Hevéxicos">Comunidades_vs_Municipios!$J$2:$J$3</definedName>
    <definedName name="Afro_Panzenú">Comunidades_vs_Municipios!$K$2:$K$8</definedName>
    <definedName name="Afro_Tahamíes">Comunidades_vs_Municipios!$L$2:$L$4</definedName>
    <definedName name="Afro_Zenufaná">Comunidades_vs_Municipios!$M$2:$M$7</definedName>
    <definedName name="_xlnm.Print_Area" localSheetId="1">Estructura_PGAR!$C$1:$U$30</definedName>
    <definedName name="_xlnm.Print_Area" localSheetId="2">'Línea 2 PGAR Económica'!$A$1:$Q$25</definedName>
    <definedName name="_xlnm.Print_Area" localSheetId="3">'Línea 3 PGAR Social'!$B$1:$Q$40</definedName>
    <definedName name="_xlnm.Print_Area" localSheetId="4">'Línea 4 PGAR Gobernanza'!$A$1:$Q$34</definedName>
    <definedName name="Cartama">OT_vs_Municipios!$C$2:$C$12</definedName>
    <definedName name="Citará">OT_vs_Municipios!$D$2:$D$9</definedName>
    <definedName name="componente">Parámetros_componentes_retos!$A$2:$A$19</definedName>
    <definedName name="Embera_Chami">Comunidades_vs_Municipios!$A$2:$A$15</definedName>
    <definedName name="Embera_Eyabida">Comunidades_vs_Municipios!$B$2:$B$7</definedName>
    <definedName name="Hevéxicos">OT_vs_Municipios!$E$2:$E$11</definedName>
    <definedName name="I._Aplicación_de_compras_públicas_socialmente_responsables">Política_inclusión_social!$B$2:$B$5</definedName>
    <definedName name="I._Nuestros_ecosistemas_naturales">Párametros_programas_proyectos!$B$2:$B$3</definedName>
    <definedName name="II._Agua_para_la_vida">Párametros_programas_proyectos!$C$2:$C$3</definedName>
    <definedName name="II._Inclusión_social_y_enfoque_diferencial_en_la_gestión_ambiental_y_la_participación_para_la_incidencia_en_la_toma_de_decisiones">Política_inclusión_social!$C$2:$C$9</definedName>
    <definedName name="III._Modelo_de_ocupación_sostenible">Párametros_programas_proyectos!$D$2:$D$3</definedName>
    <definedName name="IV._Hábitat_y_hábitos_de_vida_sostenible">Párametros_programas_proyectos!$E$2:$E$3</definedName>
    <definedName name="Línea_1._Planificación_ambiental_territorial_y_protección_de_áreas_que_proveen_servicios_ecosistémicos">Parámetros_líneas_componentes!$B$2:$B$4</definedName>
    <definedName name="Línea_2._Corresponsabilidad_del_sistema_económico_hacia_territorios_sostenibles">Parámetros_líneas_componentes!$C$2:$C$6</definedName>
    <definedName name="Línea_3._Consolidación_de_un_entorno_saludable_y_seguro">Parámetros_líneas_componentes!$D$2:$D$5</definedName>
    <definedName name="Línea_4._Fortalecimiento_de_la_cultura_ambiental_y_de_las_capacidades_de_los_actores_para_la_gestión_conjunta_y_el_logro_de_los_resultados">Parámetros_líneas_componentes!$E$2:$E$7</definedName>
    <definedName name="líneas">Parámetros_líneas_componentes!$A$2:$A$5</definedName>
    <definedName name="Nutabe">Comunidades_vs_Municipios!$D$2:$D$3</definedName>
    <definedName name="Panzenú">OT_vs_Municipios!$F$2:$F$8</definedName>
    <definedName name="Tahamíes">OT_vs_Municipios!$G$2:$G$18</definedName>
    <definedName name="_xlnm.Print_Titles" localSheetId="6">Aporte_Contrato_Desempeño!$1:$7</definedName>
    <definedName name="_xlnm.Print_Titles" localSheetId="1">Estructura_PGAR!$1:$3</definedName>
    <definedName name="_xlnm.Print_Titles" localSheetId="5">Estructura_Plan_Acción!$1:$1</definedName>
    <definedName name="_xlnm.Print_Titles" localSheetId="2">'Línea 2 PGAR Económica'!$1:$3</definedName>
    <definedName name="_xlnm.Print_Titles" localSheetId="3">'Línea 3 PGAR Social'!$1:$3</definedName>
    <definedName name="_xlnm.Print_Titles" localSheetId="4">'Línea 4 PGAR Gobernanza'!$1:$3</definedName>
    <definedName name="V._Conectados_por_el_ambiente">Párametros_programas_proyectos!$F$2:$F$4</definedName>
    <definedName name="Zenu">Comunidades_vs_Municipios!$C$2:$C$6</definedName>
    <definedName name="Zenufaná">OT_vs_Municipios!$H$2:$H$13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52" i="9" l="1"/>
  <c r="H126" i="9"/>
  <c r="H152" i="9" s="1"/>
  <c r="D152" i="9"/>
  <c r="I130" i="9"/>
  <c r="H130" i="9"/>
  <c r="I129" i="9"/>
  <c r="H129" i="9"/>
  <c r="M73" i="9"/>
  <c r="M79" i="9"/>
  <c r="M77" i="9"/>
  <c r="M76" i="9"/>
  <c r="M74" i="9"/>
  <c r="L63" i="9"/>
  <c r="K63" i="9"/>
  <c r="J63" i="9"/>
  <c r="I63" i="9"/>
  <c r="H63" i="9"/>
  <c r="L62" i="9"/>
  <c r="K62" i="9"/>
  <c r="J62" i="9"/>
  <c r="I62" i="9"/>
  <c r="H62" i="9"/>
  <c r="L61" i="9"/>
  <c r="K61" i="9"/>
  <c r="J61" i="9"/>
  <c r="I61" i="9"/>
  <c r="H61" i="9"/>
  <c r="L60" i="9"/>
  <c r="K60" i="9"/>
  <c r="J60" i="9"/>
  <c r="I60" i="9"/>
  <c r="H60" i="9"/>
  <c r="L59" i="9"/>
  <c r="K59" i="9"/>
  <c r="J59" i="9"/>
  <c r="I59" i="9"/>
  <c r="H59" i="9"/>
  <c r="L58" i="9"/>
  <c r="K58" i="9"/>
  <c r="J58" i="9"/>
  <c r="I58" i="9"/>
  <c r="H58" i="9"/>
  <c r="L57" i="9"/>
  <c r="K57" i="9"/>
  <c r="J57" i="9"/>
  <c r="I57" i="9"/>
  <c r="H57" i="9"/>
  <c r="L56" i="9"/>
  <c r="K56" i="9"/>
  <c r="J56" i="9"/>
  <c r="I56" i="9"/>
  <c r="H56" i="9"/>
  <c r="L55" i="9"/>
  <c r="K55" i="9"/>
  <c r="J55" i="9"/>
  <c r="I55" i="9"/>
  <c r="H55" i="9"/>
  <c r="L54" i="9"/>
  <c r="K54" i="9"/>
  <c r="J54" i="9"/>
  <c r="I54" i="9"/>
  <c r="H54" i="9"/>
  <c r="G63" i="9"/>
  <c r="G62" i="9"/>
  <c r="G61" i="9"/>
  <c r="G60" i="9"/>
  <c r="G59" i="9"/>
  <c r="G58" i="9"/>
  <c r="G57" i="9"/>
  <c r="G56" i="9"/>
  <c r="G55" i="9"/>
  <c r="G54" i="9"/>
  <c r="F63" i="9"/>
  <c r="F62" i="9"/>
  <c r="F61" i="9"/>
  <c r="F60" i="9"/>
  <c r="F59" i="9"/>
  <c r="F58" i="9"/>
  <c r="F57" i="9"/>
  <c r="F56" i="9"/>
  <c r="F55" i="9"/>
  <c r="F54" i="9"/>
  <c r="E63" i="9"/>
  <c r="E62" i="9"/>
  <c r="E61" i="9"/>
  <c r="E60" i="9"/>
  <c r="E59" i="9"/>
  <c r="E58" i="9"/>
  <c r="E57" i="9"/>
  <c r="E56" i="9"/>
  <c r="E55" i="9"/>
  <c r="E54" i="9"/>
  <c r="M75" i="9"/>
  <c r="M80" i="9"/>
  <c r="M78" i="9"/>
  <c r="I126" i="9"/>
  <c r="I152" i="9" s="1"/>
  <c r="I128" i="9"/>
  <c r="I127" i="9"/>
  <c r="H127" i="9"/>
  <c r="H128" i="9"/>
  <c r="M106" i="9"/>
  <c r="M107" i="9"/>
  <c r="M108" i="9"/>
  <c r="M109" i="9"/>
  <c r="M110" i="9"/>
  <c r="M111" i="9"/>
  <c r="M112" i="9"/>
  <c r="M113" i="9"/>
  <c r="M114" i="9"/>
  <c r="M115" i="9"/>
  <c r="M116" i="9"/>
  <c r="M117" i="9"/>
  <c r="M118" i="9"/>
  <c r="M119" i="9"/>
  <c r="M120" i="9"/>
  <c r="M121" i="9"/>
  <c r="M105" i="9"/>
  <c r="M100" i="9"/>
  <c r="M91" i="9"/>
  <c r="M92" i="9"/>
  <c r="M93" i="9"/>
  <c r="M95" i="9"/>
  <c r="M96" i="9"/>
  <c r="M97" i="9"/>
  <c r="M98" i="9"/>
  <c r="M99" i="9"/>
  <c r="M90" i="9"/>
  <c r="F68" i="9"/>
  <c r="F67" i="9"/>
  <c r="F66" i="9"/>
  <c r="F65" i="9"/>
  <c r="E68" i="9"/>
  <c r="E67" i="9"/>
  <c r="E66" i="9"/>
  <c r="E65" i="9"/>
  <c r="F64" i="9"/>
  <c r="E64" i="9"/>
  <c r="G71" i="14"/>
  <c r="G140" i="14"/>
  <c r="G69" i="14"/>
  <c r="G36" i="14"/>
  <c r="G31" i="14"/>
  <c r="L68" i="9"/>
  <c r="K68" i="9"/>
  <c r="J68" i="9"/>
  <c r="I68" i="9"/>
  <c r="H68" i="9"/>
  <c r="G68" i="9"/>
  <c r="L67" i="9"/>
  <c r="K67" i="9"/>
  <c r="J67" i="9"/>
  <c r="I67" i="9"/>
  <c r="H67" i="9"/>
  <c r="G67" i="9"/>
  <c r="L66" i="9"/>
  <c r="K66" i="9"/>
  <c r="J66" i="9"/>
  <c r="I66" i="9"/>
  <c r="H66" i="9"/>
  <c r="G66" i="9"/>
  <c r="L65" i="9"/>
  <c r="K65" i="9"/>
  <c r="J65" i="9"/>
  <c r="I65" i="9"/>
  <c r="H65" i="9"/>
  <c r="G65" i="9"/>
  <c r="L64" i="9"/>
  <c r="K64" i="9"/>
  <c r="J64" i="9"/>
  <c r="I64" i="9"/>
  <c r="H64" i="9"/>
  <c r="G64" i="9"/>
  <c r="P88" i="5"/>
  <c r="O88" i="5"/>
  <c r="N88" i="5"/>
  <c r="M88" i="5"/>
  <c r="L88" i="5"/>
  <c r="J73" i="5"/>
  <c r="K72" i="5"/>
  <c r="J72" i="5"/>
  <c r="J70" i="5"/>
  <c r="J69" i="5"/>
  <c r="J68" i="5"/>
  <c r="J67" i="5"/>
  <c r="J66" i="5"/>
  <c r="J65" i="5"/>
  <c r="J64" i="5"/>
  <c r="P63" i="5"/>
  <c r="O63" i="5"/>
  <c r="N63" i="5"/>
  <c r="M63" i="5"/>
  <c r="L63" i="5"/>
  <c r="J63" i="5"/>
  <c r="P60" i="5"/>
  <c r="O60" i="5"/>
  <c r="N60" i="5"/>
  <c r="M60" i="5"/>
  <c r="L60" i="5"/>
  <c r="J60" i="5"/>
  <c r="J59" i="5"/>
  <c r="J58" i="5"/>
  <c r="J57" i="5"/>
  <c r="J43" i="5"/>
  <c r="J38" i="5"/>
  <c r="J36" i="5"/>
  <c r="G17" i="14"/>
  <c r="G18" i="14"/>
  <c r="G19" i="14"/>
  <c r="G20" i="14"/>
  <c r="G21" i="14"/>
  <c r="G22" i="14"/>
  <c r="G23" i="14"/>
  <c r="G24" i="14"/>
  <c r="G25" i="14"/>
  <c r="G26" i="14"/>
  <c r="G27" i="14"/>
  <c r="G28" i="14"/>
  <c r="G29" i="14"/>
  <c r="G30" i="14"/>
  <c r="G32" i="14"/>
  <c r="G33" i="14"/>
  <c r="G34" i="14"/>
  <c r="G35" i="14"/>
  <c r="G37" i="14"/>
  <c r="G38" i="14"/>
  <c r="G39" i="14"/>
  <c r="G40" i="14"/>
  <c r="G41" i="14"/>
  <c r="G42" i="14"/>
  <c r="G43" i="14"/>
  <c r="G44" i="14"/>
  <c r="G45" i="14"/>
  <c r="G46" i="14"/>
  <c r="G47" i="14"/>
  <c r="G48" i="14"/>
  <c r="G49" i="14"/>
  <c r="G50" i="14"/>
  <c r="G51" i="14"/>
  <c r="G52" i="14"/>
  <c r="G53" i="14"/>
  <c r="G54" i="14"/>
  <c r="G55" i="14"/>
  <c r="G56" i="14"/>
  <c r="G57" i="14"/>
  <c r="G58" i="14"/>
  <c r="G59" i="14"/>
  <c r="G60" i="14"/>
  <c r="G61" i="14"/>
  <c r="G62" i="14"/>
  <c r="G63" i="14"/>
  <c r="G64" i="14"/>
  <c r="G65" i="14"/>
  <c r="G66" i="14"/>
  <c r="G67" i="14"/>
  <c r="G68" i="14"/>
  <c r="G70" i="14"/>
  <c r="G72" i="14"/>
  <c r="G73" i="14"/>
  <c r="G74" i="14"/>
  <c r="G75" i="14"/>
  <c r="G76" i="14"/>
  <c r="G77" i="14"/>
  <c r="G78" i="14"/>
  <c r="G79" i="14"/>
  <c r="G80" i="14"/>
  <c r="G81" i="14"/>
  <c r="G82" i="14"/>
  <c r="G83" i="14"/>
  <c r="G84" i="14"/>
  <c r="G85" i="14"/>
  <c r="G86" i="14"/>
  <c r="G87" i="14"/>
  <c r="G88" i="14"/>
  <c r="G89" i="14"/>
  <c r="G90" i="14"/>
  <c r="G91" i="14"/>
  <c r="G92" i="14"/>
  <c r="G93" i="14"/>
  <c r="G94" i="14"/>
  <c r="G95" i="14"/>
  <c r="G96" i="14"/>
  <c r="G97" i="14"/>
  <c r="G98" i="14"/>
  <c r="G99" i="14"/>
  <c r="G100" i="14"/>
  <c r="G101" i="14"/>
  <c r="G102" i="14"/>
  <c r="G103" i="14"/>
  <c r="G104" i="14"/>
  <c r="G105" i="14"/>
  <c r="G106" i="14"/>
  <c r="G107" i="14"/>
  <c r="G108" i="14"/>
  <c r="G109" i="14"/>
  <c r="G110" i="14"/>
  <c r="G111" i="14"/>
  <c r="G112" i="14"/>
  <c r="G113" i="14"/>
  <c r="G114" i="14"/>
  <c r="G115" i="14"/>
  <c r="G116" i="14"/>
  <c r="G117" i="14"/>
  <c r="G118" i="14"/>
  <c r="G119" i="14"/>
  <c r="G120" i="14"/>
  <c r="G121" i="14"/>
  <c r="G122" i="14"/>
  <c r="G123" i="14"/>
  <c r="G124" i="14"/>
  <c r="G125" i="14"/>
  <c r="G126" i="14"/>
  <c r="G127" i="14"/>
  <c r="G128" i="14"/>
  <c r="G129" i="14"/>
  <c r="G130" i="14"/>
  <c r="G131" i="14"/>
  <c r="G132" i="14"/>
  <c r="G133" i="14"/>
  <c r="G134" i="14"/>
  <c r="G135" i="14"/>
  <c r="G136" i="14"/>
  <c r="G137" i="14"/>
  <c r="G138" i="14"/>
  <c r="G139" i="14"/>
  <c r="G3" i="14"/>
  <c r="G4" i="14"/>
  <c r="G5" i="14"/>
  <c r="G6" i="14"/>
  <c r="G7" i="14"/>
  <c r="G8" i="14"/>
  <c r="G9" i="14"/>
  <c r="G10" i="14"/>
  <c r="G11" i="14"/>
  <c r="G12" i="14"/>
  <c r="G13" i="14"/>
  <c r="G14" i="14"/>
  <c r="G15" i="14"/>
  <c r="G16" i="14"/>
  <c r="G2" i="14"/>
  <c r="L73" i="9" s="1"/>
  <c r="AS140" i="14"/>
  <c r="AK140" i="14"/>
  <c r="AH140" i="14"/>
  <c r="AC140" i="14"/>
  <c r="AB140" i="14"/>
  <c r="AA140" i="14"/>
  <c r="L140" i="14"/>
  <c r="AH139" i="14"/>
  <c r="AA139" i="14" s="1"/>
  <c r="AT139" i="14" s="1"/>
  <c r="Z139" i="14"/>
  <c r="AS139" i="14" s="1"/>
  <c r="AS138" i="14"/>
  <c r="AK138" i="14"/>
  <c r="AH138" i="14"/>
  <c r="AT138" i="14" s="1"/>
  <c r="Y138" i="14"/>
  <c r="AH137" i="14"/>
  <c r="AA137" i="14"/>
  <c r="Z137" i="14"/>
  <c r="AS136" i="14"/>
  <c r="AK136" i="14"/>
  <c r="AH136" i="14"/>
  <c r="Y136" i="14"/>
  <c r="AH135" i="14"/>
  <c r="Z135" i="14"/>
  <c r="AS135" i="14"/>
  <c r="AH134" i="14"/>
  <c r="AA134" i="14"/>
  <c r="AM134" i="14"/>
  <c r="Z134" i="14"/>
  <c r="AS134" i="14" s="1"/>
  <c r="AS133" i="14"/>
  <c r="AO133" i="14"/>
  <c r="AN133" i="14"/>
  <c r="AH133" i="14"/>
  <c r="AT133" i="14"/>
  <c r="Y133" i="14"/>
  <c r="L133" i="14"/>
  <c r="AS132" i="14"/>
  <c r="AO132" i="14"/>
  <c r="AN132" i="14"/>
  <c r="AM132" i="14"/>
  <c r="AH132" i="14"/>
  <c r="AI132" i="14"/>
  <c r="AJ132" i="14"/>
  <c r="AV132" i="14"/>
  <c r="Y132" i="14"/>
  <c r="P132" i="14"/>
  <c r="O132" i="14"/>
  <c r="N132" i="14"/>
  <c r="L132" i="14"/>
  <c r="AH131" i="14"/>
  <c r="AI131" i="14"/>
  <c r="AJ131" i="14"/>
  <c r="AC131" i="14" s="1"/>
  <c r="Z131" i="14"/>
  <c r="AS131" i="14"/>
  <c r="AS130" i="14"/>
  <c r="AM130" i="14"/>
  <c r="AH130" i="14"/>
  <c r="AI130" i="14"/>
  <c r="AJ130" i="14"/>
  <c r="AB130" i="14"/>
  <c r="AN130" i="14"/>
  <c r="AO129" i="14"/>
  <c r="AH129" i="14"/>
  <c r="AI129" i="14" s="1"/>
  <c r="AB129" i="14"/>
  <c r="AN129" i="14"/>
  <c r="AA129" i="14"/>
  <c r="AM129" i="14" s="1"/>
  <c r="Z129" i="14"/>
  <c r="AS128" i="14"/>
  <c r="AO128" i="14"/>
  <c r="AN128" i="14"/>
  <c r="AM128" i="14"/>
  <c r="AH128" i="14"/>
  <c r="AI128" i="14"/>
  <c r="AJ128" i="14" s="1"/>
  <c r="AV128" i="14" s="1"/>
  <c r="Y128" i="14"/>
  <c r="AS127" i="14"/>
  <c r="AO127" i="14"/>
  <c r="AN127" i="14"/>
  <c r="AM127" i="14"/>
  <c r="AH127" i="14"/>
  <c r="Y127" i="14"/>
  <c r="AK126" i="14"/>
  <c r="AH126" i="14"/>
  <c r="AA126" i="14"/>
  <c r="AT126" i="14" s="1"/>
  <c r="Z126" i="14"/>
  <c r="AS125" i="14"/>
  <c r="AK125" i="14"/>
  <c r="AH125" i="14"/>
  <c r="AA125" i="14"/>
  <c r="AS124" i="14"/>
  <c r="AK124" i="14"/>
  <c r="AH124" i="14"/>
  <c r="AI124" i="14"/>
  <c r="AU124" i="14"/>
  <c r="Y124" i="14"/>
  <c r="AS123" i="14"/>
  <c r="AK123" i="14"/>
  <c r="AH123" i="14"/>
  <c r="AT123" i="14"/>
  <c r="Y123" i="14"/>
  <c r="AK122" i="14"/>
  <c r="AG122" i="14"/>
  <c r="AS122" i="14"/>
  <c r="Y122" i="14"/>
  <c r="AK121" i="14"/>
  <c r="AG121" i="14"/>
  <c r="AH121" i="14"/>
  <c r="AC121" i="14"/>
  <c r="AB121" i="14"/>
  <c r="AA121" i="14"/>
  <c r="Z121" i="14"/>
  <c r="AS121" i="14" s="1"/>
  <c r="AK120" i="14"/>
  <c r="AH120" i="14"/>
  <c r="AI120" i="14" s="1"/>
  <c r="Z120" i="14"/>
  <c r="AS120" i="14" s="1"/>
  <c r="Y120" i="14"/>
  <c r="AK119" i="14"/>
  <c r="AG119" i="14"/>
  <c r="AH119" i="14"/>
  <c r="AI119" i="14"/>
  <c r="AJ119" i="14"/>
  <c r="AC119" i="14"/>
  <c r="AB119" i="14"/>
  <c r="AA119" i="14"/>
  <c r="Z119" i="14"/>
  <c r="AK118" i="14"/>
  <c r="AG118" i="14"/>
  <c r="AC118" i="14"/>
  <c r="AB118" i="14"/>
  <c r="AA118" i="14"/>
  <c r="Z118" i="14"/>
  <c r="AS117" i="14"/>
  <c r="AK117" i="14"/>
  <c r="AH117" i="14"/>
  <c r="AI117" i="14"/>
  <c r="Y117" i="14"/>
  <c r="AS116" i="14"/>
  <c r="AK116" i="14"/>
  <c r="AH116" i="14"/>
  <c r="AI116" i="14"/>
  <c r="AJ116" i="14"/>
  <c r="AV116" i="14" s="1"/>
  <c r="Y116" i="14"/>
  <c r="AK115" i="14"/>
  <c r="AG115" i="14"/>
  <c r="AS115" i="14" s="1"/>
  <c r="AA115" i="14"/>
  <c r="AK114" i="14"/>
  <c r="AG114" i="14"/>
  <c r="AS114" i="14" s="1"/>
  <c r="Y114" i="14"/>
  <c r="AS113" i="14"/>
  <c r="AK113" i="14"/>
  <c r="AH113" i="14"/>
  <c r="AI113" i="14"/>
  <c r="AJ113" i="14"/>
  <c r="AA113" i="14"/>
  <c r="AS112" i="14"/>
  <c r="AK112" i="14"/>
  <c r="AH112" i="14"/>
  <c r="Y112" i="14"/>
  <c r="AS111" i="14"/>
  <c r="AK111" i="14"/>
  <c r="AH111" i="14"/>
  <c r="AI111" i="14"/>
  <c r="AC111" i="14"/>
  <c r="AB111" i="14"/>
  <c r="AA111" i="14"/>
  <c r="AS110" i="14"/>
  <c r="AK110" i="14"/>
  <c r="AH110" i="14"/>
  <c r="AI110" i="14"/>
  <c r="AJ110" i="14"/>
  <c r="AA110" i="14"/>
  <c r="AB110" i="14" s="1"/>
  <c r="AS109" i="14"/>
  <c r="AK109" i="14"/>
  <c r="AH109" i="14"/>
  <c r="AA109" i="14"/>
  <c r="AB109" i="14"/>
  <c r="AS108" i="14"/>
  <c r="AK108" i="14"/>
  <c r="AH108" i="14"/>
  <c r="AI108" i="14"/>
  <c r="AJ108" i="14"/>
  <c r="AA108" i="14"/>
  <c r="AS107" i="14"/>
  <c r="AK107" i="14"/>
  <c r="AH107" i="14"/>
  <c r="AI107" i="14" s="1"/>
  <c r="AA107" i="14"/>
  <c r="AB107" i="14"/>
  <c r="AS106" i="14"/>
  <c r="AK106" i="14"/>
  <c r="AH106" i="14"/>
  <c r="AI106" i="14"/>
  <c r="AJ106" i="14"/>
  <c r="AA106" i="14"/>
  <c r="AS105" i="14"/>
  <c r="AK105" i="14"/>
  <c r="AH105" i="14"/>
  <c r="AA105" i="14"/>
  <c r="AB105" i="14" s="1"/>
  <c r="AS104" i="14"/>
  <c r="AK104" i="14"/>
  <c r="AH104" i="14"/>
  <c r="AI104" i="14" s="1"/>
  <c r="AJ104" i="14" s="1"/>
  <c r="AA104" i="14"/>
  <c r="AB104" i="14" s="1"/>
  <c r="AU104" i="14" s="1"/>
  <c r="AS103" i="14"/>
  <c r="AK103" i="14"/>
  <c r="AH103" i="14"/>
  <c r="AI103" i="14" s="1"/>
  <c r="AA103" i="14"/>
  <c r="AB103" i="14"/>
  <c r="AC103" i="14"/>
  <c r="AK102" i="14"/>
  <c r="AG102" i="14"/>
  <c r="AH102" i="14"/>
  <c r="AI102" i="14"/>
  <c r="AJ102" i="14" s="1"/>
  <c r="AC102" i="14"/>
  <c r="AB102" i="14"/>
  <c r="AA102" i="14"/>
  <c r="Y102" i="14" s="1"/>
  <c r="AS101" i="14"/>
  <c r="AK101" i="14"/>
  <c r="AH101" i="14"/>
  <c r="AI101" i="14"/>
  <c r="AU101" i="14" s="1"/>
  <c r="AC101" i="14"/>
  <c r="AB101" i="14"/>
  <c r="AA101" i="14"/>
  <c r="AS100" i="14"/>
  <c r="AK100" i="14"/>
  <c r="AH100" i="14"/>
  <c r="Y100" i="14"/>
  <c r="AK99" i="14"/>
  <c r="AG99" i="14"/>
  <c r="Z99" i="14"/>
  <c r="Y99" i="14"/>
  <c r="AK98" i="14"/>
  <c r="AH98" i="14"/>
  <c r="AC98" i="14"/>
  <c r="AB98" i="14"/>
  <c r="AA98" i="14"/>
  <c r="Z98" i="14"/>
  <c r="AS98" i="14" s="1"/>
  <c r="AS97" i="14"/>
  <c r="AK97" i="14"/>
  <c r="AH97" i="14"/>
  <c r="AT97" i="14" s="1"/>
  <c r="Y97" i="14"/>
  <c r="AS96" i="14"/>
  <c r="AO96" i="14"/>
  <c r="AN96" i="14"/>
  <c r="AM96" i="14"/>
  <c r="AH96" i="14"/>
  <c r="AI96" i="14" s="1"/>
  <c r="AJ96" i="14" s="1"/>
  <c r="AV96" i="14" s="1"/>
  <c r="Y96" i="14"/>
  <c r="AS95" i="14"/>
  <c r="AK95" i="14"/>
  <c r="AH95" i="14"/>
  <c r="Y95" i="14"/>
  <c r="AS94" i="14"/>
  <c r="AK94" i="14"/>
  <c r="AH94" i="14"/>
  <c r="AI94" i="14"/>
  <c r="Y94" i="14"/>
  <c r="AK93" i="14"/>
  <c r="AG93" i="14"/>
  <c r="AH93" i="14"/>
  <c r="AC93" i="14"/>
  <c r="AB93" i="14"/>
  <c r="AA93" i="14"/>
  <c r="Z93" i="14"/>
  <c r="AS93" i="14" s="1"/>
  <c r="AS92" i="14"/>
  <c r="AK92" i="14"/>
  <c r="AH92" i="14"/>
  <c r="Y92" i="14"/>
  <c r="AS91" i="14"/>
  <c r="AM91" i="14"/>
  <c r="AN91" i="14"/>
  <c r="AO91" i="14" s="1"/>
  <c r="AH91" i="14"/>
  <c r="AI91" i="14"/>
  <c r="Y91" i="14"/>
  <c r="AS90" i="14"/>
  <c r="AK90" i="14"/>
  <c r="AH90" i="14"/>
  <c r="AT90" i="14" s="1"/>
  <c r="Y90" i="14"/>
  <c r="AS89" i="14"/>
  <c r="AK89" i="14"/>
  <c r="AH89" i="14"/>
  <c r="AI89" i="14"/>
  <c r="AU89" i="14"/>
  <c r="Y89" i="14"/>
  <c r="AS88" i="14"/>
  <c r="AK88" i="14"/>
  <c r="AH88" i="14"/>
  <c r="AI88" i="14"/>
  <c r="Y88" i="14"/>
  <c r="AS87" i="14"/>
  <c r="AK87" i="14"/>
  <c r="AH87" i="14"/>
  <c r="Y87" i="14"/>
  <c r="P87" i="14"/>
  <c r="O87" i="14"/>
  <c r="N87" i="14"/>
  <c r="M87" i="14"/>
  <c r="AS86" i="14"/>
  <c r="AK86" i="14"/>
  <c r="AH86" i="14"/>
  <c r="AI86" i="14" s="1"/>
  <c r="AU86" i="14" s="1"/>
  <c r="Y86" i="14"/>
  <c r="P86" i="14"/>
  <c r="O86" i="14"/>
  <c r="N86" i="14"/>
  <c r="M86" i="14"/>
  <c r="L86" i="14"/>
  <c r="AS85" i="14"/>
  <c r="AK85" i="14"/>
  <c r="AH85" i="14"/>
  <c r="AI85" i="14"/>
  <c r="Y85" i="14"/>
  <c r="AS84" i="14"/>
  <c r="AK84" i="14"/>
  <c r="AH84" i="14"/>
  <c r="AI84" i="14"/>
  <c r="Y84" i="14"/>
  <c r="AS83" i="14"/>
  <c r="AK83" i="14"/>
  <c r="AH83" i="14"/>
  <c r="Y83" i="14"/>
  <c r="AS82" i="14"/>
  <c r="AK82" i="14"/>
  <c r="AH82" i="14"/>
  <c r="Y82" i="14"/>
  <c r="AS81" i="14"/>
  <c r="AK81" i="14"/>
  <c r="AH81" i="14"/>
  <c r="AT81" i="14" s="1"/>
  <c r="Y81" i="14"/>
  <c r="AK80" i="14"/>
  <c r="AG80" i="14"/>
  <c r="Z80" i="14"/>
  <c r="Y80" i="14"/>
  <c r="AS79" i="14"/>
  <c r="AH79" i="14"/>
  <c r="AI79" i="14" s="1"/>
  <c r="AA79" i="14"/>
  <c r="AM79" i="14"/>
  <c r="L79" i="14"/>
  <c r="AS78" i="14"/>
  <c r="AM78" i="14"/>
  <c r="AH78" i="14"/>
  <c r="AT78" i="14"/>
  <c r="AB78" i="14"/>
  <c r="AC78" i="14"/>
  <c r="Y78" i="14"/>
  <c r="X78" i="14"/>
  <c r="AM77" i="14"/>
  <c r="AN77" i="14"/>
  <c r="AH77" i="14"/>
  <c r="AT77" i="14"/>
  <c r="Z77" i="14"/>
  <c r="AM76" i="14"/>
  <c r="AN76" i="14"/>
  <c r="AO76" i="14"/>
  <c r="AH76" i="14"/>
  <c r="AI76" i="14"/>
  <c r="AU76" i="14"/>
  <c r="Z76" i="14"/>
  <c r="AS76" i="14" s="1"/>
  <c r="AS75" i="14"/>
  <c r="AM75" i="14"/>
  <c r="AN75" i="14"/>
  <c r="AH75" i="14"/>
  <c r="AT75" i="14"/>
  <c r="Y75" i="14"/>
  <c r="AS74" i="14"/>
  <c r="AK74" i="14"/>
  <c r="AH74" i="14"/>
  <c r="AI74" i="14"/>
  <c r="Y74" i="14"/>
  <c r="AS73" i="14"/>
  <c r="AK73" i="14"/>
  <c r="AH73" i="14"/>
  <c r="AI73" i="14"/>
  <c r="AU73" i="14" s="1"/>
  <c r="Y73" i="14"/>
  <c r="AK72" i="14"/>
  <c r="AH72" i="14"/>
  <c r="AI72" i="14" s="1"/>
  <c r="AJ72" i="14" s="1"/>
  <c r="Z72" i="14"/>
  <c r="AA72" i="14" s="1"/>
  <c r="AS72" i="14"/>
  <c r="L72" i="14"/>
  <c r="AS71" i="14"/>
  <c r="AM71" i="14"/>
  <c r="AN71" i="14"/>
  <c r="AH71" i="14"/>
  <c r="AI71" i="14"/>
  <c r="Y71" i="14"/>
  <c r="X71" i="14"/>
  <c r="O71" i="14"/>
  <c r="P71" i="14"/>
  <c r="L71" i="14"/>
  <c r="AS70" i="14"/>
  <c r="AM70" i="14"/>
  <c r="AN70" i="14"/>
  <c r="AO70" i="14"/>
  <c r="AH70" i="14"/>
  <c r="AI70" i="14" s="1"/>
  <c r="AU70" i="14" s="1"/>
  <c r="Y70" i="14"/>
  <c r="X70" i="14"/>
  <c r="AS69" i="14"/>
  <c r="AK69" i="14"/>
  <c r="AH69" i="14"/>
  <c r="AT69" i="14"/>
  <c r="Y69" i="14"/>
  <c r="AS68" i="14"/>
  <c r="AK68" i="14"/>
  <c r="AH68" i="14"/>
  <c r="Y68" i="14"/>
  <c r="AS67" i="14"/>
  <c r="AM67" i="14"/>
  <c r="AH67" i="14"/>
  <c r="AI67" i="14" s="1"/>
  <c r="AJ67" i="14" s="1"/>
  <c r="AB67" i="14"/>
  <c r="AN67" i="14"/>
  <c r="AS66" i="14"/>
  <c r="AM66" i="14"/>
  <c r="AN66" i="14"/>
  <c r="AH66" i="14"/>
  <c r="AI66" i="14" s="1"/>
  <c r="AJ66" i="14" s="1"/>
  <c r="AV66" i="14" s="1"/>
  <c r="Y66" i="14"/>
  <c r="AS65" i="14"/>
  <c r="AK65" i="14"/>
  <c r="AH65" i="14"/>
  <c r="AT65" i="14"/>
  <c r="Y65" i="14"/>
  <c r="AS64" i="14"/>
  <c r="AK64" i="14"/>
  <c r="AH64" i="14"/>
  <c r="AT64" i="14" s="1"/>
  <c r="Y64" i="14"/>
  <c r="L64" i="14"/>
  <c r="AS63" i="14"/>
  <c r="AL63" i="14"/>
  <c r="AM63" i="14"/>
  <c r="AN63" i="14"/>
  <c r="AO63" i="14"/>
  <c r="AG63" i="14"/>
  <c r="AH63" i="14"/>
  <c r="AT63" i="14"/>
  <c r="Y63" i="14"/>
  <c r="AS62" i="14"/>
  <c r="AK62" i="14"/>
  <c r="AH62" i="14"/>
  <c r="AT62" i="14"/>
  <c r="Y62" i="14"/>
  <c r="L62" i="14"/>
  <c r="AS61" i="14"/>
  <c r="AK61" i="14"/>
  <c r="AH61" i="14"/>
  <c r="AT61" i="14"/>
  <c r="Y61" i="14"/>
  <c r="AS60" i="14"/>
  <c r="AK60" i="14"/>
  <c r="AH60" i="14"/>
  <c r="AT60" i="14"/>
  <c r="AB60" i="14"/>
  <c r="AC60" i="14" s="1"/>
  <c r="L60" i="14"/>
  <c r="AK59" i="14"/>
  <c r="AH59" i="14"/>
  <c r="AI59" i="14" s="1"/>
  <c r="AC59" i="14"/>
  <c r="AB59" i="14"/>
  <c r="AA59" i="14"/>
  <c r="Z59" i="14"/>
  <c r="AS59" i="14"/>
  <c r="AS58" i="14"/>
  <c r="AK58" i="14"/>
  <c r="AH58" i="14"/>
  <c r="AI58" i="14"/>
  <c r="Y58" i="14"/>
  <c r="AS57" i="14"/>
  <c r="AO57" i="14"/>
  <c r="AN57" i="14"/>
  <c r="AM57" i="14"/>
  <c r="AH57" i="14"/>
  <c r="AI57" i="14"/>
  <c r="Y57" i="14"/>
  <c r="X57" i="14"/>
  <c r="AK56" i="14"/>
  <c r="AH56" i="14"/>
  <c r="AI56" i="14"/>
  <c r="AJ56" i="14"/>
  <c r="AC56" i="14"/>
  <c r="AB56" i="14"/>
  <c r="AA56" i="14"/>
  <c r="Z56" i="14"/>
  <c r="AS56" i="14" s="1"/>
  <c r="P56" i="14"/>
  <c r="O56" i="14"/>
  <c r="N56" i="14"/>
  <c r="M56" i="14"/>
  <c r="L56" i="14"/>
  <c r="AK55" i="14"/>
  <c r="AH55" i="14"/>
  <c r="AC55" i="14"/>
  <c r="AB55" i="14"/>
  <c r="AA55" i="14"/>
  <c r="AT55" i="14" s="1"/>
  <c r="Z55" i="14"/>
  <c r="AK54" i="14"/>
  <c r="AG54" i="14"/>
  <c r="AC54" i="14"/>
  <c r="AB54" i="14"/>
  <c r="Y54" i="14" s="1"/>
  <c r="X54" i="14" s="1"/>
  <c r="AA54" i="14"/>
  <c r="Z54" i="14"/>
  <c r="AS53" i="14"/>
  <c r="AK53" i="14"/>
  <c r="AH53" i="14"/>
  <c r="AI53" i="14"/>
  <c r="Y53" i="14"/>
  <c r="P53" i="14"/>
  <c r="AK52" i="14"/>
  <c r="AG52" i="14"/>
  <c r="AH52" i="14"/>
  <c r="AI52" i="14"/>
  <c r="AJ52" i="14" s="1"/>
  <c r="AA52" i="14"/>
  <c r="Z52" i="14"/>
  <c r="P52" i="14"/>
  <c r="O52" i="14"/>
  <c r="N52" i="14"/>
  <c r="M52" i="14"/>
  <c r="AK51" i="14"/>
  <c r="AG51" i="14"/>
  <c r="AS51" i="14"/>
  <c r="Y51" i="14"/>
  <c r="X51" i="14" s="1"/>
  <c r="P51" i="14"/>
  <c r="O51" i="14"/>
  <c r="N51" i="14"/>
  <c r="L51" i="14"/>
  <c r="AS50" i="14"/>
  <c r="AK50" i="14"/>
  <c r="AH50" i="14"/>
  <c r="AI50" i="14" s="1"/>
  <c r="Y50" i="14"/>
  <c r="AS49" i="14"/>
  <c r="AK49" i="14"/>
  <c r="AG49" i="14"/>
  <c r="AH49" i="14"/>
  <c r="AT49" i="14"/>
  <c r="Y49" i="14"/>
  <c r="P49" i="14"/>
  <c r="O49" i="14"/>
  <c r="N49" i="14"/>
  <c r="M49" i="14"/>
  <c r="L49" i="14"/>
  <c r="AS48" i="14"/>
  <c r="AK48" i="14"/>
  <c r="AH48" i="14"/>
  <c r="AT48" i="14" s="1"/>
  <c r="Y48" i="14"/>
  <c r="P48" i="14"/>
  <c r="AK47" i="14"/>
  <c r="AG47" i="14"/>
  <c r="AH47" i="14" s="1"/>
  <c r="AT47" i="14" s="1"/>
  <c r="AS47" i="14"/>
  <c r="Y47" i="14"/>
  <c r="AS46" i="14"/>
  <c r="AK46" i="14"/>
  <c r="AH46" i="14"/>
  <c r="AI46" i="14" s="1"/>
  <c r="AA46" i="14"/>
  <c r="AS45" i="14"/>
  <c r="AK45" i="14"/>
  <c r="AH45" i="14"/>
  <c r="AT45" i="14"/>
  <c r="Y45" i="14"/>
  <c r="AS44" i="14"/>
  <c r="AK44" i="14"/>
  <c r="AH44" i="14"/>
  <c r="Y44" i="14"/>
  <c r="AS43" i="14"/>
  <c r="AK43" i="14"/>
  <c r="AH43" i="14"/>
  <c r="Y43" i="14"/>
  <c r="AS42" i="14"/>
  <c r="AK42" i="14"/>
  <c r="AH42" i="14"/>
  <c r="AI42" i="14"/>
  <c r="AJ42" i="14" s="1"/>
  <c r="AA42" i="14"/>
  <c r="AK41" i="14"/>
  <c r="AG41" i="14"/>
  <c r="AS41" i="14"/>
  <c r="Y41" i="14"/>
  <c r="AM40" i="14"/>
  <c r="AN40" i="14" s="1"/>
  <c r="AG40" i="14"/>
  <c r="AH40" i="14"/>
  <c r="Y40" i="14"/>
  <c r="AM39" i="14"/>
  <c r="AN39" i="14"/>
  <c r="AG39" i="14"/>
  <c r="AH39" i="14"/>
  <c r="AT39" i="14" s="1"/>
  <c r="Y39" i="14"/>
  <c r="L39" i="14"/>
  <c r="AS38" i="14"/>
  <c r="AK38" i="14"/>
  <c r="AH38" i="14"/>
  <c r="AB38" i="14"/>
  <c r="Y38" i="14"/>
  <c r="X38" i="14" s="1"/>
  <c r="AS37" i="14"/>
  <c r="AO37" i="14"/>
  <c r="AN37" i="14"/>
  <c r="AM37" i="14"/>
  <c r="AH37" i="14"/>
  <c r="AT37" i="14"/>
  <c r="Y37" i="14"/>
  <c r="X37" i="14" s="1"/>
  <c r="AK36" i="14"/>
  <c r="AG36" i="14"/>
  <c r="AC36" i="14"/>
  <c r="AB36" i="14"/>
  <c r="AA36" i="14"/>
  <c r="Z36" i="14"/>
  <c r="AS35" i="14"/>
  <c r="AK35" i="14"/>
  <c r="AH35" i="14"/>
  <c r="AT35" i="14"/>
  <c r="Y35" i="14"/>
  <c r="AK34" i="14"/>
  <c r="AH34" i="14"/>
  <c r="AI34" i="14"/>
  <c r="AJ34" i="14"/>
  <c r="Z34" i="14"/>
  <c r="AS34" i="14"/>
  <c r="AS33" i="14"/>
  <c r="AK33" i="14"/>
  <c r="AH33" i="14"/>
  <c r="AT33" i="14"/>
  <c r="Y33" i="14"/>
  <c r="AS32" i="14"/>
  <c r="AH32" i="14"/>
  <c r="AI32" i="14"/>
  <c r="AC32" i="14"/>
  <c r="AB32" i="14"/>
  <c r="AN32" i="14" s="1"/>
  <c r="AA32" i="14"/>
  <c r="AM32" i="14"/>
  <c r="AS31" i="14"/>
  <c r="AK31" i="14"/>
  <c r="AH31" i="14"/>
  <c r="AT31" i="14"/>
  <c r="Y31" i="14"/>
  <c r="AS30" i="14"/>
  <c r="AK30" i="14"/>
  <c r="AH30" i="14"/>
  <c r="AI30" i="14"/>
  <c r="Y30" i="14"/>
  <c r="AK29" i="14"/>
  <c r="AH29" i="14"/>
  <c r="Z29" i="14"/>
  <c r="P29" i="14"/>
  <c r="O29" i="14"/>
  <c r="N29" i="14"/>
  <c r="M29" i="14"/>
  <c r="AK28" i="14"/>
  <c r="AG28" i="14"/>
  <c r="Z28" i="14"/>
  <c r="Y28" i="14"/>
  <c r="AS27" i="14"/>
  <c r="AK27" i="14"/>
  <c r="AH27" i="14"/>
  <c r="AT27" i="14"/>
  <c r="Y27" i="14"/>
  <c r="X27" i="14"/>
  <c r="P27" i="14"/>
  <c r="O27" i="14"/>
  <c r="N27" i="14"/>
  <c r="M27" i="14"/>
  <c r="L27" i="14"/>
  <c r="AS26" i="14"/>
  <c r="AH26" i="14"/>
  <c r="AI26" i="14"/>
  <c r="AA26" i="14"/>
  <c r="AM26" i="14"/>
  <c r="AK25" i="14"/>
  <c r="AG25" i="14"/>
  <c r="AH25" i="14"/>
  <c r="Z25" i="14"/>
  <c r="AK24" i="14"/>
  <c r="AH24" i="14"/>
  <c r="AI24" i="14"/>
  <c r="AJ24" i="14"/>
  <c r="Z24" i="14"/>
  <c r="AS24" i="14"/>
  <c r="AK23" i="14"/>
  <c r="AG23" i="14"/>
  <c r="Z23" i="14"/>
  <c r="AK22" i="14"/>
  <c r="AH22" i="14"/>
  <c r="Z22" i="14"/>
  <c r="AS21" i="14"/>
  <c r="AK21" i="14"/>
  <c r="AH21" i="14"/>
  <c r="Y21" i="14"/>
  <c r="X21" i="14" s="1"/>
  <c r="O21" i="14"/>
  <c r="P21" i="14"/>
  <c r="AK20" i="14"/>
  <c r="AH20" i="14"/>
  <c r="AT20" i="14"/>
  <c r="Z20" i="14"/>
  <c r="AM19" i="14"/>
  <c r="AN19" i="14" s="1"/>
  <c r="AO19" i="14" s="1"/>
  <c r="AG19" i="14"/>
  <c r="AH19" i="14"/>
  <c r="AT19" i="14"/>
  <c r="AC19" i="14"/>
  <c r="AB19" i="14"/>
  <c r="AA19" i="14"/>
  <c r="Z19" i="14"/>
  <c r="AS19" i="14" s="1"/>
  <c r="P19" i="14"/>
  <c r="O19" i="14"/>
  <c r="N19" i="14"/>
  <c r="M19" i="14"/>
  <c r="L19" i="14"/>
  <c r="AK18" i="14"/>
  <c r="AH18" i="14"/>
  <c r="AI18" i="14"/>
  <c r="Z18" i="14"/>
  <c r="Y18" i="14"/>
  <c r="M18" i="14"/>
  <c r="L18" i="14"/>
  <c r="AS17" i="14"/>
  <c r="AK17" i="14"/>
  <c r="AH17" i="14"/>
  <c r="AI17" i="14"/>
  <c r="Y17" i="14"/>
  <c r="X17" i="14"/>
  <c r="N17" i="14"/>
  <c r="AS16" i="14"/>
  <c r="AO16" i="14"/>
  <c r="AN16" i="14"/>
  <c r="AM16" i="14"/>
  <c r="AH16" i="14"/>
  <c r="Y16" i="14"/>
  <c r="AS15" i="14"/>
  <c r="AO15" i="14"/>
  <c r="AN15" i="14"/>
  <c r="AM15" i="14"/>
  <c r="AH15" i="14"/>
  <c r="Y15" i="14"/>
  <c r="AK14" i="14"/>
  <c r="AH14" i="14"/>
  <c r="Z14" i="14"/>
  <c r="AS14" i="14"/>
  <c r="P14" i="14"/>
  <c r="O14" i="14"/>
  <c r="N14" i="14"/>
  <c r="M14" i="14"/>
  <c r="L14" i="14"/>
  <c r="AS13" i="14"/>
  <c r="AK13" i="14"/>
  <c r="AH13" i="14"/>
  <c r="AI13" i="14"/>
  <c r="Y13" i="14"/>
  <c r="AK12" i="14"/>
  <c r="AH12" i="14"/>
  <c r="AI12" i="14"/>
  <c r="Z12" i="14"/>
  <c r="AM11" i="14"/>
  <c r="AN11" i="14"/>
  <c r="AG11" i="14"/>
  <c r="AC11" i="14"/>
  <c r="AB11" i="14"/>
  <c r="AA11" i="14"/>
  <c r="Z11" i="14"/>
  <c r="AK10" i="14"/>
  <c r="AH10" i="14"/>
  <c r="AI10" i="14"/>
  <c r="AJ10" i="14" s="1"/>
  <c r="AV10" i="14" s="1"/>
  <c r="AB10" i="14"/>
  <c r="Z10" i="14"/>
  <c r="N10" i="14"/>
  <c r="O10" i="14"/>
  <c r="P10" i="14"/>
  <c r="L10" i="14"/>
  <c r="AO9" i="14"/>
  <c r="AN9" i="14"/>
  <c r="AM9" i="14"/>
  <c r="AH9" i="14"/>
  <c r="Z9" i="14"/>
  <c r="AS9" i="14"/>
  <c r="L9" i="14"/>
  <c r="AK8" i="14"/>
  <c r="AH8" i="14"/>
  <c r="AI8" i="14"/>
  <c r="AJ8" i="14"/>
  <c r="AV8" i="14" s="1"/>
  <c r="Z8" i="14"/>
  <c r="AS7" i="14"/>
  <c r="AK7" i="14"/>
  <c r="AH7" i="14"/>
  <c r="AI7" i="14"/>
  <c r="Y7" i="14"/>
  <c r="AK6" i="14"/>
  <c r="AH6" i="14"/>
  <c r="AT6" i="14"/>
  <c r="Z6" i="14"/>
  <c r="Y6" i="14"/>
  <c r="P6" i="14"/>
  <c r="L6" i="14"/>
  <c r="AK5" i="14"/>
  <c r="AH5" i="14"/>
  <c r="AT5" i="14" s="1"/>
  <c r="Z5" i="14"/>
  <c r="Y5" i="14"/>
  <c r="L5" i="14"/>
  <c r="AK4" i="14"/>
  <c r="AG4" i="14"/>
  <c r="AH4" i="14"/>
  <c r="AI4" i="14"/>
  <c r="Z4" i="14"/>
  <c r="Y4" i="14"/>
  <c r="M4" i="14"/>
  <c r="N4" i="14" s="1"/>
  <c r="O4" i="14" s="1"/>
  <c r="P4" i="14" s="1"/>
  <c r="L4" i="14" s="1"/>
  <c r="AK3" i="14"/>
  <c r="AG3" i="14"/>
  <c r="AH3" i="14"/>
  <c r="AT3" i="14" s="1"/>
  <c r="AC3" i="14"/>
  <c r="Z3" i="14"/>
  <c r="L3" i="14"/>
  <c r="AK2" i="14"/>
  <c r="AG2" i="14"/>
  <c r="AH2" i="14"/>
  <c r="AT2" i="14"/>
  <c r="Y2" i="14"/>
  <c r="X2" i="14" s="1"/>
  <c r="AS6" i="14"/>
  <c r="AT140" i="14"/>
  <c r="AS118" i="14"/>
  <c r="Y52" i="14"/>
  <c r="X52" i="14" s="1"/>
  <c r="AS102" i="14"/>
  <c r="AS3" i="14"/>
  <c r="Y129" i="14"/>
  <c r="Y14" i="14"/>
  <c r="X13" i="14" s="1"/>
  <c r="Y9" i="14"/>
  <c r="AS80" i="14"/>
  <c r="I83" i="9"/>
  <c r="M83" i="9"/>
  <c r="J81" i="9"/>
  <c r="J82" i="9"/>
  <c r="H82" i="9"/>
  <c r="I81" i="9"/>
  <c r="L82" i="9"/>
  <c r="K81" i="9"/>
  <c r="J83" i="9"/>
  <c r="L81" i="9"/>
  <c r="K83" i="9"/>
  <c r="L83" i="9"/>
  <c r="K84" i="9"/>
  <c r="I82" i="9"/>
  <c r="M82" i="9"/>
  <c r="H81" i="9"/>
  <c r="L85" i="9"/>
  <c r="L84" i="9"/>
  <c r="H85" i="9"/>
  <c r="K82" i="9"/>
  <c r="I85" i="9"/>
  <c r="H84" i="9"/>
  <c r="J85" i="9"/>
  <c r="I84" i="9"/>
  <c r="K85" i="9"/>
  <c r="H83" i="9"/>
  <c r="J84" i="9"/>
  <c r="AS5" i="14"/>
  <c r="AS39" i="14"/>
  <c r="AH51" i="14"/>
  <c r="AT51" i="14"/>
  <c r="AV56" i="14"/>
  <c r="AH115" i="14"/>
  <c r="AI115" i="14"/>
  <c r="AU115" i="14"/>
  <c r="AH118" i="14"/>
  <c r="AI118" i="14" s="1"/>
  <c r="AH122" i="14"/>
  <c r="AT122" i="14" s="1"/>
  <c r="Y59" i="14"/>
  <c r="X58" i="14"/>
  <c r="Y3" i="14"/>
  <c r="X3" i="14" s="1"/>
  <c r="AL141" i="14"/>
  <c r="AS54" i="14"/>
  <c r="AS36" i="14"/>
  <c r="AA24" i="14"/>
  <c r="AB24" i="14"/>
  <c r="AT121" i="14"/>
  <c r="AS129" i="14"/>
  <c r="AS4" i="14"/>
  <c r="AT128" i="14"/>
  <c r="X68" i="14"/>
  <c r="AT117" i="14"/>
  <c r="AA131" i="14"/>
  <c r="AM131" i="14" s="1"/>
  <c r="AT96" i="14"/>
  <c r="X47" i="14"/>
  <c r="AT108" i="14"/>
  <c r="AK57" i="14"/>
  <c r="AI77" i="14"/>
  <c r="AU77" i="14"/>
  <c r="AT130" i="14"/>
  <c r="AK133" i="14"/>
  <c r="AT106" i="14"/>
  <c r="AO71" i="14"/>
  <c r="AK71" i="14" s="1"/>
  <c r="AK15" i="14"/>
  <c r="AT66" i="14"/>
  <c r="AT73" i="14"/>
  <c r="AN78" i="14"/>
  <c r="AT120" i="14"/>
  <c r="AT132" i="14"/>
  <c r="AT59" i="14"/>
  <c r="AI61" i="14"/>
  <c r="X73" i="14"/>
  <c r="AI126" i="14"/>
  <c r="AJ126" i="14"/>
  <c r="AC126" i="14" s="1"/>
  <c r="AV126" i="14" s="1"/>
  <c r="AI62" i="14"/>
  <c r="AJ62" i="14"/>
  <c r="X15" i="14"/>
  <c r="AT70" i="14"/>
  <c r="AB79" i="14"/>
  <c r="AN79" i="14"/>
  <c r="AB108" i="14"/>
  <c r="AU108" i="14" s="1"/>
  <c r="AT119" i="14"/>
  <c r="AT74" i="14"/>
  <c r="AF108" i="14"/>
  <c r="AJ89" i="14"/>
  <c r="AV89" i="14"/>
  <c r="AT12" i="14"/>
  <c r="AI81" i="14"/>
  <c r="AJ81" i="14"/>
  <c r="AV81" i="14"/>
  <c r="AT88" i="14"/>
  <c r="AK128" i="14"/>
  <c r="AF104" i="14"/>
  <c r="AT4" i="14"/>
  <c r="AT32" i="14"/>
  <c r="AK63" i="14"/>
  <c r="AK127" i="14"/>
  <c r="AJ71" i="14"/>
  <c r="AV71" i="14" s="1"/>
  <c r="AO75" i="14"/>
  <c r="AK75" i="14"/>
  <c r="AU84" i="14"/>
  <c r="AJ84" i="14"/>
  <c r="AV84" i="14"/>
  <c r="AC109" i="14"/>
  <c r="Y109" i="14"/>
  <c r="AJ88" i="14"/>
  <c r="AV88" i="14"/>
  <c r="AU88" i="14"/>
  <c r="AJ91" i="14"/>
  <c r="AV91" i="14" s="1"/>
  <c r="AU91" i="14"/>
  <c r="AJ32" i="14"/>
  <c r="AV32" i="14"/>
  <c r="AU32" i="14"/>
  <c r="AJ79" i="14"/>
  <c r="AJ50" i="14"/>
  <c r="AV50" i="14"/>
  <c r="AU50" i="14"/>
  <c r="AJ74" i="14"/>
  <c r="AV74" i="14"/>
  <c r="AU74" i="14"/>
  <c r="AJ103" i="14"/>
  <c r="AV103" i="14" s="1"/>
  <c r="AC105" i="14"/>
  <c r="AJ111" i="14"/>
  <c r="AC104" i="14"/>
  <c r="AV104" i="14" s="1"/>
  <c r="AJ58" i="14"/>
  <c r="AV58" i="14"/>
  <c r="AU58" i="14"/>
  <c r="AU117" i="14"/>
  <c r="AJ117" i="14"/>
  <c r="AV117" i="14"/>
  <c r="AI55" i="14"/>
  <c r="AJ55" i="14" s="1"/>
  <c r="AI65" i="14"/>
  <c r="AU65" i="14" s="1"/>
  <c r="AI78" i="14"/>
  <c r="AJ101" i="14"/>
  <c r="AV101" i="14"/>
  <c r="AB106" i="14"/>
  <c r="AC106" i="14"/>
  <c r="AV106" i="14" s="1"/>
  <c r="AU10" i="14"/>
  <c r="AT13" i="14"/>
  <c r="AI35" i="14"/>
  <c r="AU35" i="14" s="1"/>
  <c r="AI49" i="14"/>
  <c r="AU49" i="14" s="1"/>
  <c r="AT50" i="14"/>
  <c r="AT71" i="14"/>
  <c r="AI75" i="14"/>
  <c r="AT86" i="14"/>
  <c r="AT91" i="14"/>
  <c r="AU96" i="14"/>
  <c r="AT103" i="14"/>
  <c r="AU103" i="14"/>
  <c r="AT107" i="14"/>
  <c r="AT110" i="14"/>
  <c r="AI125" i="14"/>
  <c r="AJ125" i="14"/>
  <c r="AU132" i="14"/>
  <c r="AI45" i="14"/>
  <c r="AJ45" i="14" s="1"/>
  <c r="AV45" i="14" s="1"/>
  <c r="AI27" i="14"/>
  <c r="AU27" i="14"/>
  <c r="AI63" i="14"/>
  <c r="AJ63" i="14"/>
  <c r="AV63" i="14" s="1"/>
  <c r="AI97" i="14"/>
  <c r="AU97" i="14" s="1"/>
  <c r="AI121" i="14"/>
  <c r="AJ121" i="14" s="1"/>
  <c r="AT8" i="14"/>
  <c r="AT34" i="14"/>
  <c r="AI64" i="14"/>
  <c r="AI90" i="14"/>
  <c r="AU90" i="14" s="1"/>
  <c r="AU130" i="14"/>
  <c r="AI134" i="14"/>
  <c r="AB134" i="14" s="1"/>
  <c r="AT104" i="14"/>
  <c r="AU34" i="14"/>
  <c r="AT56" i="14"/>
  <c r="AT76" i="14"/>
  <c r="AT85" i="14"/>
  <c r="AC130" i="14"/>
  <c r="AV130" i="14"/>
  <c r="AI133" i="14"/>
  <c r="AJ76" i="14"/>
  <c r="AV76" i="14" s="1"/>
  <c r="AT18" i="14"/>
  <c r="AT17" i="14"/>
  <c r="AK37" i="14"/>
  <c r="AU52" i="14"/>
  <c r="Y98" i="14"/>
  <c r="X97" i="14" s="1"/>
  <c r="AT111" i="14"/>
  <c r="AT116" i="14"/>
  <c r="AJ73" i="14"/>
  <c r="AV73" i="14" s="1"/>
  <c r="AK16" i="14"/>
  <c r="AI20" i="14"/>
  <c r="AU20" i="14"/>
  <c r="AT30" i="14"/>
  <c r="AT7" i="14"/>
  <c r="AB26" i="14"/>
  <c r="AU26" i="14"/>
  <c r="X39" i="14"/>
  <c r="AI47" i="14"/>
  <c r="AJ47" i="14" s="1"/>
  <c r="AV47" i="14" s="1"/>
  <c r="AT102" i="14"/>
  <c r="AU116" i="14"/>
  <c r="AB131" i="14"/>
  <c r="AT125" i="14"/>
  <c r="AB125" i="14"/>
  <c r="AI40" i="14"/>
  <c r="AJ40" i="14" s="1"/>
  <c r="AT40" i="14"/>
  <c r="AT112" i="14"/>
  <c r="AI112" i="14"/>
  <c r="AI5" i="14"/>
  <c r="AU5" i="14" s="1"/>
  <c r="AK9" i="14"/>
  <c r="AT10" i="14"/>
  <c r="AF10" i="14"/>
  <c r="AI16" i="14"/>
  <c r="AS20" i="14"/>
  <c r="Y20" i="14"/>
  <c r="X18" i="14" s="1"/>
  <c r="AA22" i="14"/>
  <c r="AH23" i="14"/>
  <c r="AI23" i="14" s="1"/>
  <c r="AJ23" i="14"/>
  <c r="AI25" i="14"/>
  <c r="AJ25" i="14"/>
  <c r="AJ26" i="14"/>
  <c r="AF26" i="14"/>
  <c r="Y60" i="14"/>
  <c r="AJ86" i="14"/>
  <c r="AV86" i="14" s="1"/>
  <c r="AC107" i="14"/>
  <c r="AU107" i="14"/>
  <c r="AU110" i="14"/>
  <c r="AC110" i="14"/>
  <c r="AV110" i="14" s="1"/>
  <c r="AI38" i="14"/>
  <c r="AJ38" i="14" s="1"/>
  <c r="AT38" i="14"/>
  <c r="AT57" i="14"/>
  <c r="AF67" i="14"/>
  <c r="AT67" i="14"/>
  <c r="AO11" i="14"/>
  <c r="AK11" i="14" s="1"/>
  <c r="AA23" i="14"/>
  <c r="AS23" i="14"/>
  <c r="AV34" i="14"/>
  <c r="AF34" i="14"/>
  <c r="AU8" i="14"/>
  <c r="AF8" i="14"/>
  <c r="AU13" i="14"/>
  <c r="AJ17" i="14"/>
  <c r="AU17" i="14"/>
  <c r="X44" i="14"/>
  <c r="AU57" i="14"/>
  <c r="AJ57" i="14"/>
  <c r="AV57" i="14" s="1"/>
  <c r="X80" i="14"/>
  <c r="AT15" i="14"/>
  <c r="AI15" i="14"/>
  <c r="AI29" i="14"/>
  <c r="AT29" i="14"/>
  <c r="AO66" i="14"/>
  <c r="AK66" i="14"/>
  <c r="AO77" i="14"/>
  <c r="AK77" i="14"/>
  <c r="Y111" i="14"/>
  <c r="AU111" i="14"/>
  <c r="AF24" i="14"/>
  <c r="AT100" i="14"/>
  <c r="AI100" i="14"/>
  <c r="AU12" i="14"/>
  <c r="AJ18" i="14"/>
  <c r="AU18" i="14"/>
  <c r="AI19" i="14"/>
  <c r="AT26" i="14"/>
  <c r="AS40" i="14"/>
  <c r="AI2" i="14"/>
  <c r="AJ12" i="14"/>
  <c r="AV12" i="14" s="1"/>
  <c r="Y19" i="14"/>
  <c r="AS22" i="14"/>
  <c r="Y34" i="14"/>
  <c r="AH36" i="14"/>
  <c r="AI36" i="14"/>
  <c r="AI44" i="14"/>
  <c r="AT44" i="14"/>
  <c r="AF56" i="14"/>
  <c r="AF72" i="14"/>
  <c r="AI14" i="14"/>
  <c r="AT14" i="14"/>
  <c r="AJ7" i="14"/>
  <c r="AV7" i="14"/>
  <c r="AU7" i="14"/>
  <c r="AS12" i="14"/>
  <c r="Y12" i="14"/>
  <c r="AI3" i="14"/>
  <c r="AU3" i="14" s="1"/>
  <c r="AJ13" i="14"/>
  <c r="AV13" i="14"/>
  <c r="AI21" i="14"/>
  <c r="AT21" i="14"/>
  <c r="AJ30" i="14"/>
  <c r="AV30" i="14"/>
  <c r="AU30" i="14"/>
  <c r="AO39" i="14"/>
  <c r="AK39" i="14" s="1"/>
  <c r="AS8" i="14"/>
  <c r="Y8" i="14"/>
  <c r="Y11" i="14"/>
  <c r="AT16" i="14"/>
  <c r="AS18" i="14"/>
  <c r="AK19" i="14"/>
  <c r="AS25" i="14"/>
  <c r="AA25" i="14"/>
  <c r="AH28" i="14"/>
  <c r="Y32" i="14"/>
  <c r="AO32" i="14"/>
  <c r="AK32" i="14"/>
  <c r="AB46" i="14"/>
  <c r="AT46" i="14"/>
  <c r="AI136" i="14"/>
  <c r="AT136" i="14"/>
  <c r="AI6" i="14"/>
  <c r="AS28" i="14"/>
  <c r="AI33" i="14"/>
  <c r="AO40" i="14"/>
  <c r="AK40" i="14" s="1"/>
  <c r="AH41" i="14"/>
  <c r="AT42" i="14"/>
  <c r="AB42" i="14"/>
  <c r="AU42" i="14" s="1"/>
  <c r="AI48" i="14"/>
  <c r="AT52" i="14"/>
  <c r="AS52" i="14"/>
  <c r="AH54" i="14"/>
  <c r="AI54" i="14" s="1"/>
  <c r="AU67" i="14"/>
  <c r="AC67" i="14"/>
  <c r="Y67" i="14"/>
  <c r="AR67" i="14" s="1"/>
  <c r="AQ67" i="14" s="1"/>
  <c r="AK70" i="14"/>
  <c r="AI98" i="14"/>
  <c r="AT129" i="14"/>
  <c r="AT43" i="14"/>
  <c r="AI43" i="14"/>
  <c r="AS77" i="14"/>
  <c r="Y77" i="14"/>
  <c r="AH80" i="14"/>
  <c r="AU94" i="14"/>
  <c r="AJ94" i="14"/>
  <c r="AV94" i="14"/>
  <c r="AI60" i="14"/>
  <c r="AJ60" i="14"/>
  <c r="AF66" i="14"/>
  <c r="AR66" i="14" s="1"/>
  <c r="AT68" i="14"/>
  <c r="AI68" i="14"/>
  <c r="AU71" i="14"/>
  <c r="AI92" i="14"/>
  <c r="AT92" i="14"/>
  <c r="AF96" i="14"/>
  <c r="AR96" i="14"/>
  <c r="AQ96" i="14" s="1"/>
  <c r="AS119" i="14"/>
  <c r="Y119" i="14"/>
  <c r="Z141" i="14"/>
  <c r="AG141" i="14"/>
  <c r="AS2" i="14"/>
  <c r="AI22" i="14"/>
  <c r="AJ22" i="14"/>
  <c r="AF22" i="14" s="1"/>
  <c r="AS29" i="14"/>
  <c r="Y29" i="14"/>
  <c r="Y36" i="14"/>
  <c r="AI37" i="14"/>
  <c r="AT53" i="14"/>
  <c r="AU56" i="14"/>
  <c r="AI69" i="14"/>
  <c r="AK76" i="14"/>
  <c r="AT82" i="14"/>
  <c r="AI82" i="14"/>
  <c r="AJ82" i="14" s="1"/>
  <c r="AI87" i="14"/>
  <c r="AT87" i="14"/>
  <c r="AH99" i="14"/>
  <c r="AK132" i="14"/>
  <c r="AU66" i="14"/>
  <c r="X81" i="14"/>
  <c r="AI93" i="14"/>
  <c r="AJ93" i="14" s="1"/>
  <c r="AV93" i="14"/>
  <c r="AT93" i="14"/>
  <c r="Y101" i="14"/>
  <c r="AT101" i="14"/>
  <c r="AT109" i="14"/>
  <c r="AI109" i="14"/>
  <c r="AB113" i="14"/>
  <c r="AU113" i="14" s="1"/>
  <c r="AT113" i="14"/>
  <c r="AJ53" i="14"/>
  <c r="AV53" i="14" s="1"/>
  <c r="AU53" i="14"/>
  <c r="AI31" i="14"/>
  <c r="AI39" i="14"/>
  <c r="Y55" i="14"/>
  <c r="AS55" i="14"/>
  <c r="AJ70" i="14"/>
  <c r="AV70" i="14"/>
  <c r="AJ85" i="14"/>
  <c r="AV85" i="14"/>
  <c r="AU85" i="14"/>
  <c r="AI95" i="14"/>
  <c r="AT95" i="14"/>
  <c r="AT105" i="14"/>
  <c r="AI105" i="14"/>
  <c r="AF119" i="14"/>
  <c r="Y121" i="14"/>
  <c r="AT127" i="14"/>
  <c r="AI135" i="14"/>
  <c r="AA135" i="14"/>
  <c r="AT135" i="14" s="1"/>
  <c r="AS99" i="14"/>
  <c r="AF102" i="14"/>
  <c r="AR102" i="14"/>
  <c r="AJ120" i="14"/>
  <c r="AU120" i="14"/>
  <c r="AI127" i="14"/>
  <c r="AF131" i="14"/>
  <c r="AT137" i="14"/>
  <c r="AM137" i="14"/>
  <c r="X49" i="14"/>
  <c r="AT58" i="14"/>
  <c r="AT83" i="14"/>
  <c r="AI83" i="14"/>
  <c r="AU83" i="14" s="1"/>
  <c r="AK96" i="14"/>
  <c r="AV131" i="14"/>
  <c r="AO131" i="14"/>
  <c r="Y140" i="14"/>
  <c r="AO78" i="14"/>
  <c r="AT84" i="14"/>
  <c r="X96" i="14"/>
  <c r="AT98" i="14"/>
  <c r="AF106" i="14"/>
  <c r="AF110" i="14"/>
  <c r="AT79" i="14"/>
  <c r="AT89" i="14"/>
  <c r="AF113" i="14"/>
  <c r="Y115" i="14"/>
  <c r="AF116" i="14"/>
  <c r="AR116" i="14"/>
  <c r="AS126" i="14"/>
  <c r="AF128" i="14"/>
  <c r="AR128" i="14" s="1"/>
  <c r="AT134" i="14"/>
  <c r="Y93" i="14"/>
  <c r="AU102" i="14"/>
  <c r="Y103" i="14"/>
  <c r="AU119" i="14"/>
  <c r="AI123" i="14"/>
  <c r="AU128" i="14"/>
  <c r="AK129" i="14"/>
  <c r="AF130" i="14"/>
  <c r="AF132" i="14"/>
  <c r="AR132" i="14"/>
  <c r="AI137" i="14"/>
  <c r="AV102" i="14"/>
  <c r="AH114" i="14"/>
  <c r="Y118" i="14"/>
  <c r="AV119" i="14"/>
  <c r="AJ124" i="14"/>
  <c r="AT94" i="14"/>
  <c r="AT124" i="14"/>
  <c r="AS137" i="14"/>
  <c r="AI138" i="14"/>
  <c r="AI139" i="14"/>
  <c r="AB139" i="14" s="1"/>
  <c r="AI140" i="14"/>
  <c r="AJ140" i="14"/>
  <c r="AV140" i="14" s="1"/>
  <c r="M85" i="9"/>
  <c r="M84" i="9"/>
  <c r="M81" i="9"/>
  <c r="AI51" i="14"/>
  <c r="AJ51" i="14" s="1"/>
  <c r="AV51" i="14"/>
  <c r="AJ115" i="14"/>
  <c r="AV115" i="14"/>
  <c r="AT115" i="14"/>
  <c r="AT24" i="14"/>
  <c r="AU24" i="14"/>
  <c r="AT118" i="14"/>
  <c r="AI122" i="14"/>
  <c r="AJ122" i="14" s="1"/>
  <c r="AV122" i="14" s="1"/>
  <c r="AT131" i="14"/>
  <c r="AF73" i="14"/>
  <c r="AR73" i="14" s="1"/>
  <c r="AJ65" i="14"/>
  <c r="AV65" i="14" s="1"/>
  <c r="AJ134" i="14"/>
  <c r="AC134" i="14" s="1"/>
  <c r="AO134" i="14"/>
  <c r="AU45" i="14"/>
  <c r="AF74" i="14"/>
  <c r="AR74" i="14" s="1"/>
  <c r="AF50" i="14"/>
  <c r="AR50" i="14"/>
  <c r="AF81" i="14"/>
  <c r="AR81" i="14" s="1"/>
  <c r="AQ81" i="14" s="1"/>
  <c r="AJ27" i="14"/>
  <c r="AV27" i="14"/>
  <c r="Y131" i="14"/>
  <c r="AR131" i="14" s="1"/>
  <c r="AU106" i="14"/>
  <c r="AJ35" i="14"/>
  <c r="AV35" i="14" s="1"/>
  <c r="AF117" i="14"/>
  <c r="AR117" i="14"/>
  <c r="AU81" i="14"/>
  <c r="AN131" i="14"/>
  <c r="AK131" i="14"/>
  <c r="AJ77" i="14"/>
  <c r="AF91" i="14"/>
  <c r="AR91" i="14" s="1"/>
  <c r="Y107" i="14"/>
  <c r="AF103" i="14"/>
  <c r="AR103" i="14" s="1"/>
  <c r="AF32" i="14"/>
  <c r="AK78" i="14"/>
  <c r="AU131" i="14"/>
  <c r="AU62" i="14"/>
  <c r="AJ20" i="14"/>
  <c r="AV20" i="14"/>
  <c r="AF23" i="14"/>
  <c r="AF84" i="14"/>
  <c r="AR84" i="14"/>
  <c r="AT54" i="14"/>
  <c r="AB126" i="14"/>
  <c r="AU126" i="14" s="1"/>
  <c r="AC108" i="14"/>
  <c r="AV108" i="14"/>
  <c r="AJ61" i="14"/>
  <c r="AV61" i="14" s="1"/>
  <c r="AU61" i="14"/>
  <c r="AJ49" i="14"/>
  <c r="AU79" i="14"/>
  <c r="AF30" i="14"/>
  <c r="AR30" i="14" s="1"/>
  <c r="AF76" i="14"/>
  <c r="AF89" i="14"/>
  <c r="AR89" i="14" s="1"/>
  <c r="AC79" i="14"/>
  <c r="AO79" i="14"/>
  <c r="AK79" i="14" s="1"/>
  <c r="AF125" i="14"/>
  <c r="AF45" i="14"/>
  <c r="AR45" i="14" s="1"/>
  <c r="AO130" i="14"/>
  <c r="AK130" i="14"/>
  <c r="Y130" i="14"/>
  <c r="AR130" i="14" s="1"/>
  <c r="AV121" i="14"/>
  <c r="AU121" i="14"/>
  <c r="AU47" i="14"/>
  <c r="AJ90" i="14"/>
  <c r="AV90" i="14"/>
  <c r="Y104" i="14"/>
  <c r="AR104" i="14" s="1"/>
  <c r="AJ64" i="14"/>
  <c r="AV64" i="14" s="1"/>
  <c r="AU64" i="14"/>
  <c r="AF88" i="14"/>
  <c r="AR88" i="14" s="1"/>
  <c r="AF57" i="14"/>
  <c r="AR57" i="14" s="1"/>
  <c r="AQ57" i="14" s="1"/>
  <c r="AC26" i="14"/>
  <c r="Y26" i="14"/>
  <c r="AN26" i="14"/>
  <c r="AU55" i="14"/>
  <c r="AF101" i="14"/>
  <c r="AR101" i="14"/>
  <c r="AU63" i="14"/>
  <c r="AF58" i="14"/>
  <c r="AR58" i="14" s="1"/>
  <c r="Y106" i="14"/>
  <c r="AR106" i="14"/>
  <c r="AJ97" i="14"/>
  <c r="AV97" i="14" s="1"/>
  <c r="AU60" i="14"/>
  <c r="AF126" i="14"/>
  <c r="AF71" i="14"/>
  <c r="AR71" i="14" s="1"/>
  <c r="AQ71" i="14" s="1"/>
  <c r="AU133" i="14"/>
  <c r="AJ133" i="14"/>
  <c r="AV133" i="14" s="1"/>
  <c r="AT41" i="14"/>
  <c r="AI41" i="14"/>
  <c r="AF13" i="14"/>
  <c r="AR13" i="14"/>
  <c r="AQ13" i="14" s="1"/>
  <c r="AJ5" i="14"/>
  <c r="AV5" i="14" s="1"/>
  <c r="AU123" i="14"/>
  <c r="AJ123" i="14"/>
  <c r="AJ83" i="14"/>
  <c r="X83" i="14"/>
  <c r="W81" i="14"/>
  <c r="AJ37" i="14"/>
  <c r="AV37" i="14" s="1"/>
  <c r="AU37" i="14"/>
  <c r="AU140" i="14"/>
  <c r="AU46" i="14"/>
  <c r="AC46" i="14"/>
  <c r="AJ3" i="14"/>
  <c r="AV3" i="14"/>
  <c r="AU29" i="14"/>
  <c r="AJ29" i="14"/>
  <c r="AV17" i="14"/>
  <c r="AF17" i="14"/>
  <c r="AR17" i="14" s="1"/>
  <c r="AQ17" i="14" s="1"/>
  <c r="AB23" i="14"/>
  <c r="AT23" i="14"/>
  <c r="AU112" i="14"/>
  <c r="AJ112" i="14"/>
  <c r="AU69" i="14"/>
  <c r="AJ69" i="14"/>
  <c r="AF69" i="14" s="1"/>
  <c r="AR69" i="14" s="1"/>
  <c r="AV69" i="14"/>
  <c r="AM135" i="14"/>
  <c r="AU136" i="14"/>
  <c r="AJ136" i="14"/>
  <c r="AV136" i="14" s="1"/>
  <c r="AR34" i="14"/>
  <c r="X33" i="14"/>
  <c r="AF93" i="14"/>
  <c r="AR93" i="14" s="1"/>
  <c r="AJ135" i="14"/>
  <c r="AC135" i="14"/>
  <c r="AV135" i="14" s="1"/>
  <c r="AB135" i="14"/>
  <c r="Y135" i="14" s="1"/>
  <c r="AC113" i="14"/>
  <c r="AV113" i="14"/>
  <c r="AU82" i="14"/>
  <c r="AV82" i="14"/>
  <c r="AJ48" i="14"/>
  <c r="AV48" i="14"/>
  <c r="AU48" i="14"/>
  <c r="AU15" i="14"/>
  <c r="AJ15" i="14"/>
  <c r="AU138" i="14"/>
  <c r="AJ138" i="14"/>
  <c r="AJ109" i="14"/>
  <c r="AV109" i="14"/>
  <c r="AU109" i="14"/>
  <c r="X28" i="14"/>
  <c r="AU92" i="14"/>
  <c r="AJ92" i="14"/>
  <c r="AV92" i="14" s="1"/>
  <c r="AO67" i="14"/>
  <c r="AK67" i="14" s="1"/>
  <c r="AV67" i="14"/>
  <c r="AU33" i="14"/>
  <c r="AJ33" i="14"/>
  <c r="AT25" i="14"/>
  <c r="AB25" i="14"/>
  <c r="AC25" i="14" s="1"/>
  <c r="AV25" i="14" s="1"/>
  <c r="AR8" i="14"/>
  <c r="AU19" i="14"/>
  <c r="AJ19" i="14"/>
  <c r="AU87" i="14"/>
  <c r="AJ87" i="14"/>
  <c r="AV87" i="14" s="1"/>
  <c r="AJ6" i="14"/>
  <c r="AV6" i="14"/>
  <c r="AU6" i="14"/>
  <c r="AJ137" i="14"/>
  <c r="AC137" i="14"/>
  <c r="AB137" i="14"/>
  <c r="AN137" i="14" s="1"/>
  <c r="AK137" i="14" s="1"/>
  <c r="AJ39" i="14"/>
  <c r="AV39" i="14" s="1"/>
  <c r="AU39" i="14"/>
  <c r="AU134" i="14"/>
  <c r="AN134" i="14"/>
  <c r="AK134" i="14" s="1"/>
  <c r="AT36" i="14"/>
  <c r="X67" i="14"/>
  <c r="AU127" i="14"/>
  <c r="AJ127" i="14"/>
  <c r="AJ105" i="14"/>
  <c r="AU95" i="14"/>
  <c r="AJ95" i="14"/>
  <c r="AV95" i="14" s="1"/>
  <c r="AF63" i="14"/>
  <c r="AR63" i="14" s="1"/>
  <c r="AU31" i="14"/>
  <c r="AJ31" i="14"/>
  <c r="AV31" i="14" s="1"/>
  <c r="AT99" i="14"/>
  <c r="AI99" i="14"/>
  <c r="AF53" i="14"/>
  <c r="AR53" i="14"/>
  <c r="AI80" i="14"/>
  <c r="AT80" i="14"/>
  <c r="AU98" i="14"/>
  <c r="AJ98" i="14"/>
  <c r="AU14" i="14"/>
  <c r="AJ14" i="14"/>
  <c r="AV14" i="14" s="1"/>
  <c r="AV38" i="14"/>
  <c r="AU38" i="14"/>
  <c r="AU40" i="14"/>
  <c r="AV40" i="14"/>
  <c r="AJ68" i="14"/>
  <c r="AV68" i="14" s="1"/>
  <c r="AU68" i="14"/>
  <c r="AJ139" i="14"/>
  <c r="AC139" i="14"/>
  <c r="AV139" i="14" s="1"/>
  <c r="AJ100" i="14"/>
  <c r="AF100" i="14" s="1"/>
  <c r="AR100" i="14" s="1"/>
  <c r="AU100" i="14"/>
  <c r="AJ16" i="14"/>
  <c r="AV16" i="14" s="1"/>
  <c r="AU16" i="14"/>
  <c r="AF85" i="14"/>
  <c r="AR85" i="14" s="1"/>
  <c r="AJ43" i="14"/>
  <c r="AV43" i="14"/>
  <c r="AU43" i="14"/>
  <c r="AC42" i="14"/>
  <c r="AV42" i="14"/>
  <c r="AT28" i="14"/>
  <c r="AI28" i="14"/>
  <c r="AU44" i="14"/>
  <c r="AJ44" i="14"/>
  <c r="AV44" i="14"/>
  <c r="AV18" i="14"/>
  <c r="AF18" i="14"/>
  <c r="AR18" i="14"/>
  <c r="AU93" i="14"/>
  <c r="X60" i="14"/>
  <c r="AS141" i="14"/>
  <c r="AI114" i="14"/>
  <c r="AU114" i="14" s="1"/>
  <c r="AT114" i="14"/>
  <c r="AV120" i="14"/>
  <c r="AF120" i="14"/>
  <c r="AR120" i="14"/>
  <c r="X55" i="14"/>
  <c r="AF70" i="14"/>
  <c r="AR70" i="14"/>
  <c r="AQ70" i="14" s="1"/>
  <c r="AR119" i="14"/>
  <c r="AU54" i="14"/>
  <c r="AJ54" i="14"/>
  <c r="AU21" i="14"/>
  <c r="AJ21" i="14"/>
  <c r="AV21" i="14" s="1"/>
  <c r="AU2" i="14"/>
  <c r="AJ2" i="14"/>
  <c r="AF2" i="14" s="1"/>
  <c r="AF12" i="14"/>
  <c r="AR12" i="14"/>
  <c r="AA141" i="14"/>
  <c r="AF94" i="14"/>
  <c r="AR94" i="14"/>
  <c r="Y110" i="14"/>
  <c r="AF86" i="14"/>
  <c r="AR86" i="14" s="1"/>
  <c r="AT22" i="14"/>
  <c r="AB22" i="14"/>
  <c r="Y22" i="14" s="1"/>
  <c r="AF25" i="14"/>
  <c r="AC125" i="14"/>
  <c r="AU125" i="14"/>
  <c r="AF7" i="14"/>
  <c r="AR7" i="14" s="1"/>
  <c r="AF115" i="14"/>
  <c r="AR115" i="14"/>
  <c r="AU51" i="14"/>
  <c r="AU122" i="14"/>
  <c r="AV134" i="14"/>
  <c r="AF134" i="14"/>
  <c r="AQ73" i="14"/>
  <c r="Y134" i="14"/>
  <c r="X134" i="14"/>
  <c r="X131" i="14"/>
  <c r="AF65" i="14"/>
  <c r="AR65" i="14"/>
  <c r="AF35" i="14"/>
  <c r="AR35" i="14" s="1"/>
  <c r="AF27" i="14"/>
  <c r="AR27" i="14" s="1"/>
  <c r="AQ27" i="14" s="1"/>
  <c r="Y126" i="14"/>
  <c r="X126" i="14" s="1"/>
  <c r="AF64" i="14"/>
  <c r="AR64" i="14" s="1"/>
  <c r="AF40" i="14"/>
  <c r="AR40" i="14"/>
  <c r="AF109" i="14"/>
  <c r="AR109" i="14" s="1"/>
  <c r="AF90" i="14"/>
  <c r="AR90" i="14"/>
  <c r="AV77" i="14"/>
  <c r="AF77" i="14"/>
  <c r="AR77" i="14" s="1"/>
  <c r="AF20" i="14"/>
  <c r="AR20" i="14"/>
  <c r="Y79" i="14"/>
  <c r="Y46" i="14"/>
  <c r="AF122" i="14"/>
  <c r="AR122" i="14"/>
  <c r="AF87" i="14"/>
  <c r="AR87" i="14" s="1"/>
  <c r="Y108" i="14"/>
  <c r="AR108" i="14" s="1"/>
  <c r="AF48" i="14"/>
  <c r="AR48" i="14"/>
  <c r="AF121" i="14"/>
  <c r="AR121" i="14" s="1"/>
  <c r="AV79" i="14"/>
  <c r="AV49" i="14"/>
  <c r="AF49" i="14"/>
  <c r="AR49" i="14" s="1"/>
  <c r="AQ49" i="14" s="1"/>
  <c r="AF135" i="14"/>
  <c r="X26" i="14"/>
  <c r="AR26" i="14"/>
  <c r="AQ26" i="14"/>
  <c r="AF38" i="14"/>
  <c r="AR38" i="14" s="1"/>
  <c r="AQ38" i="14" s="1"/>
  <c r="AF51" i="14"/>
  <c r="AR51" i="14"/>
  <c r="AQ51" i="14" s="1"/>
  <c r="AF6" i="14"/>
  <c r="AR6" i="14"/>
  <c r="AF3" i="14"/>
  <c r="AR3" i="14" s="1"/>
  <c r="AF21" i="14"/>
  <c r="AR21" i="14" s="1"/>
  <c r="AQ21" i="14" s="1"/>
  <c r="AO26" i="14"/>
  <c r="AK26" i="14"/>
  <c r="AV26" i="14"/>
  <c r="AV55" i="14"/>
  <c r="AF55" i="14"/>
  <c r="AR55" i="14"/>
  <c r="AQ55" i="14" s="1"/>
  <c r="W60" i="14"/>
  <c r="AF133" i="14"/>
  <c r="AR133" i="14" s="1"/>
  <c r="AF47" i="14"/>
  <c r="AR47" i="14" s="1"/>
  <c r="AQ47" i="14" s="1"/>
  <c r="AF97" i="14"/>
  <c r="AR97" i="14"/>
  <c r="AV54" i="14"/>
  <c r="AF54" i="14"/>
  <c r="AR54" i="14" s="1"/>
  <c r="AQ54" i="14" s="1"/>
  <c r="AR110" i="14"/>
  <c r="AV100" i="14"/>
  <c r="AC22" i="14"/>
  <c r="AV22" i="14" s="1"/>
  <c r="AJ114" i="14"/>
  <c r="AV114" i="14" s="1"/>
  <c r="AF14" i="14"/>
  <c r="AR14" i="14"/>
  <c r="AF95" i="14"/>
  <c r="AR95" i="14"/>
  <c r="AV33" i="14"/>
  <c r="AF33" i="14"/>
  <c r="AR33" i="14"/>
  <c r="AV112" i="14"/>
  <c r="AF112" i="14"/>
  <c r="AR112" i="14" s="1"/>
  <c r="AV29" i="14"/>
  <c r="AF29" i="14"/>
  <c r="AR29" i="14" s="1"/>
  <c r="AF5" i="14"/>
  <c r="AR5" i="14"/>
  <c r="AF16" i="14"/>
  <c r="AR16" i="14" s="1"/>
  <c r="AQ15" i="14" s="1"/>
  <c r="AF43" i="14"/>
  <c r="AR43" i="14"/>
  <c r="AU139" i="14"/>
  <c r="AU137" i="14"/>
  <c r="AV19" i="14"/>
  <c r="AF19" i="14"/>
  <c r="AR19" i="14" s="1"/>
  <c r="AQ18" i="14" s="1"/>
  <c r="AF82" i="14"/>
  <c r="AR82" i="14"/>
  <c r="AV138" i="14"/>
  <c r="AF138" i="14"/>
  <c r="AR138" i="14"/>
  <c r="Y42" i="14"/>
  <c r="AJ99" i="14"/>
  <c r="AV99" i="14" s="1"/>
  <c r="AU99" i="14"/>
  <c r="AV98" i="14"/>
  <c r="AF98" i="14"/>
  <c r="AR98" i="14" s="1"/>
  <c r="AV105" i="14"/>
  <c r="AF105" i="14"/>
  <c r="AV15" i="14"/>
  <c r="AF15" i="14"/>
  <c r="AR15" i="14"/>
  <c r="AC23" i="14"/>
  <c r="AV23" i="14" s="1"/>
  <c r="AU23" i="14"/>
  <c r="AU25" i="14"/>
  <c r="AN135" i="14"/>
  <c r="AU135" i="14"/>
  <c r="AV83" i="14"/>
  <c r="AF83" i="14"/>
  <c r="AR83" i="14" s="1"/>
  <c r="AO137" i="14"/>
  <c r="AV137" i="14"/>
  <c r="AM141" i="14"/>
  <c r="AU28" i="14"/>
  <c r="AJ28" i="14"/>
  <c r="AV28" i="14"/>
  <c r="AV127" i="14"/>
  <c r="AF127" i="14"/>
  <c r="AR127" i="14" s="1"/>
  <c r="AF44" i="14"/>
  <c r="AR44" i="14"/>
  <c r="AQ44" i="14" s="1"/>
  <c r="AU80" i="14"/>
  <c r="AJ80" i="14"/>
  <c r="AV80" i="14" s="1"/>
  <c r="AV123" i="14"/>
  <c r="AF123" i="14"/>
  <c r="AR123" i="14" s="1"/>
  <c r="AJ41" i="14"/>
  <c r="AU41" i="14"/>
  <c r="AF139" i="14"/>
  <c r="AO135" i="14"/>
  <c r="AK135" i="14" s="1"/>
  <c r="Y113" i="14"/>
  <c r="AR113" i="14"/>
  <c r="AV125" i="14"/>
  <c r="Y125" i="14"/>
  <c r="X122" i="14" s="1"/>
  <c r="AF92" i="14"/>
  <c r="AR92" i="14"/>
  <c r="AF68" i="14"/>
  <c r="AR68" i="14" s="1"/>
  <c r="AQ68" i="14" s="1"/>
  <c r="AF137" i="14"/>
  <c r="AR134" i="14"/>
  <c r="AQ134" i="14" s="1"/>
  <c r="AR126" i="14"/>
  <c r="X79" i="14"/>
  <c r="Y23" i="14"/>
  <c r="AR23" i="14" s="1"/>
  <c r="AF80" i="14"/>
  <c r="AR80" i="14" s="1"/>
  <c r="AQ80" i="14" s="1"/>
  <c r="AV41" i="14"/>
  <c r="AF41" i="14"/>
  <c r="AR41" i="14" s="1"/>
  <c r="X41" i="14"/>
  <c r="W33" i="14" s="1"/>
  <c r="AR125" i="14"/>
  <c r="AF114" i="14"/>
  <c r="AR114" i="14" s="1"/>
  <c r="AF99" i="14"/>
  <c r="AR99" i="14" s="1"/>
  <c r="AF28" i="14"/>
  <c r="AR28" i="14"/>
  <c r="K39" i="7"/>
  <c r="L39" i="7"/>
  <c r="M39" i="7"/>
  <c r="N39" i="7"/>
  <c r="O39" i="7"/>
  <c r="P39" i="7"/>
  <c r="Q39" i="7"/>
  <c r="J39" i="7"/>
  <c r="K14" i="7"/>
  <c r="L14" i="7"/>
  <c r="M14" i="7"/>
  <c r="N14" i="7"/>
  <c r="J14" i="7"/>
  <c r="K11" i="7"/>
  <c r="L11" i="7"/>
  <c r="M11" i="7"/>
  <c r="N11" i="7"/>
  <c r="J11" i="7"/>
  <c r="S13" i="6"/>
  <c r="R13" i="6"/>
  <c r="V11" i="5"/>
  <c r="X11" i="5"/>
  <c r="H17" i="7"/>
  <c r="H11" i="6"/>
  <c r="S14" i="6"/>
  <c r="R14" i="6"/>
  <c r="V20" i="5"/>
  <c r="S7" i="7"/>
  <c r="R29" i="7"/>
  <c r="I23" i="7"/>
  <c r="H23" i="7"/>
  <c r="H10" i="7"/>
  <c r="H8" i="7"/>
  <c r="H9" i="7"/>
  <c r="H16" i="6"/>
  <c r="H9" i="6"/>
  <c r="H20" i="7"/>
  <c r="H19" i="7"/>
  <c r="H24" i="7"/>
  <c r="H18" i="7"/>
  <c r="H16" i="7"/>
  <c r="H15" i="7"/>
  <c r="H11" i="7"/>
  <c r="H14" i="7"/>
  <c r="H21" i="7"/>
  <c r="S10" i="7"/>
  <c r="V12" i="5"/>
  <c r="X12" i="5" s="1"/>
  <c r="X135" i="14" l="1"/>
  <c r="AR135" i="14"/>
  <c r="X22" i="14"/>
  <c r="AR22" i="14"/>
  <c r="AQ22" i="14" s="1"/>
  <c r="AQ131" i="14"/>
  <c r="AQ83" i="14"/>
  <c r="AP81" i="14" s="1"/>
  <c r="AQ97" i="14"/>
  <c r="AR2" i="14"/>
  <c r="AN141" i="14"/>
  <c r="X118" i="14"/>
  <c r="AR32" i="14"/>
  <c r="AQ32" i="14" s="1"/>
  <c r="X32" i="14"/>
  <c r="W27" i="14" s="1"/>
  <c r="AF111" i="14"/>
  <c r="AR111" i="14" s="1"/>
  <c r="AV111" i="14"/>
  <c r="AV62" i="14"/>
  <c r="AF62" i="14"/>
  <c r="AR62" i="14" s="1"/>
  <c r="AT9" i="14"/>
  <c r="AI9" i="14"/>
  <c r="Y10" i="14"/>
  <c r="AS10" i="14"/>
  <c r="AJ59" i="14"/>
  <c r="AV59" i="14" s="1"/>
  <c r="AU59" i="14"/>
  <c r="AF59" i="14"/>
  <c r="AR59" i="14" s="1"/>
  <c r="AQ58" i="14" s="1"/>
  <c r="AB72" i="14"/>
  <c r="AT72" i="14"/>
  <c r="Y105" i="14"/>
  <c r="AU105" i="14"/>
  <c r="AF107" i="14"/>
  <c r="AJ107" i="14"/>
  <c r="AV107" i="14" s="1"/>
  <c r="AJ129" i="14"/>
  <c r="AU129" i="14"/>
  <c r="AR107" i="14"/>
  <c r="AB141" i="14"/>
  <c r="Y25" i="14"/>
  <c r="AR25" i="14" s="1"/>
  <c r="X46" i="14"/>
  <c r="W44" i="14" s="1"/>
  <c r="AF31" i="14"/>
  <c r="AR31" i="14" s="1"/>
  <c r="AQ28" i="14" s="1"/>
  <c r="AP27" i="14" s="1"/>
  <c r="AF136" i="14"/>
  <c r="AR136" i="14" s="1"/>
  <c r="AO139" i="14"/>
  <c r="Y137" i="14"/>
  <c r="Y139" i="14"/>
  <c r="AV2" i="14"/>
  <c r="AU22" i="14"/>
  <c r="AF39" i="14"/>
  <c r="AR39" i="14" s="1"/>
  <c r="AQ39" i="14" s="1"/>
  <c r="AF61" i="14"/>
  <c r="AR61" i="14" s="1"/>
  <c r="AF140" i="14"/>
  <c r="AR140" i="14" s="1"/>
  <c r="AV124" i="14"/>
  <c r="AF124" i="14"/>
  <c r="AR124" i="14" s="1"/>
  <c r="AQ122" i="14" s="1"/>
  <c r="AV60" i="14"/>
  <c r="AF60" i="14"/>
  <c r="AR60" i="14" s="1"/>
  <c r="AQ60" i="14" s="1"/>
  <c r="AP60" i="14" s="1"/>
  <c r="AU75" i="14"/>
  <c r="AJ75" i="14"/>
  <c r="AU78" i="14"/>
  <c r="AJ78" i="14"/>
  <c r="AC24" i="14"/>
  <c r="Y24" i="14"/>
  <c r="AR24" i="14" s="1"/>
  <c r="AQ23" i="14" s="1"/>
  <c r="AP17" i="14" s="1"/>
  <c r="AF37" i="14"/>
  <c r="AR37" i="14" s="1"/>
  <c r="AQ37" i="14" s="1"/>
  <c r="AU36" i="14"/>
  <c r="AJ36" i="14"/>
  <c r="AJ118" i="14"/>
  <c r="AU118" i="14"/>
  <c r="AH11" i="14"/>
  <c r="AS11" i="14"/>
  <c r="AF42" i="14"/>
  <c r="AR42" i="14" s="1"/>
  <c r="AQ41" i="14" s="1"/>
  <c r="AF46" i="14"/>
  <c r="AR46" i="14" s="1"/>
  <c r="AQ46" i="14" s="1"/>
  <c r="AP44" i="14" s="1"/>
  <c r="AJ46" i="14"/>
  <c r="AV46" i="14" s="1"/>
  <c r="AF79" i="14"/>
  <c r="AR79" i="14" s="1"/>
  <c r="AQ79" i="14" s="1"/>
  <c r="AK91" i="14"/>
  <c r="AJ4" i="14"/>
  <c r="AU4" i="14"/>
  <c r="AV52" i="14"/>
  <c r="AF52" i="14"/>
  <c r="AR52" i="14" s="1"/>
  <c r="AQ52" i="14" s="1"/>
  <c r="Y76" i="14"/>
  <c r="D83" i="9"/>
  <c r="L74" i="9"/>
  <c r="K75" i="9"/>
  <c r="I76" i="9"/>
  <c r="H77" i="9"/>
  <c r="K77" i="9"/>
  <c r="J78" i="9"/>
  <c r="L79" i="9"/>
  <c r="K80" i="9"/>
  <c r="I73" i="9"/>
  <c r="Y56" i="14"/>
  <c r="D74" i="9"/>
  <c r="D76" i="9"/>
  <c r="D78" i="9"/>
  <c r="D80" i="9"/>
  <c r="D84" i="9"/>
  <c r="I74" i="9"/>
  <c r="H75" i="9"/>
  <c r="L75" i="9"/>
  <c r="J76" i="9"/>
  <c r="L77" i="9"/>
  <c r="K78" i="9"/>
  <c r="I79" i="9"/>
  <c r="H80" i="9"/>
  <c r="L80" i="9"/>
  <c r="J73" i="9"/>
  <c r="D81" i="9"/>
  <c r="D85" i="9"/>
  <c r="J74" i="9"/>
  <c r="I75" i="9"/>
  <c r="H76" i="9"/>
  <c r="K76" i="9"/>
  <c r="I77" i="9"/>
  <c r="H78" i="9"/>
  <c r="L78" i="9"/>
  <c r="J79" i="9"/>
  <c r="I80" i="9"/>
  <c r="H73" i="9"/>
  <c r="K73" i="9"/>
  <c r="D73" i="9"/>
  <c r="D75" i="9"/>
  <c r="D77" i="9"/>
  <c r="D79" i="9"/>
  <c r="D82" i="9"/>
  <c r="H74" i="9"/>
  <c r="K74" i="9"/>
  <c r="J75" i="9"/>
  <c r="L76" i="9"/>
  <c r="J77" i="9"/>
  <c r="I78" i="9"/>
  <c r="H79" i="9"/>
  <c r="K79" i="9"/>
  <c r="J80" i="9"/>
  <c r="F73" i="9" l="1"/>
  <c r="E73" i="9"/>
  <c r="F85" i="9"/>
  <c r="E85" i="9"/>
  <c r="E77" i="9"/>
  <c r="F77" i="9"/>
  <c r="E78" i="9"/>
  <c r="F78" i="9"/>
  <c r="AV118" i="14"/>
  <c r="AF118" i="14"/>
  <c r="AR118" i="14" s="1"/>
  <c r="AQ118" i="14" s="1"/>
  <c r="X138" i="14"/>
  <c r="AR139" i="14"/>
  <c r="AQ138" i="14" s="1"/>
  <c r="AQ135" i="14"/>
  <c r="E84" i="9"/>
  <c r="F84" i="9"/>
  <c r="E75" i="9"/>
  <c r="F75" i="9"/>
  <c r="F76" i="9"/>
  <c r="E76" i="9"/>
  <c r="F83" i="9"/>
  <c r="E83" i="9"/>
  <c r="AV36" i="14"/>
  <c r="AF36" i="14"/>
  <c r="AR36" i="14" s="1"/>
  <c r="AQ33" i="14" s="1"/>
  <c r="AP33" i="14" s="1"/>
  <c r="AV24" i="14"/>
  <c r="AC141" i="14"/>
  <c r="AF75" i="14"/>
  <c r="AR75" i="14" s="1"/>
  <c r="AQ75" i="14" s="1"/>
  <c r="AV75" i="14"/>
  <c r="AR137" i="14"/>
  <c r="AQ137" i="14" s="1"/>
  <c r="X137" i="14"/>
  <c r="AU72" i="14"/>
  <c r="AC72" i="14"/>
  <c r="AV72" i="14" s="1"/>
  <c r="W135" i="14"/>
  <c r="X75" i="14"/>
  <c r="AR76" i="14"/>
  <c r="AV4" i="14"/>
  <c r="AF4" i="14"/>
  <c r="AI11" i="14"/>
  <c r="AH141" i="14"/>
  <c r="AT141" i="14" s="1"/>
  <c r="AO141" i="14"/>
  <c r="AK139" i="14"/>
  <c r="AR10" i="14"/>
  <c r="X7" i="14"/>
  <c r="E82" i="9"/>
  <c r="F82" i="9"/>
  <c r="F74" i="9"/>
  <c r="E74" i="9"/>
  <c r="F79" i="9"/>
  <c r="E79" i="9"/>
  <c r="E81" i="9"/>
  <c r="F81" i="9"/>
  <c r="F80" i="9"/>
  <c r="E80" i="9"/>
  <c r="X56" i="14"/>
  <c r="W54" i="14" s="1"/>
  <c r="AR56" i="14"/>
  <c r="AQ56" i="14" s="1"/>
  <c r="AP54" i="14" s="1"/>
  <c r="AK141" i="14"/>
  <c r="AT11" i="14"/>
  <c r="AF78" i="14"/>
  <c r="AR78" i="14" s="1"/>
  <c r="AQ78" i="14" s="1"/>
  <c r="AV78" i="14"/>
  <c r="X23" i="14"/>
  <c r="W17" i="14" s="1"/>
  <c r="AV129" i="14"/>
  <c r="AF129" i="14"/>
  <c r="AR129" i="14" s="1"/>
  <c r="AQ126" i="14" s="1"/>
  <c r="X100" i="14"/>
  <c r="W97" i="14" s="1"/>
  <c r="AR105" i="14"/>
  <c r="AQ100" i="14" s="1"/>
  <c r="AU9" i="14"/>
  <c r="AI141" i="14"/>
  <c r="AU141" i="14" s="1"/>
  <c r="AF9" i="14"/>
  <c r="AR9" i="14" s="1"/>
  <c r="AJ9" i="14"/>
  <c r="AV9" i="14" s="1"/>
  <c r="AQ2" i="14"/>
  <c r="AP97" i="14"/>
  <c r="AP135" i="14" l="1"/>
  <c r="AR4" i="14"/>
  <c r="Y72" i="14"/>
  <c r="W2" i="14"/>
  <c r="AJ11" i="14"/>
  <c r="AU11" i="14"/>
  <c r="AR72" i="14" l="1"/>
  <c r="AQ72" i="14" s="1"/>
  <c r="AP72" i="14" s="1"/>
  <c r="X72" i="14"/>
  <c r="Y141" i="14"/>
  <c r="AV11" i="14"/>
  <c r="AJ141" i="14"/>
  <c r="AV141" i="14" s="1"/>
  <c r="AF11" i="14"/>
  <c r="AQ3" i="14"/>
  <c r="AR11" i="14" l="1"/>
  <c r="AF141" i="14"/>
  <c r="W72" i="14"/>
  <c r="W141" i="14" s="1"/>
  <c r="X141" i="14"/>
  <c r="AQ7" i="14" l="1"/>
  <c r="AR141" i="14"/>
  <c r="AP2" i="14" l="1"/>
  <c r="AP141" i="14" s="1"/>
  <c r="AQ141"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tc={9017E411-D7AF-4783-91F3-277CFE0A3143}</author>
    <author>tc={9017E411-D7AF-4784-91F3-277CFE0A3143}</author>
    <author>tc={C44B7C0D-417B-411F-A0E6-E0122D4CEFDA}</author>
    <author>Marlo Giovanny Florez Mejia</author>
    <author>tc={9131A7B2-5002-48D8-AF09-3A8448CA1484}</author>
    <author>tc={0E200000-86AC-476F-BD8E-6C6A53EA3FFC}</author>
    <author>tc={CAFD7BA8-0A72-4505-8B03-2BB31EC107DF}</author>
    <author>tc={A05BB445-3B20-42A8-820E-7C71E22FE878}</author>
    <author>tc={549564E7-27AC-42B1-8587-BDBC62BC7B24}</author>
    <author>tc={034A4C91-EA84-4781-88BB-A6AD8EDA5384}</author>
    <author>tc={EB9D9E18-0B7E-44BD-BB66-050C000E79EF}</author>
    <author>tc={B69D3D57-EEBA-4E18-826A-014B0614E490}</author>
    <author>tc={6FEDCAA1-51F7-4012-B300-A146C328DD55}</author>
    <author>tc={90C01A9A-2ABF-43A9-8B97-F3E6E4116C4F}</author>
    <author>tc={B6D70228-02C6-4D1E-A3BB-21276B8E109A}</author>
    <author>tc={7D55515E-DF4D-4B5D-A9A4-4ABBC1A254E0}</author>
    <author>tc={1DB15362-4F3F-4231-97FD-EACE46420FE7}</author>
    <author>tc={2304743B-96E2-4295-92B0-EE289D671565}</author>
    <author>tc={44307345-8A0A-44D6-B0FC-92297193CC8D}</author>
    <author>tc={2304743B-96E2-4296-92B0-EE289D671565}</author>
    <author>tc={44307345-8A0A-44D7-B0FC-92297193CC8D}</author>
    <author>tc={46181E7F-D3CD-4F55-AED5-E1E932331675}</author>
    <author>tc={ABD339E2-3865-4604-817B-55DC13FE314E}</author>
    <author>tc={A132D7B2-2BEA-4C20-AFD5-44E944A3BDDD}</author>
    <author>tc={8A30D20C-6D0C-4CDE-B93A-B10E0A348027}</author>
    <author>tc={D925A6BC-7D23-4093-887B-46489EFF6A06}</author>
    <author>tc={A132D7B2-2BEA-4C21-AFD5-44E944A3BDDD}</author>
    <author>tc={8A30D20C-6D0C-4CDF-B93A-B10E0A348027}</author>
    <author>tc={D925A6BC-7D23-4094-887B-46489EFF6A06}</author>
    <author>tc={B1505F22-8616-40A0-983A-76AE53ABD7B8}</author>
    <author>tc={CAF0D949-453B-4EA8-A830-7228B374D4DC}</author>
    <author>tc={5DB2DD33-6F4B-4D36-8357-85EC542FF52E}</author>
    <author>tc={2E50CF65-4E3F-45CF-832B-961DDB1FDAB2}</author>
    <author>tc={9AF5A1C7-72AC-456F-B6B7-BAE2CD185345}</author>
    <author>tc={4E6BD9BB-C596-42AA-94E7-C3CE41043743}</author>
    <author>tc={F9EF2110-2768-47CC-B120-FF8990AED8D5}</author>
    <author>tc={C6AEB886-AE0A-4A51-95D2-A68195266602}</author>
    <author>tc={BAA67C36-AF51-4BED-B7D4-04FA55579072}</author>
    <author>tc={9131A7B2-5002-48D9-AF09-3A8448CA1484}</author>
    <author>tc={146767DE-5B9A-4E79-A6AF-4661BD22412F}</author>
    <author>tc={D60454FA-7C35-4E06-9948-81C673D72D47}</author>
    <author>tc={9131A7B2-5002-48DA-AF09-3A8448CA1484}</author>
    <author>tc={00F9E878-9A1A-45A3-8F36-B22F718D4F4F}</author>
    <author>tc={AC1CE358-27EF-437D-A20C-0A98A3E3B045}</author>
    <author>tc={9131A7B2-5002-48DB-AF09-3A8448CA1484}</author>
    <author>tc={B0C5EA81-B3A4-4BC2-BD1E-B63745DF4011}</author>
    <author>tc={9131A7B2-5002-48DC-AF09-3A8448CA1484}</author>
    <author>tc={9B4DFCC7-4115-4BDA-A92E-21793CD71782}</author>
    <author>tc={9131A7B2-5002-48DD-AF09-3A8448CA1484}</author>
    <author>tc={9131A7B2-5002-48DE-AF09-3A8448CA1484}</author>
    <author>tc={665F38CB-0B3A-4F29-8CCA-AA5C28A1B666}</author>
    <author>tc={49BB7BC9-58D8-4DBB-9948-2DE99A07160C}</author>
    <author>tc={9131A7B2-5002-48DF-AF09-3A8448CA1484}</author>
    <author>tc={5F3A65A2-737A-44DF-B7BB-817CB73D29C8}</author>
    <author>tc={9131A7B2-5002-48E0-AF09-3A8448CA1484}</author>
    <author>tc={45793A2F-9BA2-4FF2-95B6-D924B3F14F54}</author>
    <author>tc={9131A7B2-5002-48E1-AF09-3A8448CA1484}</author>
    <author>tc={E19009C2-F35D-481E-8AA0-68A2065C7CD3}</author>
    <author>tc={9131A7B2-5002-48E2-AF09-3A8448CA1484}</author>
    <author>tc={796286AA-64AB-4BA1-9223-AC2E2A5A8FB9}</author>
    <author>tc={9131A7B2-5002-48E3-AF09-3A8448CA1484}</author>
    <author>tc={796286AA-64AB-4BA2-9223-AC2E2A5A8FB9}</author>
    <author>tc={9131A7B2-5002-48E4-AF09-3A8448CA1484}</author>
    <author>tc={9131A7B2-5002-48E5-AF09-3A8448CA1484}</author>
    <author>tc={9131A7B2-5002-48E6-AF09-3A8448CA1484}</author>
    <author>tc={9131A7B2-5002-48E7-AF09-3A8448CA1484}</author>
    <author>tc={9131A7B2-5002-48E8-AF09-3A8448CA1484}</author>
    <author>tc={9131A7B2-5002-48E9-AF09-3A8448CA1484}</author>
    <author>tc={9131A7B2-5002-48EA-AF09-3A8448CA1484}</author>
    <author>tc={D199D387-CD44-4B30-8C7E-5DE3BC757B6F}</author>
    <author>tc={9131A7B2-5002-48EB-AF09-3A8448CA1484}</author>
    <author>tc={9131A7B2-5002-48EC-AF09-3A8448CA1484}</author>
    <author>tc={9131A7B2-5002-48ED-AF09-3A8448CA1484}</author>
    <author>tc={9131A7B2-5002-48EE-AF09-3A8448CA1484}</author>
    <author>tc={9131A7B2-5002-48EF-AF09-3A8448CA1484}</author>
    <author>tc={9131A7B2-5002-48F0-AF09-3A8448CA1484}</author>
    <author>tc={9131A7B2-5002-48F1-AF09-3A8448CA1484}</author>
    <author>tc={9131A7B2-5002-48F2-AF09-3A8448CA1484}</author>
    <author>tc={C9B77E74-991B-4EAB-86EE-D75683583223}</author>
    <author>tc={9131A7B2-5002-48F3-AF09-3A8448CA1484}</author>
    <author>tc={6D6740A5-9E3A-4249-9B55-1CA95F36D806}</author>
    <author>tc={9131A7B2-5002-48F4-AF09-3A8448CA1484}</author>
    <author>tc={A7B58CFF-D4E1-4C8C-A98C-58AEACFC4872}</author>
    <author>tc={9131A7B2-5002-48F5-AF09-3A8448CA1484}</author>
    <author>tc={102A14A9-FEFD-40E1-8773-02CAB95EE68A}</author>
    <author>tc={9131A7B2-5002-48F6-AF09-3A8448CA1484}</author>
    <author>tc={4B60E54B-B2BD-4A18-96BF-D2E577231009}</author>
    <author>tc={9131A7B2-5002-48F7-AF09-3A8448CA1484}</author>
    <author>tc={9131A7B2-5002-48F8-AF09-3A8448CA1484}</author>
    <author>tc={73DFF8E1-2106-4592-AA61-3D1C4D40CA3F}</author>
    <author>tc={9131A7B2-5002-48F9-AF09-3A8448CA1484}</author>
    <author>tc={9131A7B2-5002-48FA-AF09-3A8448CA1484}</author>
    <author>tc={9131A7B2-5002-48FB-AF09-3A8448CA1484}</author>
    <author>tc={9131A7B2-5002-48FC-AF09-3A8448CA1484}</author>
    <author>tc={45793A2F-9BA2-4FF3-95B6-D924B3F14F54}</author>
    <author>tc={9131A7B2-5002-48FD-AF09-3A8448CA1484}</author>
    <author>tc={E3E5C3A3-84E0-4E4C-BF4A-F086CC23D6CB}</author>
    <author>tc={9131A7B2-5002-48FE-AF09-3A8448CA1484}</author>
    <author>tc={9131A7B2-5002-48FF-AF09-3A8448CA1484}</author>
    <author>tc={9131A7B2-5002-4900-AF09-3A8448CA1484}</author>
    <author>tc={9131A7B2-5002-4901-AF09-3A8448CA1484}</author>
    <author>tc={9131A7B2-5002-4902-AF09-3A8448CA1484}</author>
    <author>tc={9131A7B2-5002-4903-AF09-3A8448CA1484}</author>
    <author>tc={9131A7B2-5002-4904-AF09-3A8448CA1484}</author>
    <author>tc={9131A7B2-5002-4905-AF09-3A8448CA1484}</author>
    <author>tc={9131A7B2-5002-4906-AF09-3A8448CA1484}</author>
    <author>tc={57CDB868-90CA-44ED-B680-94CC220D479B}</author>
    <author>tc={9131A7B2-5002-4907-AF09-3A8448CA1484}</author>
    <author>tc={9131A7B2-5002-4908-AF09-3A8448CA1484}</author>
    <author>tc={D410E9E3-B503-496D-8E0A-F87D0D3780AC}</author>
    <author>tc={9131A7B2-5002-4909-AF09-3A8448CA1484}</author>
    <author>tc={BF65B3BB-A80C-4DD9-8877-5657F0B9C177}</author>
    <author>tc={9131A7B2-5002-490A-AF09-3A8448CA1484}</author>
    <author>tc={BF65B3BB-A80C-4DDA-8877-5657F0B9C177}</author>
    <author>tc={9131A7B2-5002-490B-AF09-3A8448CA1484}</author>
    <author>tc={BF65B3BB-A80C-4DDB-8877-5657F0B9C177}</author>
    <author>tc={9131A7B2-5002-490C-AF09-3A8448CA1484}</author>
    <author>tc={9131A7B2-5002-490D-AF09-3A8448CA1484}</author>
    <author>tc={9131A7B2-5002-490E-AF09-3A8448CA1484}</author>
    <author>tc={9131A7B2-5002-490F-AF09-3A8448CA1484}</author>
    <author>tc={9131A7B2-5002-4910-AF09-3A8448CA1484}</author>
    <author>tc={737F5CA4-0C2C-4712-A46F-CE97990BCD36}</author>
    <author>tc={9131A7B2-5002-4911-AF09-3A8448CA1484}</author>
    <author>tc={9131A7B2-5002-4912-AF09-3A8448CA1484}</author>
    <author>tc={31C23CBE-D979-4807-AE0A-310E91BB39AD}</author>
    <author>tc={9131A7B2-5002-4913-AF09-3A8448CA1484}</author>
    <author>tc={9131A7B2-5002-4914-AF09-3A8448CA1484}</author>
    <author>tc={8F02EF76-68EE-4C2C-83D2-51634629DC97}</author>
    <author>tc={9131A7B2-5002-4915-AF09-3A8448CA1484}</author>
    <author>tc={B6E84E01-DDEB-4CFF-A215-C09A420C32E4}</author>
    <author>tc={9131A7B2-5002-4916-AF09-3A8448CA1484}</author>
    <author>tc={9131A7B2-5002-4917-AF09-3A8448CA1484}</author>
    <author>tc={9131A7B2-5002-4918-AF09-3A8448CA1484}</author>
    <author>tc={9131A7B2-5002-4919-AF09-3A8448CA1484}</author>
    <author>tc={630B6AC9-8425-4866-A99D-0B85BB4B0778}</author>
    <author>tc={E1E61065-F27A-4A90-BD56-18E672D2F399}</author>
    <author>tc={9131A7B2-5002-491A-AF09-3A8448CA1484}</author>
    <author>tc={9131A7B2-5002-491B-AF09-3A8448CA1484}</author>
    <author>tc={9131A7B2-5002-491C-AF09-3A8448CA1484}</author>
    <author>tc={9131A7B2-5002-491D-AF09-3A8448CA1484}</author>
    <author>tc={9131A7B2-5002-491E-AF09-3A8448CA1484}</author>
    <author>tc={9131A7B2-5002-491F-AF09-3A8448CA1484}</author>
    <author>tc={9131A7B2-5002-4920-AF09-3A8448CA1484}</author>
    <author>tc={9131A7B2-5002-4921-AF09-3A8448CA1484}</author>
    <author>tc={9131A7B2-5002-4922-AF09-3A8448CA1484}</author>
    <author>tc={9131A7B2-5002-4923-AF09-3A8448CA1484}</author>
    <author>tc={9131A7B2-5002-4924-AF09-3A8448CA1484}</author>
    <author>tc={9131A7B2-5002-4925-AF09-3A8448CA1484}</author>
    <author>tc={9131A7B2-5002-4926-AF09-3A8448CA1484}</author>
    <author>tc={9131A7B2-5002-4927-AF09-3A8448CA1484}</author>
    <author>tc={9131A7B2-5002-4928-AF09-3A8448CA1484}</author>
    <author>tc={D1649DDB-7CAB-49BE-ADC1-87908A89B041}</author>
    <author>tc={9131A7B2-5002-4929-AF09-3A8448CA1484}</author>
    <author>tc={CE85494B-4DA4-48F5-A215-A9C725ADF965}</author>
    <author>tc={9131A7B2-5002-492A-AF09-3A8448CA1484}</author>
    <author>tc={9131A7B2-5002-492B-AF09-3A8448CA1484}</author>
    <author>tc={00036046-D2B4-4963-AF57-FAF0F33A836B}</author>
    <author>tc={2760182B-F47A-4ED7-97DD-74340198486D}</author>
    <author>tc={9131A7B2-5002-492C-AF09-3A8448CA1484}</author>
    <author>tc={9131A7B2-5002-492D-AF09-3A8448CA1484}</author>
    <author>tc={9131A7B2-5002-492E-AF09-3A8448CA1484}</author>
    <author>tc={9131A7B2-5002-492F-AF09-3A8448CA1484}</author>
    <author>tc={9131A7B2-5002-4930-AF09-3A8448CA1484}</author>
    <author>tc={9131A7B2-5002-4931-AF09-3A8448CA1484}</author>
    <author>tc={9131A7B2-5002-4932-AF09-3A8448CA1484}</author>
  </authors>
  <commentList>
    <comment ref="B3" authorId="0" shapeId="0" xr:uid="{00000000-0006-0000-0100-00000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Iniciar con verbo conjugado
</t>
      </text>
    </comment>
    <comment ref="D3" authorId="1" shapeId="0" xr:uid="{00000000-0006-0000-0100-000002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Iniciar con verbo conjugado
</t>
      </text>
    </comment>
    <comment ref="F3" authorId="2" shapeId="0" xr:uid="{00000000-0006-0000-0100-000003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Inicia con un verbo en infinitivo.</t>
      </text>
    </comment>
    <comment ref="I3" authorId="3" shapeId="0" xr:uid="{00000000-0006-0000-0100-000004000000}">
      <text>
        <r>
          <rPr>
            <b/>
            <sz val="9"/>
            <color indexed="81"/>
            <rFont val="Tahoma"/>
            <family val="2"/>
          </rPr>
          <t>https://colaboracion.dnp.gov.co/CDT/Sinergia/Documentos/Indicadores_Globales_ODS_oficial.pdf
https://www.ods.gov.co/es</t>
        </r>
      </text>
    </comment>
    <comment ref="Q3" authorId="3" shapeId="0" xr:uid="{00000000-0006-0000-0100-000005000000}">
      <text>
        <r>
          <rPr>
            <b/>
            <sz val="9"/>
            <color indexed="81"/>
            <rFont val="Tahoma"/>
            <family val="2"/>
          </rPr>
          <t>Objetivos de desarrollo sostenible</t>
        </r>
        <r>
          <rPr>
            <sz val="9"/>
            <color indexed="81"/>
            <rFont val="Tahoma"/>
            <family val="2"/>
          </rPr>
          <t xml:space="preserve">
</t>
        </r>
      </text>
    </comment>
    <comment ref="R3" authorId="3" shapeId="0" xr:uid="{00000000-0006-0000-0100-000006000000}">
      <text>
        <r>
          <rPr>
            <b/>
            <sz val="9"/>
            <color indexed="81"/>
            <rFont val="Tahoma"/>
            <family val="2"/>
          </rPr>
          <t>Sistema de gestión integral</t>
        </r>
        <r>
          <rPr>
            <sz val="9"/>
            <color indexed="81"/>
            <rFont val="Tahoma"/>
            <family val="2"/>
          </rPr>
          <t xml:space="preserve">
</t>
        </r>
      </text>
    </comment>
    <comment ref="B4" authorId="4" shapeId="0" xr:uid="{00000000-0006-0000-0100-000007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F4" authorId="5" shapeId="0" xr:uid="{00000000-0006-0000-0100-00000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Otras estrategias de conservación: Rondas hídricas, corredores y demás medidas de la Corporación (zona ribereña), entre otras.
</t>
      </text>
    </comment>
    <comment ref="H6" authorId="6" shapeId="0" xr:uid="{00000000-0006-0000-0100-000009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Este indicador contempla cantidad de agua por ser una relación entre oferta y demanda
Fórmula: Cantidad de niveles subsiguientes o subzonas hidrográficas con IUA muy alto/ Total de niveles subsiguientes o subzonas hidrográficas en la jurisdicción de Corantiquia </t>
      </text>
    </comment>
    <comment ref="H7" authorId="7" shapeId="0" xr:uid="{00000000-0006-0000-0100-00000A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2019-11-07: Nuevo indicador a incorporar por parte de la Subdirección de Ecosistemas.</t>
      </text>
    </comment>
    <comment ref="J7" authorId="8" shapeId="0" xr:uid="{00000000-0006-0000-0100-00000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Traslape capas: Áreas protegidas, POMCAS, PORH y Acuíferos.
</t>
      </text>
    </comment>
    <comment ref="S7" authorId="9" shapeId="0" xr:uid="{00000000-0006-0000-0100-00000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Traslape capas: Áreas protegidas, POMCAS, PORH y Acuíferos.
</t>
      </text>
    </comment>
    <comment ref="J9" authorId="10" shapeId="0" xr:uid="{00000000-0006-0000-0100-00000D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Traslape de Cuencas abastecedoras inventariadas y el cruce de POMCAS, acuíferos y áreas protegidas</t>
      </text>
    </comment>
    <comment ref="S9" authorId="11" shapeId="0" xr:uid="{00000000-0006-0000-0100-00000E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Traslape de Cuencas abastecedoras inventariadas y el cruce de POMCAS, acuíferos y áreas protegidas</t>
      </text>
    </comment>
    <comment ref="J10" authorId="12" shapeId="0" xr:uid="{00000000-0006-0000-0100-00000F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18.098+535,47
Ecosistemas revisará esta información a partir del cruce de variables (cartografía)</t>
      </text>
    </comment>
    <comment ref="K10" authorId="13" shapeId="0" xr:uid="{00000000-0006-0000-0100-000010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18.633,5+5.000</t>
      </text>
    </comment>
    <comment ref="L10" authorId="3" shapeId="0" xr:uid="{00000000-0006-0000-0100-000011000000}">
      <text>
        <r>
          <rPr>
            <b/>
            <sz val="9"/>
            <color indexed="81"/>
            <rFont val="Tahoma"/>
            <family val="2"/>
          </rPr>
          <t>Es decir, se espera incrementar las ha de cobertura boscosa en 1666,83 ha en el periodo del PGAR y a 416,71 ha/año.</t>
        </r>
      </text>
    </comment>
    <comment ref="S10" authorId="14" shapeId="0" xr:uid="{00000000-0006-0000-0100-000012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Información tomada del convenio 1505-65 realizado con EAFIT. 
</t>
      </text>
    </comment>
    <comment ref="T10" authorId="15" shapeId="0" xr:uid="{00000000-0006-0000-0100-000013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Oscar Iván Giraldo: 
→ Desagregar estas hectáreas cuantas corresponden a la Corporación y cuantas a la gobernación y los municipios.
Esa información NO es de nuestra Gobernabilidad por que el Decreto 0953 establece como obligación comprar predios, hacer mantenimientos o PSA. El municipio o la Gobernación decide.</t>
      </text>
    </comment>
    <comment ref="H11" authorId="3" shapeId="0" xr:uid="{00000000-0006-0000-0100-000014000000}">
      <text>
        <r>
          <rPr>
            <sz val="9"/>
            <color indexed="81"/>
            <rFont val="Tahoma"/>
            <family val="2"/>
          </rPr>
          <t>Cuerpos de agua en este indicador se debe entender como cuenca o subzona hidrográfica nivel subsiguiente 1.</t>
        </r>
      </text>
    </comment>
    <comment ref="L11" authorId="3" shapeId="0" xr:uid="{00000000-0006-0000-0100-000015000000}">
      <text>
        <r>
          <rPr>
            <b/>
            <sz val="9"/>
            <color indexed="81"/>
            <rFont val="Tahoma"/>
            <family val="2"/>
          </rPr>
          <t>Inicialmente se había sugerido realizar 7 POMCAs adicionales a los ya existentes; pero la Subdirección de Gestión Ambiental lo bajo a 4.</t>
        </r>
      </text>
    </comment>
    <comment ref="L12" authorId="3" shapeId="0" xr:uid="{00000000-0006-0000-0100-000016000000}">
      <text>
        <r>
          <rPr>
            <b/>
            <sz val="9"/>
            <color indexed="81"/>
            <rFont val="Tahoma"/>
            <family val="2"/>
          </rPr>
          <t>Inicialmente se había sugerido realizar 7 POMCAs adicionales a los ya existentes; pero la Subdirección de Gestión Ambiental lo bajo a 4.</t>
        </r>
      </text>
    </comment>
    <comment ref="H13" authorId="16" shapeId="0" xr:uid="{00000000-0006-0000-0100-000017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Fórmula de cálculo:
Número de cuerpos de agua con reglamentación de uso / número de cuerpos de agua priorizados en el Plan Hídrico Nacional</t>
      </text>
    </comment>
    <comment ref="L13" authorId="3" shapeId="0" xr:uid="{00000000-0006-0000-0100-000018000000}">
      <text>
        <r>
          <rPr>
            <b/>
            <sz val="9"/>
            <color indexed="81"/>
            <rFont val="Tahoma"/>
            <family val="2"/>
          </rPr>
          <t>Equivale a realizar 11 PORH, así:
5 en 2021
3 en 2022
3 en 2023</t>
        </r>
        <r>
          <rPr>
            <sz val="9"/>
            <color indexed="81"/>
            <rFont val="Tahoma"/>
            <family val="2"/>
          </rPr>
          <t xml:space="preserve">
</t>
        </r>
      </text>
    </comment>
    <comment ref="H14" authorId="17" shapeId="0" xr:uid="{00000000-0006-0000-0100-000019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Fórmula de cálculo:
Número de cuerpos de agua con objetivos de calidad alcanzados / número de cuerpos de agua con objetivo de calidad establecido mediante Resolución Corporativa.
Se ajustó el nombre del indicador y la meta (Jorge Ignacio Gaviria).</t>
      </text>
    </comment>
    <comment ref="K14" authorId="18" shapeId="0" xr:uid="{00000000-0006-0000-0100-00001A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Gestión ambienta:
Plantear rango para valorar el resultado</t>
      </text>
    </comment>
    <comment ref="L14" authorId="3" shapeId="0" xr:uid="{00000000-0006-0000-0100-00001B000000}">
      <text>
        <r>
          <rPr>
            <b/>
            <sz val="9"/>
            <color indexed="81"/>
            <rFont val="Tahoma"/>
            <family val="2"/>
          </rPr>
          <t>Equivale a realizar 7 PORH, así:
2 en 2021
2 en 2022
3 en 2023</t>
        </r>
      </text>
    </comment>
    <comment ref="H15" authorId="19" shapeId="0" xr:uid="{00000000-0006-0000-0100-00001C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Fórmula de cálculo:
Número de cuerpos de agua con objetivos de calidad alcanzados / número de cuerpos de agua con objetivo de calidad establecido mediante Resolución Corporativa.
Se ajustó el nombre del indicador y la meta (Jorge Ignacio Gaviria).</t>
      </text>
    </comment>
    <comment ref="K15" authorId="20" shapeId="0" xr:uid="{00000000-0006-0000-0100-00001D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Gestión ambienta:
Plantear rango para valorar el resultado</t>
      </text>
    </comment>
    <comment ref="L15" authorId="3" shapeId="0" xr:uid="{00000000-0006-0000-0100-00001E000000}">
      <text>
        <r>
          <rPr>
            <b/>
            <sz val="9"/>
            <color indexed="81"/>
            <rFont val="Tahoma"/>
            <family val="2"/>
          </rPr>
          <t>Equivale a realizar 7 PORH, así:
2 en 2021
2 en 2022
3 en 2023</t>
        </r>
      </text>
    </comment>
    <comment ref="T16" authorId="21" shapeId="0" xr:uid="{00000000-0006-0000-0100-00001F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Vigencia promedio de un plan de manejo de un área protegida</t>
      </text>
    </comment>
    <comment ref="H20" authorId="22" shapeId="0" xr:uid="{00000000-0006-0000-0100-000020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2019-11-07: Nuevo indicador a incorporar por parte de la Subdirección de Ecosistemas.</t>
      </text>
    </comment>
    <comment ref="F21" authorId="23" shapeId="0" xr:uid="{00000000-0006-0000-0100-00002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Anteriormente estaba en la línea 3, componente 10
</t>
      </text>
    </comment>
    <comment ref="H21" authorId="24" shapeId="0" xr:uid="{00000000-0006-0000-0100-000022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Evaluar otro indicador: 
Espacios habilitados para el aprovechamiento de los espacios naturales (públicos y privados)
(Hectáreas o número de predios?)</t>
      </text>
    </comment>
    <comment ref="K21" authorId="25" shapeId="0" xr:uid="{00000000-0006-0000-0100-000023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Plantear un rango de población teniendo en cuenta las caracteristicas poblacionales de los municipios de la jurisdicción</t>
      </text>
    </comment>
    <comment ref="F22" authorId="26" shapeId="0" xr:uid="{00000000-0006-0000-0100-00002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Anteriormente estaba en la línea 3, componente 10
</t>
      </text>
    </comment>
    <comment ref="H22" authorId="27" shapeId="0" xr:uid="{00000000-0006-0000-0100-000025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Evaluar otro indicador: 
Espacios habilitados para el aprovechamiento de los espacios naturales (públicos y privados)
(Hectáreas o número de predios?)</t>
      </text>
    </comment>
    <comment ref="K22" authorId="28" shapeId="0" xr:uid="{00000000-0006-0000-0100-000026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Plantear un rango de población teniendo en cuenta las caracteristicas poblacionales de los municipios de la jurisdicción</t>
      </text>
    </comment>
    <comment ref="H23" authorId="3" shapeId="0" xr:uid="{00000000-0006-0000-0100-000027000000}">
      <text>
        <r>
          <rPr>
            <sz val="9"/>
            <color indexed="81"/>
            <rFont val="Tahoma"/>
            <family val="2"/>
          </rPr>
          <t xml:space="preserve">• Este indicador también hace parte del Plan de acción de biodiversidad. 
• En la Resolución 667 de 2016: se denomina Áreas de ecosistemas en restauración, rehabilitación y reforestación (ha).
</t>
        </r>
      </text>
    </comment>
    <comment ref="K23" authorId="29" shapeId="0" xr:uid="{00000000-0006-0000-0100-000028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Validar esta cifra acorde a la tasa de deforestación</t>
      </text>
    </comment>
    <comment ref="S23" authorId="30" shapeId="0" xr:uid="{00000000-0006-0000-0100-000029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Antes el dato asociado a minería:  563.004 ha
El cambio se da porque se precisa:La cifra corresponde a Títulos Mineros con Clasificación de licencia de explotación, Licencia de explotación – Contrato de Concesión y Licencia especial de Materiales de construcción.
</t>
      </text>
    </comment>
    <comment ref="T23" authorId="31" shapeId="0" xr:uid="{00000000-0006-0000-0100-00002A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Meta Colombia: 1.000.000 ha en proceso de restauración en áreas susceptibles definidas por el Plan Nacional de Restauración Ecológica para la Rehabilitación y Recuperación de Áreas Disturbadas.
</t>
      </text>
    </comment>
    <comment ref="H25" authorId="32" shapeId="0" xr:uid="{00000000-0006-0000-0100-00002B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Uno de los criterios de la priorización son los municipios con POT 2000 y 2002.
+ aquellos que en su concertación no hayan considerado el decreto 1807, es decir, antes de 2015</t>
      </text>
    </comment>
    <comment ref="T25" authorId="33" shapeId="0" xr:uid="{00000000-0006-0000-0100-00002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trabajará con prioridad con los municipios que no han realizado la actualización de sus POT; sin embargo, queda abierta la opción para que un municipio por dinámica propia realice revisión de su POT, en el momento que lo considere necesario. </t>
      </text>
    </comment>
    <comment ref="H26" authorId="34" shapeId="0" xr:uid="{00000000-0006-0000-0100-00002D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Revisar documento orientador o que dan conceptos a las Alcaldía en los planes de desarrollo</t>
      </text>
    </comment>
    <comment ref="H27" authorId="35" shapeId="0" xr:uid="{00000000-0006-0000-0100-00002E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Centrarse o plantear referntes: líneas de orientación en los aspectos que son comunes</t>
      </text>
    </comment>
    <comment ref="F28" authorId="36" shapeId="0" xr:uid="{00000000-0006-0000-0100-00002F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2019-10-09: El nombre del reto "Armonizar los Planes Integrales de Gestión del Cambio Climático Sectoriales (PIGCCS) con la planeación ambiental" se actualizó.
</t>
      </text>
    </comment>
    <comment ref="H28" authorId="37" shapeId="0" xr:uid="{00000000-0006-0000-0100-000030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el plan de acción, se debe desarrollar una guía pedagógica que oriente sobre este tema</t>
      </text>
    </comment>
    <comment ref="F29" authorId="3" shapeId="0" xr:uid="{00000000-0006-0000-0100-000031000000}">
      <text>
        <r>
          <rPr>
            <b/>
            <sz val="9"/>
            <color indexed="81"/>
            <rFont val="Tahoma"/>
            <family val="2"/>
          </rPr>
          <t>contribuyendo a la resiliencia y a la reducción de la vulnerabilidad de los territorios étnicos</t>
        </r>
        <r>
          <rPr>
            <sz val="9"/>
            <color indexed="81"/>
            <rFont val="Tahoma"/>
            <family val="2"/>
          </rPr>
          <t xml:space="preserve">
</t>
        </r>
      </text>
    </comment>
    <comment ref="H29" authorId="3" shapeId="0" xr:uid="{00000000-0006-0000-0100-000032000000}">
      <text>
        <r>
          <rPr>
            <b/>
            <sz val="9"/>
            <color indexed="81"/>
            <rFont val="Tahoma"/>
            <family val="2"/>
          </rPr>
          <t xml:space="preserve">Fórmula:
</t>
        </r>
        <r>
          <rPr>
            <sz val="9"/>
            <color indexed="81"/>
            <rFont val="Tahoma"/>
            <family val="2"/>
          </rPr>
          <t>Hectáreas ecosistemas protegidas desde el gobierno propio en territorio titulado y ancestrales / hectáreas  identificadas de ecosistemas a proteger en territorios étnicos</t>
        </r>
        <r>
          <rPr>
            <b/>
            <sz val="9"/>
            <color indexed="81"/>
            <rFont val="Tahoma"/>
            <family val="2"/>
          </rPr>
          <t xml:space="preserve">
Nota: 
</t>
        </r>
        <r>
          <rPr>
            <sz val="9"/>
            <color indexed="81"/>
            <rFont val="Tahoma"/>
            <family val="2"/>
          </rPr>
          <t xml:space="preserve">▪ En este indicador se declarará el 40% de las ha que se identifiquen como susceptibles de proteger. 
</t>
        </r>
      </text>
    </comment>
    <comment ref="H30" authorId="3" shapeId="0" xr:uid="{00000000-0006-0000-0100-000033000000}">
      <text>
        <r>
          <rPr>
            <b/>
            <sz val="9"/>
            <color indexed="81"/>
            <rFont val="Tahoma"/>
            <family val="2"/>
          </rPr>
          <t xml:space="preserve">Fórmula:
</t>
        </r>
        <r>
          <rPr>
            <sz val="9"/>
            <color indexed="81"/>
            <rFont val="Tahoma"/>
            <family val="2"/>
          </rPr>
          <t>Hectáreas ecosistemas protegidas desde el gobierno propio en territorio titulado y ancestrales con acciones de manejo / hectáreas  de ecosistemas protegidos desde el gobierno propio en territorio titulado y ancestrales</t>
        </r>
        <r>
          <rPr>
            <b/>
            <sz val="9"/>
            <color indexed="81"/>
            <rFont val="Tahoma"/>
            <family val="2"/>
          </rPr>
          <t xml:space="preserve">
Nota: 
</t>
        </r>
        <r>
          <rPr>
            <sz val="9"/>
            <color indexed="81"/>
            <rFont val="Tahoma"/>
            <family val="2"/>
          </rPr>
          <t>▪ en este indicador se realizaran acciones de manejo en el 40% de las ha declaradas en el indicador R10.1.</t>
        </r>
      </text>
    </comment>
    <comment ref="B31" authorId="38" shapeId="0" xr:uid="{00000000-0006-0000-0100-00003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31" authorId="39" shapeId="0" xr:uid="{00000000-0006-0000-0100-000035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Antes: Área de frontera agropecuaria asociada a los sectores productivos agropecuarios con pactos de cero deforestación (ha) 
</t>
      </text>
    </comment>
    <comment ref="J31" authorId="40" shapeId="0" xr:uid="{00000000-0006-0000-0100-000036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Antes: 0 ha delimitadas
Mapa agroecosistemas IDEAM 2017, Mapa Deforestacion de IDEAM 2018, Mapa POF Corantioquia 2019.</t>
      </text>
    </comment>
    <comment ref="B32" authorId="41" shapeId="0" xr:uid="{00000000-0006-0000-0100-000037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32" authorId="42" shapeId="0" xr:uid="{00000000-0006-0000-0100-000038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2019-11-07. Ana Maria Castano Rivas:
Estos indicadores requieren de una unidad de analisis de información que pueda proveer datos a partir de imágenes (SIG)
Pérdida de área de ecosistemas asociado a sectores productivos priorizados con respecto a línea base 2010 en bosque. Se elimina, no hay capacidad de medición actualmente.
Disminución del número de ha degradadas de bosque (ha). Se elimina, no hay capacidad de medición actualmente.
Disminución de la tasa de pérdida de bosques . Se fusiona con este indicador.</t>
      </text>
    </comment>
    <comment ref="J32" authorId="43" shapeId="0" xr:uid="{00000000-0006-0000-0100-000039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Antes: 0 ha delimitadas
Mapa agroecosistemas IDEAM 2017
Mapa Deforestacion de IDEAM 2018
Mapa POF Corantioquia 2019.</t>
      </text>
    </comment>
    <comment ref="B33" authorId="44" shapeId="0" xr:uid="{00000000-0006-0000-0100-00003A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33" authorId="45" shapeId="0" xr:uid="{00000000-0006-0000-0100-00003B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2019-10-09: Indicador anterior "Porcentaje de zonas de producción agropecuaria gestionadas de manera sostenible, garantizándose la conservación de la diversidad biológica"
Para ello se realizaran Acuerdos cero deforestación consolidados y en implementación, según plan acordado, de cadenas de producción priorizadas</t>
      </text>
    </comment>
    <comment ref="B34" authorId="46" shapeId="0" xr:uid="{00000000-0006-0000-0100-00003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F34" authorId="47" shapeId="0" xr:uid="{00000000-0006-0000-0100-00003D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Tener en consideración la áreas suburbuna en términos de desarrollo de actividad agropecuaria.
Revisar Resolución de agricultura familiar de la UPRA
Mapa de la UPRA
(Llevar a Línea 3, relacioado a vulnerabilidad)</t>
      </text>
    </comment>
    <comment ref="H34" authorId="3" shapeId="0" xr:uid="{00000000-0006-0000-0100-00003E00000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B35" authorId="48" shapeId="0" xr:uid="{00000000-0006-0000-0100-00003F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36" authorId="49" shapeId="0" xr:uid="{00000000-0006-0000-0100-00004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F36" authorId="50" shapeId="0" xr:uid="{00000000-0006-0000-0100-00004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2019-10-10: Este reto inicialmente estaba asociado al Componente 6. La ciudadanía y sus prácticas cotidianas; pero dada su temática se movió para el reto 4.
</t>
      </text>
    </comment>
    <comment ref="H36" authorId="51" shapeId="0" xr:uid="{00000000-0006-0000-0100-000042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Incluir la fracción orgánica en de los residuos rurales </t>
      </text>
    </comment>
    <comment ref="B37" authorId="52" shapeId="0" xr:uid="{00000000-0006-0000-0100-000043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37" authorId="53" shapeId="0" xr:uid="{00000000-0006-0000-0100-00004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crecimiento real en lugar de tasa
Ventas anualizadas negocios verdes
Número de empleo negocios verdes
</t>
      </text>
    </comment>
    <comment ref="B38" authorId="54" shapeId="0" xr:uid="{00000000-0006-0000-0100-000045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38" authorId="55" shapeId="0" xr:uid="{00000000-0006-0000-0100-000046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Según el SI, t: tonelada
Según ISO 80000, a: año
</t>
      </text>
    </comment>
    <comment ref="B39" authorId="56" shapeId="0" xr:uid="{00000000-0006-0000-0100-000047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39" authorId="57" shapeId="0" xr:uid="{00000000-0006-0000-0100-000048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Estudios de paisajes productivos realizados por la UDEA
Definir ecosistema y socioecosistema.
Que permita tener claridad frente a estos</t>
      </text>
    </comment>
    <comment ref="B40" authorId="58" shapeId="0" xr:uid="{00000000-0006-0000-0100-000049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40" authorId="59" shapeId="0" xr:uid="{00000000-0006-0000-0100-00004A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2019-10-09: Se había sugerido este indicador "Restauración en áreas susceptibles definidas por el Plan Nacional de Restauración Ecológica para la Rehabilitación y Recuperación de Áreas Disturbadas (ha)" pero no se considero pertinente para el reto. El cual fue tomado del Plan de acción de Biodiversidad y cuya meta 1.000.000 ha en proceso de restauración en áreas susceptibles definidas por el Plan Nacional de Restauración Ecológica para la Rehabilitación y Recuperación de Áreas Disturbadas.</t>
      </text>
    </comment>
    <comment ref="B41" authorId="60" shapeId="0" xr:uid="{00000000-0006-0000-0100-00004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41" authorId="61" shapeId="0" xr:uid="{00000000-0006-0000-0100-00004C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2019-10-09: Se había sugerido este indicador "Restauración en áreas susceptibles definidas por el Plan Nacional de Restauración Ecológica para la Rehabilitación y Recuperación de Áreas Disturbadas (ha)" pero no se considero pertinente para el reto. El cual fue tomado del Plan de acción de Biodiversidad y cuya meta 1.000.000 ha en proceso de restauración en áreas susceptibles definidas por el Plan Nacional de Restauración Ecológica para la Rehabilitación y Recuperación de Áreas Disturbadas.</t>
      </text>
    </comment>
    <comment ref="B42" authorId="62" shapeId="0" xr:uid="{00000000-0006-0000-0100-00004D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43" authorId="63" shapeId="0" xr:uid="{00000000-0006-0000-0100-00004E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43" authorId="3" shapeId="0" xr:uid="{00000000-0006-0000-0100-00004F000000}">
      <text>
        <r>
          <rPr>
            <b/>
            <sz val="9"/>
            <color indexed="81"/>
            <rFont val="Tahoma"/>
            <family val="2"/>
          </rPr>
          <t xml:space="preserve">Nota: </t>
        </r>
        <r>
          <rPr>
            <sz val="9"/>
            <color indexed="81"/>
            <rFont val="Tahoma"/>
            <family val="2"/>
          </rPr>
          <t>Este indicador hace parte también de la línea 3, componente 9, reto 1</t>
        </r>
      </text>
    </comment>
    <comment ref="B44" authorId="64" shapeId="0" xr:uid="{00000000-0006-0000-0100-00005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45" authorId="65" shapeId="0" xr:uid="{00000000-0006-0000-0100-00005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46" authorId="66" shapeId="0" xr:uid="{00000000-0006-0000-0100-000052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46" authorId="3" shapeId="0" xr:uid="{00000000-0006-0000-0100-00005300000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B47" authorId="67" shapeId="0" xr:uid="{00000000-0006-0000-0100-00005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48" authorId="68" shapeId="0" xr:uid="{00000000-0006-0000-0100-000055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48" authorId="69" shapeId="0" xr:uid="{00000000-0006-0000-0100-000056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La Subdirección de Gestión Ambiental sugiere eliminar el reto dado que la Matriz está bajo la responsabilidad de las empresas generadoras, las cuales están por fuera de la competencia de la Corporación.
</t>
      </text>
    </comment>
    <comment ref="B49" authorId="70" shapeId="0" xr:uid="{00000000-0006-0000-0100-000057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50" authorId="71" shapeId="0" xr:uid="{00000000-0006-0000-0100-00005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51" authorId="72" shapeId="0" xr:uid="{00000000-0006-0000-0100-000059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51" authorId="3" shapeId="0" xr:uid="{00000000-0006-0000-0100-00005A00000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B52" authorId="73" shapeId="0" xr:uid="{00000000-0006-0000-0100-00005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52" authorId="3" shapeId="0" xr:uid="{00000000-0006-0000-0100-00005C00000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 ref="B53" authorId="74" shapeId="0" xr:uid="{00000000-0006-0000-0100-00005D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54" authorId="75" shapeId="0" xr:uid="{00000000-0006-0000-0100-00005E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55" authorId="76" shapeId="0" xr:uid="{00000000-0006-0000-0100-00005F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56" authorId="77" shapeId="0" xr:uid="{00000000-0006-0000-0100-00006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F56" authorId="78" shapeId="0" xr:uid="{00000000-0006-0000-0100-00006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Ajustar reto</t>
      </text>
    </comment>
    <comment ref="B57" authorId="79" shapeId="0" xr:uid="{00000000-0006-0000-0100-000062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57" authorId="80" shapeId="0" xr:uid="{00000000-0006-0000-0100-000063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Antes 2019-10-23: Porcentaje (%) de las entidades territoriales de la jurisdicción con su PIGCCT formulado y en concordancia con los 8 PIGCCS.</t>
      </text>
    </comment>
    <comment ref="B58" authorId="81" shapeId="0" xr:uid="{00000000-0006-0000-0100-00006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58" authorId="82" shapeId="0" xr:uid="{00000000-0006-0000-0100-000065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Antes de 2019-10-23: Porcentaje (%) de las entidades territoriales de la jurisdicción con su PIGCCT en ejecución 
</t>
      </text>
    </comment>
    <comment ref="B59" authorId="83" shapeId="0" xr:uid="{00000000-0006-0000-0100-000066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F59" authorId="3" shapeId="0" xr:uid="{00000000-0006-0000-0100-000067000000}">
      <text>
        <r>
          <rPr>
            <b/>
            <sz val="9"/>
            <color indexed="81"/>
            <rFont val="Tahoma"/>
            <family val="2"/>
          </rPr>
          <t xml:space="preserve">Antes: </t>
        </r>
        <r>
          <rPr>
            <sz val="9"/>
            <color indexed="81"/>
            <rFont val="Tahoma"/>
            <family val="2"/>
          </rPr>
          <t>Disminuir las toneladas de residuos sólidos en los sitios de aprovechamiento, tratamiento y disposición de residuos ordinarios, especiales y peligrosos</t>
        </r>
      </text>
    </comment>
    <comment ref="H59" authorId="84" shapeId="0" xr:uid="{00000000-0006-0000-0100-00006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Fórmula: Residuos totales generados (t/año)/PIB (billones de pesos)
</t>
      </text>
    </comment>
    <comment ref="B60" authorId="85" shapeId="0" xr:uid="{00000000-0006-0000-0100-000069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60" authorId="86" shapeId="0" xr:uid="{00000000-0006-0000-0100-00006A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Fórmula: (Residuos totales aprovechados/ Residuos totales aprovechables generados)*100
**Ajustar con fracción orgánico</t>
      </text>
    </comment>
    <comment ref="B61" authorId="87" shapeId="0" xr:uid="{00000000-0006-0000-0100-00006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62" authorId="88" shapeId="0" xr:uid="{00000000-0006-0000-0100-00006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62" authorId="89" shapeId="0" xr:uid="{00000000-0006-0000-0100-00006D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Fórmula: (equipos eliminados/equipos inventariados)*100 
</t>
      </text>
    </comment>
    <comment ref="B63" authorId="90" shapeId="0" xr:uid="{00000000-0006-0000-0100-00006E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63" authorId="3" shapeId="0" xr:uid="{00000000-0006-0000-0100-00006F000000}">
      <text>
        <r>
          <rPr>
            <b/>
            <sz val="9"/>
            <color indexed="81"/>
            <rFont val="Tahoma"/>
            <family val="2"/>
          </rPr>
          <t xml:space="preserve">Nota: </t>
        </r>
        <r>
          <rPr>
            <sz val="9"/>
            <color indexed="81"/>
            <rFont val="Tahoma"/>
            <family val="2"/>
          </rPr>
          <t>Este indicador hace parte también de la línea 2, componente 6, reto 16</t>
        </r>
      </text>
    </comment>
    <comment ref="B64" authorId="91" shapeId="0" xr:uid="{00000000-0006-0000-0100-00007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65" authorId="92" shapeId="0" xr:uid="{00000000-0006-0000-0100-00007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66" authorId="93" shapeId="0" xr:uid="{00000000-0006-0000-0100-000072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66" authorId="94" shapeId="0" xr:uid="{00000000-0006-0000-0100-000073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Según el SI, t: tonelada
Según ISO 80000, a: año
</t>
      </text>
    </comment>
    <comment ref="B67" authorId="95" shapeId="0" xr:uid="{00000000-0006-0000-0100-00007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67" authorId="96" shapeId="0" xr:uid="{00000000-0006-0000-0100-000075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Conversar con Claudia Andrea Díaz</t>
      </text>
    </comment>
    <comment ref="B68" authorId="97" shapeId="0" xr:uid="{00000000-0006-0000-0100-000076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69" authorId="98" shapeId="0" xr:uid="{00000000-0006-0000-0100-000077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70" authorId="99" shapeId="0" xr:uid="{00000000-0006-0000-0100-00007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71" authorId="100" shapeId="0" xr:uid="{00000000-0006-0000-0100-000079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72" authorId="101" shapeId="0" xr:uid="{00000000-0006-0000-0100-00007A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73" authorId="102" shapeId="0" xr:uid="{00000000-0006-0000-0100-00007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74" authorId="103" shapeId="0" xr:uid="{00000000-0006-0000-0100-00007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75" authorId="104" shapeId="0" xr:uid="{00000000-0006-0000-0100-00007D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76" authorId="105" shapeId="0" xr:uid="{00000000-0006-0000-0100-00007E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76" authorId="106" shapeId="0" xr:uid="{00000000-0006-0000-0100-00007F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No queda registrada la meta, dadas las dificultades. Se fortalecerá la red</t>
      </text>
    </comment>
    <comment ref="B77" authorId="107" shapeId="0" xr:uid="{00000000-0006-0000-0100-00008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78" authorId="108" shapeId="0" xr:uid="{00000000-0006-0000-0100-00008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78" authorId="109" shapeId="0" xr:uid="{00000000-0006-0000-0100-000082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9.4.1. Intensidad de emisiones de CO2 de las industrias respecto a valor agregado de la industria manufacturera (GIGA_CO2 por $ miles de millones) </t>
      </text>
    </comment>
    <comment ref="B79" authorId="110" shapeId="0" xr:uid="{00000000-0006-0000-0100-000083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79" authorId="111" shapeId="0" xr:uid="{00000000-0006-0000-0100-00008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Denominación del indicador según Resolución 667: Índice de calidad de aire en las localidades de especial interés por contaminación atmosférica
</t>
      </text>
    </comment>
    <comment ref="B80" authorId="112" shapeId="0" xr:uid="{00000000-0006-0000-0100-000085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80" authorId="113" shapeId="0" xr:uid="{00000000-0006-0000-0100-000086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Denominación del indicador según Resolución 667: Índice de calidad de aire en las localidades de especial interés por contaminación atmosférica
</t>
      </text>
    </comment>
    <comment ref="B81" authorId="114" shapeId="0" xr:uid="{00000000-0006-0000-0100-000087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81" authorId="115" shapeId="0" xr:uid="{00000000-0006-0000-0100-00008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Denominación del indicador según Resolución 667: Índice de calidad de aire en las localidades de especial interés por contaminación atmosférica
</t>
      </text>
    </comment>
    <comment ref="B82" authorId="116" shapeId="0" xr:uid="{00000000-0006-0000-0100-000089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83" authorId="117" shapeId="0" xr:uid="{00000000-0006-0000-0100-00008A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84" authorId="118" shapeId="0" xr:uid="{00000000-0006-0000-0100-00008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85" authorId="119" shapeId="0" xr:uid="{00000000-0006-0000-0100-00008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86" authorId="120" shapeId="0" xr:uid="{00000000-0006-0000-0100-00008D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86" authorId="121" shapeId="0" xr:uid="{00000000-0006-0000-0100-00008E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Se calcula empresas con planes de movildiad / Número de empresas</t>
      </text>
    </comment>
    <comment ref="B87" authorId="122" shapeId="0" xr:uid="{00000000-0006-0000-0100-00008F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88" authorId="123" shapeId="0" xr:uid="{00000000-0006-0000-0100-00009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88" authorId="124" shapeId="0" xr:uid="{00000000-0006-0000-0100-00009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Denominación del indicador según Resolución 667: Índice de calidad de aire en las localidades de especial interés por contaminación atmosférica
</t>
      </text>
    </comment>
    <comment ref="B89" authorId="125" shapeId="0" xr:uid="{00000000-0006-0000-0100-000092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90" authorId="126" shapeId="0" xr:uid="{00000000-0006-0000-0100-000093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90" authorId="127" shapeId="0" xr:uid="{00000000-0006-0000-0100-000094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El Índice de Desempeño Institucional (IEDI) de las Corporaciones Autónomas Regionales y de Desarrollo Sostenible mide el desempeño institucional en el marco de las funciones misionales asignadas por la Ley 99 de 1993 y las relacionadas con el ejercicio de las funciones administrativas y los principios del Buen Gobierno.
NOTA: Fortalecer la red de monitorio de aire</t>
      </text>
    </comment>
    <comment ref="B91" authorId="128" shapeId="0" xr:uid="{00000000-0006-0000-0100-000095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91" authorId="129" shapeId="0" xr:uid="{00000000-0006-0000-0100-000096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entiende que un municipio tiene capacidad alta cuando cumple tres o más de los criterios que se exponen a continuación: 
Anualmente presentan informe anual de cumplimiento de las acciones ejecutadas derivadas del acta de concertación de su POT y de las funciones ambientales de la Ley 99 de 1993. 
Ejecuta el 1% de sus ingresos corrientes para la adquisición y mantenimiento de áreas de interés para acueductos municipales o para financiar esquemas de pago por servicios ambientales (artículo 111° Ley 99 de 1993).  
Tiene definido al menos una persona dedicada a las funciones ambientales 
Anualmente realizan al menos una intervención directa con una organización comunitaria reconocida para la gestión del patrimonio ambiental.  
Si el municipio cumple uno de los criterios se considera que tiene una capacidad baja. Si cumple dos de los criterios se considera que tiene capacidad media.  
</t>
      </text>
    </comment>
    <comment ref="B92" authorId="130" shapeId="0" xr:uid="{00000000-0006-0000-0100-000097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92" authorId="3" shapeId="0" xr:uid="{00000000-0006-0000-0100-00009800000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B93" authorId="131" shapeId="0" xr:uid="{00000000-0006-0000-0100-000099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93" authorId="3" shapeId="0" xr:uid="{00000000-0006-0000-0100-00009A00000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B94" authorId="132" shapeId="0" xr:uid="{00000000-0006-0000-0100-00009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94" authorId="3" shapeId="0" xr:uid="{00000000-0006-0000-0100-00009C00000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B95" authorId="133" shapeId="0" xr:uid="{00000000-0006-0000-0100-00009D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F95" authorId="134" shapeId="0" xr:uid="{00000000-0006-0000-0100-00009E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Parques Nacionales, ANLA, Corporaciones vecinas</t>
      </text>
    </comment>
    <comment ref="H95" authorId="135" shapeId="0" xr:uid="{00000000-0006-0000-0100-00009F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2019-10-09: inicialmente el indicador aparecia así: "Instrumentos de Planificación Ambiental Interinstitucional presentes en el territorio armonizados y orientados a una gestión articulada hacia la sostenibilidad ambiental del territorio"
</t>
      </text>
    </comment>
    <comment ref="B96" authorId="136" shapeId="0" xr:uid="{00000000-0006-0000-0100-0000A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96" authorId="3" shapeId="0" xr:uid="{00000000-0006-0000-0100-0000A100000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B97" authorId="137" shapeId="0" xr:uid="{00000000-0006-0000-0100-0000A2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98" authorId="138" shapeId="0" xr:uid="{00000000-0006-0000-0100-0000A3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98" authorId="3" shapeId="0" xr:uid="{00000000-0006-0000-0100-0000A4000000}">
      <text>
        <r>
          <rPr>
            <b/>
            <sz val="9"/>
            <color indexed="81"/>
            <rFont val="Tahoma"/>
            <family val="2"/>
          </rPr>
          <t xml:space="preserve">
Incluye: </t>
        </r>
        <r>
          <rPr>
            <sz val="9"/>
            <color indexed="81"/>
            <rFont val="Tahoma"/>
            <family val="2"/>
          </rPr>
          <t xml:space="preserve">Aportes en recurso financiero y en meta cumplida. 
</t>
        </r>
      </text>
    </comment>
    <comment ref="B99" authorId="139" shapeId="0" xr:uid="{00000000-0006-0000-0100-0000A5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99" authorId="3" shapeId="0" xr:uid="{00000000-0006-0000-0100-0000A6000000}">
      <text>
        <r>
          <rPr>
            <b/>
            <sz val="9"/>
            <color indexed="81"/>
            <rFont val="Tahoma"/>
            <family val="2"/>
          </rPr>
          <t xml:space="preserve">Incluye: </t>
        </r>
        <r>
          <rPr>
            <sz val="9"/>
            <color indexed="81"/>
            <rFont val="Tahoma"/>
            <family val="2"/>
          </rPr>
          <t xml:space="preserve">Acuerdos, arreglos, agenda compartida, injerencia en las decisiones que intervienen el territorio </t>
        </r>
      </text>
    </comment>
    <comment ref="K99" authorId="3" shapeId="0" xr:uid="{00000000-0006-0000-0100-0000A7000000}">
      <text>
        <r>
          <rPr>
            <b/>
            <sz val="9"/>
            <color indexed="81"/>
            <rFont val="Tahoma"/>
            <family val="2"/>
          </rPr>
          <t xml:space="preserve">Actores estratégicos cómo: </t>
        </r>
        <r>
          <rPr>
            <sz val="9"/>
            <color indexed="81"/>
            <rFont val="Tahoma"/>
            <family val="2"/>
          </rPr>
          <t>Comunidades indígenas (62), comunidades afro (99), sector productivo (ganadería, minero, cafetero, piscícola y caña panelera) y educativo (400 instituciones educativas).</t>
        </r>
      </text>
    </comment>
    <comment ref="B100" authorId="140" shapeId="0" xr:uid="{00000000-0006-0000-0100-0000A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101" authorId="141" shapeId="0" xr:uid="{00000000-0006-0000-0100-0000A9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102" authorId="142" shapeId="0" xr:uid="{00000000-0006-0000-0100-0000AA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103" authorId="143" shapeId="0" xr:uid="{00000000-0006-0000-0100-0000A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104" authorId="144" shapeId="0" xr:uid="{00000000-0006-0000-0100-0000A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105" authorId="145" shapeId="0" xr:uid="{00000000-0006-0000-0100-0000AD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106" authorId="146" shapeId="0" xr:uid="{00000000-0006-0000-0100-0000AE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107" authorId="147" shapeId="0" xr:uid="{00000000-0006-0000-0100-0000AF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108" authorId="148" shapeId="0" xr:uid="{00000000-0006-0000-0100-0000B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109" authorId="149" shapeId="0" xr:uid="{00000000-0006-0000-0100-0000B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109" authorId="3" shapeId="0" xr:uid="{00000000-0006-0000-0100-0000B200000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B110" authorId="150" shapeId="0" xr:uid="{00000000-0006-0000-0100-0000B3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110" authorId="151" shapeId="0" xr:uid="{00000000-0006-0000-0100-0000B4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nombrar</t>
      </text>
    </comment>
    <comment ref="B111" authorId="152" shapeId="0" xr:uid="{00000000-0006-0000-0100-0000B5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K111" authorId="153" shapeId="0" xr:uid="{00000000-0006-0000-0100-0000B6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Tener en cuenta:
Allto: excelente y sobresaliente
Media: aceptable
Bajo: deficiente
variables a evaluar:
Tiempo de respuesta
Atención
Pertinencia
Transparencia
Satisfacción</t>
      </text>
    </comment>
    <comment ref="B112" authorId="154" shapeId="0" xr:uid="{00000000-0006-0000-0100-0000B7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113" authorId="155" shapeId="0" xr:uid="{00000000-0006-0000-0100-0000B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113" authorId="156" shapeId="0" xr:uid="{00000000-0006-0000-0100-0000B9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Cultura y comunicaciones proponene este indicador:
Entes territoriales que incorporacn la comunicación y la educación ambiental en sus instrumentos de planeaciónl</t>
      </text>
    </comment>
    <comment ref="K113" authorId="157" shapeId="0" xr:uid="{00000000-0006-0000-0100-0000BA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Asociado al indicador propuesto:
Entes territoriales que incorporacn la comunicación y la educación ambiental en sus instrumentos de planeaciónl</t>
      </text>
    </comment>
    <comment ref="B114" authorId="158" shapeId="0" xr:uid="{00000000-0006-0000-0100-0000B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115" authorId="159" shapeId="0" xr:uid="{00000000-0006-0000-0100-0000B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116" authorId="160" shapeId="0" xr:uid="{00000000-0006-0000-0100-0000BD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117" authorId="161" shapeId="0" xr:uid="{00000000-0006-0000-0100-0000BE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117" authorId="3" shapeId="0" xr:uid="{00000000-0006-0000-0100-0000BF000000}">
      <text>
        <r>
          <rPr>
            <sz val="9"/>
            <color indexed="81"/>
            <rFont val="Tahoma"/>
            <family val="2"/>
          </rPr>
          <t xml:space="preserve">Acciones coordinadas efectivamente/acciones identificadas para la coordinación </t>
        </r>
      </text>
    </comment>
    <comment ref="B118" authorId="162" shapeId="0" xr:uid="{00000000-0006-0000-0100-0000C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119" authorId="163" shapeId="0" xr:uid="{00000000-0006-0000-0100-0000C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H119" authorId="3" shapeId="0" xr:uid="{00000000-0006-0000-0100-0000C200000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 ref="B120" authorId="164" shapeId="0" xr:uid="{00000000-0006-0000-0100-0000C3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tc={9131A7B2-5002-4933-AF09-3A8448CA1484}</author>
    <author>tc={9017E411-D7AF-4785-91F3-277CFE0A3143}</author>
    <author>tc={C44B7C0D-417B-4120-A0E6-E0122D4CEFDA}</author>
    <author>tc={146767DE-5B9A-4E7A-A6AF-4661BD22412F}</author>
    <author>tc={D60454FA-7C35-4E07-9948-81C673D72D47}</author>
    <author>tc={7D1CB343-5DCB-4F24-9495-327BDA8CF58A}</author>
    <author>tc={00F9E878-9A1A-45A4-8F36-B22F718D4F4F}</author>
    <author>tc={AC1CE358-27EF-437E-A20C-0A98A3E3B045}</author>
    <author>tc={531F404F-1791-4A76-A5AD-F6E40B2ACF72}</author>
    <author>tc={B0C5EA81-B3A4-4BC3-BD1E-B63745DF4011}</author>
    <author>tc={EDCFF8CE-7557-4E1A-911A-BCFBA4BB0754}</author>
    <author>tc={9B4DFCC7-4115-4BDB-A92E-21793CD71782}</author>
    <author>Marlo Giovanny Florez Mejia</author>
    <author>tc={0BD2D59A-B83A-45AD-B77F-CB2566B9531F}</author>
    <author>tc={665F38CB-0B3A-4F2A-8CCA-AA5C28A1B666}</author>
    <author>tc={49BB7BC9-58D8-4DBC-9948-2DE99A07160C}</author>
    <author>tc={5F3A65A2-737A-44E0-B7BB-817CB73D29C8}</author>
    <author>tc={45793A2F-9BA2-4FF6-95B6-D924B3F14F54}</author>
    <author>tc={E19009C2-F35D-481F-8AA0-68A2065C7CD3}</author>
    <author>tc={796286AA-64AB-4BA3-9223-AC2E2A5A8FB9}</author>
    <author>tc={796286AA-64AB-4BA4-9223-AC2E2A5A8FB9}</author>
    <author>tc={D199D387-CD44-4B31-8C7E-5DE3BC757B6F}</author>
  </authors>
  <commentList>
    <comment ref="A2" authorId="0" shapeId="0" xr:uid="{00000000-0006-0000-0200-00000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3" authorId="1" shapeId="0" xr:uid="{00000000-0006-0000-0200-000002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Iniciar con verbo conjugado
</t>
      </text>
    </comment>
    <comment ref="D3" authorId="2" shapeId="0" xr:uid="{00000000-0006-0000-0200-000003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Inicia con un verbo en infinitivo.</t>
      </text>
    </comment>
    <comment ref="F4" authorId="3" shapeId="0" xr:uid="{00000000-0006-0000-0200-00000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Antes: Área de frontera agropecuaria asociada a los sectores productivos agropecuarios con pactos de cero deforestación (ha) 
</t>
      </text>
    </comment>
    <comment ref="H4" authorId="4" shapeId="0" xr:uid="{00000000-0006-0000-0200-000005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Antes: 0 ha delimitadas
Mapa agroecosistemas IDEAM 2017, Mapa Deforestacion de IDEAM 2018, Mapa POF Corantioquia 2019.</t>
      </text>
    </comment>
    <comment ref="O4" authorId="5" shapeId="0" xr:uid="{00000000-0006-0000-0200-000006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Antes: 0 ha delimitadas
Mapa agroecosistemas IDEAM 2017, Mapa Deforestacion de IDEAM 2018, Mapa POF Corantioquia 2019.</t>
      </text>
    </comment>
    <comment ref="F5" authorId="6" shapeId="0" xr:uid="{00000000-0006-0000-0200-000007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2019-11-07. Ana Maria Castano Rivas:
Estos indicadores requieren de una unidad de analisis de información que pueda proveer datos a partir de imágenes (SIG)
Pérdida de área de ecosistemas asociado a sectores productivos priorizados con respecto a línea base 2010 en bosque. Se elimina, no hay capacidad de medición actualmente.
Disminución del número de ha degradadas de bosque (ha). Se elimina, no hay capacidad de medición actualmente.
Disminución de la tasa de pérdida de bosques . Se fusiona con este indicador.</t>
      </text>
    </comment>
    <comment ref="H5" authorId="7" shapeId="0" xr:uid="{00000000-0006-0000-0200-000008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Antes: 0 ha delimitadas
Mapa agroecosistemas IDEAM 2017
Mapa Deforestacion de IDEAM 2018
Mapa POF Corantioquia 2019.</t>
      </text>
    </comment>
    <comment ref="O5" authorId="8" shapeId="0" xr:uid="{00000000-0006-0000-0200-000009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Antes: 0 ha delimitadas
Mapa agroecosistemas IDEAM 2017
Mapa Deforestacion de IDEAM 2018
Mapa POF Corantioquia 2019.</t>
      </text>
    </comment>
    <comment ref="F6" authorId="9" shapeId="0" xr:uid="{00000000-0006-0000-0200-00000A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2019-10-09: Indicador anterior "Porcentaje de zonas de producción agropecuaria gestionadas de manera sostenible, garantizándose la conservación de la diversidad biológica"
Para ello se realizaran Acuerdos cero deforestación consolidados y en implementación, según plan acordado, de cadenas de producción priorizadas</t>
      </text>
    </comment>
    <comment ref="P6" authorId="10" shapeId="0" xr:uid="{00000000-0006-0000-0200-00000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2019-10-09: Meta indicador anterior. Colombia: El 100% de las zonas de producción agropecuaria gestionadas de manera sostenible, garantizándose la conservación de la diversidad biológica. 
PGAR: 100% 
</t>
      </text>
    </comment>
    <comment ref="D7" authorId="11" shapeId="0" xr:uid="{00000000-0006-0000-0200-00000C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Tener en consideración la áreas suburbuna en términos de desarrollo de actividad agropecuaria.
Revisar Resolución de agricultura familiar de la UPRA
Mapa de la UPRA
(Llevar a Línea 3, relacioado a vulnerabilidad)</t>
      </text>
    </comment>
    <comment ref="F7" authorId="12" shapeId="0" xr:uid="{00000000-0006-0000-0200-00000D00000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O7" authorId="13" shapeId="0" xr:uid="{00000000-0006-0000-0200-00000E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Política de crecimiento verde</t>
      </text>
    </comment>
    <comment ref="D9" authorId="14" shapeId="0" xr:uid="{00000000-0006-0000-0200-00000F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2019-10-10: Este reto inicialmente estaba asociado al Componente 6. La ciudadanía y sus prácticas cotidianas; pero dada su temática se movió para el reto 4.
</t>
      </text>
    </comment>
    <comment ref="F9" authorId="15" shapeId="0" xr:uid="{00000000-0006-0000-0200-00001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Incluir la fracción orgánica en de los residuos rurales </t>
      </text>
    </comment>
    <comment ref="F10" authorId="16" shapeId="0" xr:uid="{00000000-0006-0000-0200-00001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crecimiento real en lugar de tasa
Ventas anualizadas negocios verdes
Número de empleo negocios verdes
</t>
      </text>
    </comment>
    <comment ref="F11" authorId="17" shapeId="0" xr:uid="{00000000-0006-0000-0200-000012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Según el SI, t: tonelada
Según ISO 80000, a: año
</t>
      </text>
    </comment>
    <comment ref="F12" authorId="18" shapeId="0" xr:uid="{00000000-0006-0000-0200-000013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Estudios de paisajes productivos realizados por la UDEA
Definir ecosistema y socioecosistema.
Que permita tener claridad frente a estos</t>
      </text>
    </comment>
    <comment ref="F13" authorId="19" shapeId="0" xr:uid="{00000000-0006-0000-0200-000014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2019-10-09: Se había sugerido este indicador "Restauración en áreas susceptibles definidas por el Plan Nacional de Restauración Ecológica para la Rehabilitación y Recuperación de Áreas Disturbadas (ha)" pero no se considero pertinente para el reto. El cual fue tomado del Plan de acción de Biodiversidad y cuya meta 1.000.000 ha en proceso de restauración en áreas susceptibles definidas por el Plan Nacional de Restauración Ecológica para la Rehabilitación y Recuperación de Áreas Disturbadas.</t>
      </text>
    </comment>
    <comment ref="F14" authorId="20" shapeId="0" xr:uid="{00000000-0006-0000-0200-000015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2019-10-09: Se había sugerido este indicador "Restauración en áreas susceptibles definidas por el Plan Nacional de Restauración Ecológica para la Rehabilitación y Recuperación de Áreas Disturbadas (ha)" pero no se considero pertinente para el reto. El cual fue tomado del Plan de acción de Biodiversidad y cuya meta 1.000.000 ha en proceso de restauración en áreas susceptibles definidas por el Plan Nacional de Restauración Ecológica para la Rehabilitación y Recuperación de Áreas Disturbadas.</t>
      </text>
    </comment>
    <comment ref="F16" authorId="12" shapeId="0" xr:uid="{00000000-0006-0000-0200-000016000000}">
      <text>
        <r>
          <rPr>
            <b/>
            <sz val="9"/>
            <color indexed="81"/>
            <rFont val="Tahoma"/>
            <family val="2"/>
          </rPr>
          <t xml:space="preserve">Nota: </t>
        </r>
        <r>
          <rPr>
            <sz val="9"/>
            <color indexed="81"/>
            <rFont val="Tahoma"/>
            <family val="2"/>
          </rPr>
          <t>Este indicador hace parte también de la línea 3, componente 9, reto 1</t>
        </r>
      </text>
    </comment>
    <comment ref="F19" authorId="12" shapeId="0" xr:uid="{00000000-0006-0000-0200-00001700000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F21" authorId="21" shapeId="0" xr:uid="{00000000-0006-0000-0200-00001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La Subdirección de Gestión Ambiental sugiere eliminar el reto dado que la Matriz está bajo la responsabilidad de las empresas generadoras, las cuales están por fuera de la competencia de la Corporación.
</t>
      </text>
    </comment>
    <comment ref="F24" authorId="12" shapeId="0" xr:uid="{00000000-0006-0000-0200-00001900000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F25" authorId="12" shapeId="0" xr:uid="{00000000-0006-0000-0200-00001A00000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tc={9131A7B2-5002-4934-AF09-3A8448CA1484}</author>
    <author>tc={9017E411-D7AF-4786-91F3-277CFE0A3143}</author>
    <author>tc={C44B7C0D-417B-4121-A0E6-E0122D4CEFDA}</author>
    <author>tc={C9B77E74-991B-4EAC-86EE-D75683583223}</author>
    <author>tc={6D6740A5-9E3A-424A-9B55-1CA95F36D806}</author>
    <author>tc={A7B58CFF-D4E1-4C8D-A98C-58AEACFC4872}</author>
    <author>Marlo Giovanny Florez Mejia</author>
    <author>tc={102A14A9-FEFD-40E2-8773-02CAB95EE68A}</author>
    <author>tc={54C80A78-D1BF-46A0-97F8-53978B8211CE}</author>
    <author>tc={4B60E54B-B2BD-4A19-96BF-D2E577231009}</author>
    <author>tc={73DFF8E1-2106-4593-AA61-3D1C4D40CA3F}</author>
    <author>tc={8A9FEA88-1CE4-49EA-BF15-765BD47823F2}</author>
    <author>tc={5DDF69E7-3205-44FE-B234-E8BF31207DCA}</author>
    <author>tc={45793A2F-9BA2-4FF4-95B6-D924B3F14F54}</author>
    <author>tc={E3E5C3A3-84E0-4E4D-BF4A-F086CC23D6CB}</author>
    <author>tc={7700043A-2831-48CC-9246-ED283BC05AD6}</author>
    <author>tc={6B5A266D-E029-4F49-B867-4A163B06E8BB}</author>
    <author>tc={57CDB868-90CA-44EE-B680-94CC220D479B}</author>
    <author>tc={D410E9E3-B503-496E-8E0A-F87D0D3780AC}</author>
    <author>tc={BF65B3BB-A80C-4DDC-8877-5657F0B9C177}</author>
    <author>tc={BF65B3BB-A80C-4DDD-8877-5657F0B9C177}</author>
    <author>tc={BF65B3BB-A80C-4DDE-8877-5657F0B9C177}</author>
    <author>tc={737F5CA4-0C2C-4713-A46F-CE97990BCD36}</author>
    <author>tc={31C23CBE-D979-4808-AE0A-310E91BB39AD}</author>
  </authors>
  <commentList>
    <comment ref="A2" authorId="0" shapeId="0" xr:uid="{00000000-0006-0000-0300-00000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3" authorId="1" shapeId="0" xr:uid="{00000000-0006-0000-0300-000002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Iniciar con verbo conjugado
</t>
      </text>
    </comment>
    <comment ref="D3" authorId="2" shapeId="0" xr:uid="{00000000-0006-0000-0300-000003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Inicia con un verbo en infinitivo.</t>
      </text>
    </comment>
    <comment ref="D7" authorId="3" shapeId="0" xr:uid="{00000000-0006-0000-0300-000004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Ajustar reto</t>
      </text>
    </comment>
    <comment ref="F8" authorId="4" shapeId="0" xr:uid="{00000000-0006-0000-0300-000005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Antes 2019-10-23: Porcentaje (%) de las entidades territoriales de la jurisdicción con su PIGCCT formulado y en concordancia con los 8 PIGCCS.</t>
      </text>
    </comment>
    <comment ref="F9" authorId="5" shapeId="0" xr:uid="{00000000-0006-0000-0300-000006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Antes de 2019-10-23: Porcentaje (%) de las entidades territoriales de la jurisdicción con su PIGCCT en ejecución 
</t>
      </text>
    </comment>
    <comment ref="D10" authorId="6" shapeId="0" xr:uid="{00000000-0006-0000-0300-000007000000}">
      <text>
        <r>
          <rPr>
            <b/>
            <sz val="9"/>
            <color indexed="81"/>
            <rFont val="Tahoma"/>
            <family val="2"/>
          </rPr>
          <t xml:space="preserve">Antes: </t>
        </r>
        <r>
          <rPr>
            <sz val="9"/>
            <color indexed="81"/>
            <rFont val="Tahoma"/>
            <family val="2"/>
          </rPr>
          <t>Disminuir las toneladas de residuos sólidos en los sitios de aprovechamiento, tratamiento y disposición de residuos ordinarios, especiales y peligrosos</t>
        </r>
      </text>
    </comment>
    <comment ref="F10" authorId="7" shapeId="0" xr:uid="{00000000-0006-0000-0300-00000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Fórmula: Residuos totales generados (t/año)/PIB (billones de pesos)
</t>
      </text>
    </comment>
    <comment ref="O10" authorId="8" shapeId="0" xr:uid="{00000000-0006-0000-0300-000009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 PIB Colombia 2017 (Billones de pesos a precios constantes): 832.590
▪ PIB Antioquia 2017 (Billones de pesos a pesos constantes): 121.242</t>
      </text>
    </comment>
    <comment ref="F11" authorId="9" shapeId="0" xr:uid="{00000000-0006-0000-0300-00000A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Fórmula: (Residuos totales aprovechados/ Residuos totales aprovechables generados)*100
**Ajustar con fracción orgánico</t>
      </text>
    </comment>
    <comment ref="F13" authorId="10" shapeId="0" xr:uid="{00000000-0006-0000-0300-00000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Fórmula: (equipos eliminados/equipos inventariados)*100 
</t>
      </text>
    </comment>
    <comment ref="F14" authorId="6" shapeId="0" xr:uid="{00000000-0006-0000-0300-00000C000000}">
      <text>
        <r>
          <rPr>
            <b/>
            <sz val="9"/>
            <color indexed="81"/>
            <rFont val="Tahoma"/>
            <family val="2"/>
          </rPr>
          <t xml:space="preserve">Nota: </t>
        </r>
        <r>
          <rPr>
            <sz val="9"/>
            <color indexed="81"/>
            <rFont val="Tahoma"/>
            <family val="2"/>
          </rPr>
          <t>Este indicador hace parte también de la línea 2, componente 6, reto 16</t>
        </r>
      </text>
    </comment>
    <comment ref="P15" authorId="11" shapeId="0" xr:uid="{00000000-0006-0000-0300-00000D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De acuerdo a la Resolución 667 de 2016, el indicador es “Residuos dispuestos adecuadamente”. Es necesario aclarar que el 100% se calcula sobre los residuos que nos son aprovechados (inservibles + aprovechables no separados en la fuente), no sobre el total de generados.</t>
      </text>
    </comment>
    <comment ref="P16" authorId="12" shapeId="0" xr:uid="{00000000-0006-0000-0300-00000E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De acuerdo a la Resolución 667 de 2016, el indicador es “Residuos dispuestos adecuadamente”. Es necesario aclarar que el 100% se calcula sobre los residuos que nos son aprovechados (inservibles + aprovechables no separados en la fuente), no sobre el total de generados.</t>
      </text>
    </comment>
    <comment ref="F17" authorId="13" shapeId="0" xr:uid="{00000000-0006-0000-0300-00000F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Según el SI, t: tonelada
Según ISO 80000, a: año
</t>
      </text>
    </comment>
    <comment ref="F18" authorId="14" shapeId="0" xr:uid="{00000000-0006-0000-0300-000010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Conversar con Claudia Andrea Díaz</t>
      </text>
    </comment>
    <comment ref="P23" authorId="15" shapeId="0" xr:uid="{00000000-0006-0000-0300-00001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Verificar la meta con la autoridad sanitaria DSSA 
</t>
      </text>
    </comment>
    <comment ref="P24" authorId="16" shapeId="0" xr:uid="{00000000-0006-0000-0300-000012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Verificar la meta con la autoridad sanitaria DSSA </t>
      </text>
    </comment>
    <comment ref="Q24" authorId="6" shapeId="0" xr:uid="{00000000-0006-0000-0300-000013000000}">
      <text>
        <r>
          <rPr>
            <b/>
            <sz val="9"/>
            <color indexed="81"/>
            <rFont val="Tahoma"/>
            <family val="2"/>
          </rPr>
          <t xml:space="preserve">Verificar la meta con la autoridad sanitaria DSSA </t>
        </r>
      </text>
    </comment>
    <comment ref="F27" authorId="17" shapeId="0" xr:uid="{00000000-0006-0000-0300-000014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No queda registrada la meta, dadas las dificultades. Se fortalecerá la red</t>
      </text>
    </comment>
    <comment ref="F29" authorId="18" shapeId="0" xr:uid="{00000000-0006-0000-0300-000015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9.4.1. Intensidad de emisiones de CO2 de las industrias respecto a valor agregado de la industria manufacturera (GIGA_CO2 por $ miles de millones) </t>
      </text>
    </comment>
    <comment ref="F30" authorId="19" shapeId="0" xr:uid="{00000000-0006-0000-0300-000016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Denominación del indicador según Resolución 667: Índice de calidad de aire en las localidades de especial interés por contaminación atmosférica
</t>
      </text>
    </comment>
    <comment ref="F31" authorId="20" shapeId="0" xr:uid="{00000000-0006-0000-0300-000017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Denominación del indicador según Resolución 667: Índice de calidad de aire en las localidades de especial interés por contaminación atmosférica
</t>
      </text>
    </comment>
    <comment ref="F32" authorId="21" shapeId="0" xr:uid="{00000000-0006-0000-0300-00001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Denominación del indicador según Resolución 667: Índice de calidad de aire en las localidades de especial interés por contaminación atmosférica
</t>
      </text>
    </comment>
    <comment ref="F37" authorId="22" shapeId="0" xr:uid="{00000000-0006-0000-0300-000019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Se calcula empresas con planes de movildiad / Número de empresas</t>
      </text>
    </comment>
    <comment ref="F39" authorId="23" shapeId="0" xr:uid="{00000000-0006-0000-0300-00001A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Denominación del indicador según Resolución 667: Índice de calidad de aire en las localidades de especial interés por contaminación atmosférica
</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tc={9131A7B2-5002-4935-AF09-3A8448CA1484}</author>
    <author>tc={9017E411-D7AF-4787-91F3-277CFE0A3143}</author>
    <author>tc={C44B7C0D-417B-4122-A0E6-E0122D4CEFDA}</author>
    <author>tc={8F02EF76-68EE-4C2D-83D2-51634629DC97}</author>
    <author>tc={B6E84E01-DDEB-4D00-A215-C09A420C32E4}</author>
    <author>Marlo Giovanny Florez Mejia</author>
    <author>tc={630B6AC9-8425-4867-A99D-0B85BB4B0778}</author>
    <author>tc={E1E61065-F27A-4A91-BD56-18E672D2F399}</author>
    <author>tc={D1649DDB-7CAB-49BF-ADC1-87908A89B041}</author>
    <author>tc={CE85494B-4DA4-48F6-A215-A9C725ADF965}</author>
    <author>tc={00036046-D2B4-4964-AF57-FAF0F33A836B}</author>
    <author>tc={2760182B-F47A-4ED8-97DD-74340198486D}</author>
  </authors>
  <commentList>
    <comment ref="A2" authorId="0" shapeId="0" xr:uid="{00000000-0006-0000-0400-00000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Comenzar por un verbo en infinitivo
</t>
      </text>
    </comment>
    <comment ref="B3" authorId="1" shapeId="0" xr:uid="{00000000-0006-0000-0400-000002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Iniciar con verbo conjugado
</t>
      </text>
    </comment>
    <comment ref="D3" authorId="2" shapeId="0" xr:uid="{00000000-0006-0000-0400-000003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Inicia con un verbo en infinitivo.</t>
      </text>
    </comment>
    <comment ref="F4" authorId="3" shapeId="0" xr:uid="{00000000-0006-0000-0400-000004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El Índice de Desempeño Institucional (IEDI) de las Corporaciones Autónomas Regionales y de Desarrollo Sostenible mide el desempeño institucional en el marco de las funciones misionales asignadas por la Ley 99 de 1993 y las relacionadas con el ejercicio de las funciones administrativas y los principios del Buen Gobierno.
NOTA: Fortalecer la red de monitorio de aire</t>
      </text>
    </comment>
    <comment ref="F5" authorId="4" shapeId="0" xr:uid="{00000000-0006-0000-0400-000005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entiende que un municipio tiene capacidad alta cuando cumple tres o más de los criterios que se exponen a continuación: 
Anualmente presentan informe anual de cumplimiento de las acciones ejecutadas derivadas del acta de concertación de su POT y de las funciones ambientales de la Ley 99 de 1993. 
Ejecuta el 1% de sus ingresos corrientes para la adquisición y mantenimiento de áreas de interés para acueductos municipales o para financiar esquemas de pago por servicios ambientales (artículo 111° Ley 99 de 1993).  
Tiene definido al menos una persona dedicada a las funciones ambientales 
Anualmente realizan al menos una intervención directa con una organización comunitaria reconocida para la gestión del patrimonio ambiental.  
Si el municipio cumple uno de los criterios se considera que tiene una capacidad baja. Si cumple dos de los criterios se considera que tiene capacidad media.  
</t>
      </text>
    </comment>
    <comment ref="F6" authorId="5" shapeId="0" xr:uid="{00000000-0006-0000-0400-00000600000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F7" authorId="5" shapeId="0" xr:uid="{00000000-0006-0000-0400-00000700000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F8" authorId="5" shapeId="0" xr:uid="{00000000-0006-0000-0400-00000800000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D9" authorId="6" shapeId="0" xr:uid="{00000000-0006-0000-0400-000009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Parques Nacionales, ANLA, Corporaciones vecinas</t>
      </text>
    </comment>
    <comment ref="F9" authorId="7" shapeId="0" xr:uid="{00000000-0006-0000-0400-00000A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2019-10-09: inicialmente el indicador aparecia así: "Instrumentos de Planificación Ambiental Interinstitucional presentes en el territorio armonizados y orientados a una gestión articulada hacia la sostenibilidad ambiental del territorio"
</t>
      </text>
    </comment>
    <comment ref="F10" authorId="5" shapeId="0" xr:uid="{00000000-0006-0000-0400-00000B00000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F12" authorId="5" shapeId="0" xr:uid="{00000000-0006-0000-0400-00000C000000}">
      <text>
        <r>
          <rPr>
            <b/>
            <sz val="9"/>
            <color indexed="81"/>
            <rFont val="Tahoma"/>
            <family val="2"/>
          </rPr>
          <t xml:space="preserve">
Incluye: </t>
        </r>
        <r>
          <rPr>
            <sz val="9"/>
            <color indexed="81"/>
            <rFont val="Tahoma"/>
            <family val="2"/>
          </rPr>
          <t xml:space="preserve">Aportes en recurso financiero y en meta cumplida. 
</t>
        </r>
      </text>
    </comment>
    <comment ref="F13" authorId="5" shapeId="0" xr:uid="{00000000-0006-0000-0400-00000D000000}">
      <text>
        <r>
          <rPr>
            <b/>
            <sz val="9"/>
            <color indexed="81"/>
            <rFont val="Tahoma"/>
            <family val="2"/>
          </rPr>
          <t xml:space="preserve">Incluye: </t>
        </r>
        <r>
          <rPr>
            <sz val="9"/>
            <color indexed="81"/>
            <rFont val="Tahoma"/>
            <family val="2"/>
          </rPr>
          <t xml:space="preserve">Acuerdos, arreglos, agenda compartida, injerencia en las decisiones que intervienen el territorio </t>
        </r>
      </text>
    </comment>
    <comment ref="F23" authorId="5" shapeId="0" xr:uid="{00000000-0006-0000-0400-00000E00000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F24" authorId="8" shapeId="0" xr:uid="{00000000-0006-0000-0400-00000F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nombrar</t>
      </text>
    </comment>
    <comment ref="I25" authorId="9" shapeId="0" xr:uid="{00000000-0006-0000-0400-000010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Tener en cuenta:
Allto: excelente y sobresaliente
Media: aceptable
Bajo: deficiente
variables a evaluar:
Tiempo de respuesta
Atención
Pertinencia
Transparencia
Satisfacción</t>
      </text>
    </comment>
    <comment ref="F27" authorId="10" shapeId="0" xr:uid="{00000000-0006-0000-0400-00001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Cultura y comunicaciones proponene este indicador:
Entes territoriales que incorporacn la comunicación y la educación ambiental en sus instrumentos de planeaciónl</t>
      </text>
    </comment>
    <comment ref="I27" authorId="11" shapeId="0" xr:uid="{00000000-0006-0000-0400-000012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Asociado al indicador propuesto:
Entes territoriales que incorporacn la comunicación y la educación ambiental en sus instrumentos de planeaciónl</t>
      </text>
    </comment>
    <comment ref="F31" authorId="5" shapeId="0" xr:uid="{00000000-0006-0000-0400-000013000000}">
      <text>
        <r>
          <rPr>
            <sz val="9"/>
            <color indexed="81"/>
            <rFont val="Tahoma"/>
            <family val="2"/>
          </rPr>
          <t xml:space="preserve">Acciones coordinadas efectivamente/acciones identificadas para la coordinación </t>
        </r>
      </text>
    </comment>
    <comment ref="F33" authorId="5" shapeId="0" xr:uid="{00000000-0006-0000-0400-00001400000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 xml:space="preserve">Pablo Barrera </author>
    <author>Pablo Andrés Barrera Bolaños</author>
    <author>Administrador</author>
    <author>Usuario</author>
    <author>HP</author>
    <author>Jhoanna Paola Restrepo Cojo</author>
    <author>Pablo Barrera</author>
    <author>Ana Maria Castano Rivas</author>
    <author>Jair Mauricio Valencia Monsalve</author>
    <author>Jorge Ignacio Gaviria</author>
  </authors>
  <commentList>
    <comment ref="A1" authorId="0" shapeId="0" xr:uid="{00000000-0006-0000-0500-000001000000}">
      <text>
        <r>
          <rPr>
            <b/>
            <sz val="9"/>
            <color rgb="FF000000"/>
            <rFont val="Tahoma"/>
            <family val="2"/>
          </rPr>
          <t>Programa:</t>
        </r>
        <r>
          <rPr>
            <sz val="9"/>
            <color rgb="FF000000"/>
            <rFont val="Tahoma"/>
            <family val="2"/>
          </rPr>
          <t xml:space="preserve">
</t>
        </r>
        <r>
          <rPr>
            <sz val="9"/>
            <color rgb="FF000000"/>
            <rFont val="Tahoma"/>
            <family val="2"/>
          </rPr>
          <t xml:space="preserve"> Un grupo de proyectos y actividades de programas relacionados cuya gestión se realiza de manera coordinada para obtener beneficios que no se obtendrían si se gestionaran en forma individual.
</t>
        </r>
        <r>
          <rPr>
            <sz val="9"/>
            <color rgb="FF000000"/>
            <rFont val="Tahoma"/>
            <family val="2"/>
          </rPr>
          <t xml:space="preserve">
</t>
        </r>
        <r>
          <rPr>
            <sz val="9"/>
            <color rgb="FF000000"/>
            <rFont val="Tahoma"/>
            <family val="2"/>
          </rPr>
          <t>2013 Project Management Institute. Guía de los Fundamentos para la Dirección de Proyectos (Guía del PMBOK®) — Quinta edición</t>
        </r>
      </text>
    </comment>
    <comment ref="B1" authorId="0" shapeId="0" xr:uid="{00000000-0006-0000-0500-000002000000}">
      <text>
        <r>
          <rPr>
            <b/>
            <sz val="9"/>
            <color rgb="FF000000"/>
            <rFont val="Tahoma"/>
            <family val="2"/>
          </rPr>
          <t>Proyecto:</t>
        </r>
        <r>
          <rPr>
            <sz val="9"/>
            <color rgb="FF000000"/>
            <rFont val="Tahoma"/>
            <family val="2"/>
          </rPr>
          <t xml:space="preserve"> Un esfuerzo temporal que se lleva a cabo para crear un producto, servicio o resultado único.
</t>
        </r>
        <r>
          <rPr>
            <sz val="9"/>
            <color rgb="FF000000"/>
            <rFont val="Tahoma"/>
            <family val="2"/>
          </rPr>
          <t xml:space="preserve">
</t>
        </r>
        <r>
          <rPr>
            <sz val="9"/>
            <color rgb="FF000000"/>
            <rFont val="Tahoma"/>
            <family val="2"/>
          </rPr>
          <t>2013 Project Management Institute. Guía de los Fundamentos para la Dirección de Proyectos (Guía del PMBOK®) — Quinta edición</t>
        </r>
      </text>
    </comment>
    <comment ref="D1" authorId="0" shapeId="0" xr:uid="{00000000-0006-0000-0500-000003000000}">
      <text>
        <r>
          <rPr>
            <b/>
            <sz val="9"/>
            <color rgb="FF000000"/>
            <rFont val="Tahoma"/>
            <family val="2"/>
          </rPr>
          <t>Actividad:</t>
        </r>
        <r>
          <rPr>
            <sz val="9"/>
            <color rgb="FF000000"/>
            <rFont val="Tahoma"/>
            <family val="2"/>
          </rPr>
          <t xml:space="preserve"> Una porción definida y planificada de trabajo ejecutado durante el curso de un proyecto.
</t>
        </r>
        <r>
          <rPr>
            <sz val="9"/>
            <color rgb="FF000000"/>
            <rFont val="Tahoma"/>
            <family val="2"/>
          </rPr>
          <t xml:space="preserve">
</t>
        </r>
        <r>
          <rPr>
            <sz val="9"/>
            <color rgb="FF000000"/>
            <rFont val="Tahoma"/>
            <family val="2"/>
          </rPr>
          <t xml:space="preserve">2013 Project Management Institute. Guía de los Fundamentos para la Dirección de Proyectos (Guía del PMBOK®) — Quinta edición
</t>
        </r>
      </text>
    </comment>
    <comment ref="F1" authorId="1" shapeId="0" xr:uid="{00000000-0006-0000-0500-000004000000}">
      <text>
        <r>
          <rPr>
            <b/>
            <sz val="10"/>
            <color rgb="FF000000"/>
            <rFont val="Tahoma"/>
            <family val="2"/>
          </rPr>
          <t>La subactividad aplica para aquellas actividades que tienen más de un indicador</t>
        </r>
      </text>
    </comment>
    <comment ref="J1" authorId="0" shapeId="0" xr:uid="{00000000-0006-0000-0500-000005000000}">
      <text>
        <r>
          <rPr>
            <b/>
            <sz val="9"/>
            <color indexed="81"/>
            <rFont val="Tahoma"/>
            <family val="2"/>
          </rPr>
          <t>Ante efectos presupuestales COVID-19</t>
        </r>
      </text>
    </comment>
    <comment ref="Q1" authorId="0" shapeId="0" xr:uid="{00000000-0006-0000-0500-000006000000}">
      <text>
        <r>
          <rPr>
            <b/>
            <sz val="9"/>
            <color indexed="81"/>
            <rFont val="Tahoma"/>
            <family val="2"/>
          </rPr>
          <t>https://colaboracion.dnp.gov.co/CDT/Sinergia/Documentos/Indicadores_Globales_ODS_oficial.pdf
https://www.ods.gov.co/es</t>
        </r>
        <r>
          <rPr>
            <sz val="9"/>
            <color indexed="81"/>
            <rFont val="Tahoma"/>
            <family val="2"/>
          </rPr>
          <t xml:space="preserve">
</t>
        </r>
      </text>
    </comment>
    <comment ref="R1" authorId="0" shapeId="0" xr:uid="{00000000-0006-0000-0500-000007000000}">
      <text>
        <r>
          <rPr>
            <b/>
            <sz val="9"/>
            <color indexed="81"/>
            <rFont val="Tahoma"/>
            <family val="2"/>
          </rPr>
          <t>Objetivos de desarrollo sostenible</t>
        </r>
        <r>
          <rPr>
            <sz val="9"/>
            <color indexed="81"/>
            <rFont val="Tahoma"/>
            <family val="2"/>
          </rPr>
          <t xml:space="preserve">
</t>
        </r>
      </text>
    </comment>
    <comment ref="S1" authorId="0" shapeId="0" xr:uid="{00000000-0006-0000-0500-000008000000}">
      <text>
        <r>
          <rPr>
            <b/>
            <sz val="9"/>
            <color indexed="81"/>
            <rFont val="Tahoma"/>
            <family val="2"/>
          </rPr>
          <t>Sistema de gestión integral</t>
        </r>
        <r>
          <rPr>
            <sz val="9"/>
            <color indexed="81"/>
            <rFont val="Tahoma"/>
            <family val="2"/>
          </rPr>
          <t xml:space="preserve">
</t>
        </r>
      </text>
    </comment>
    <comment ref="A2" authorId="2" shapeId="0" xr:uid="{00000000-0006-0000-0500-000009000000}">
      <text>
        <r>
          <rPr>
            <sz val="9"/>
            <color rgb="FF000000"/>
            <rFont val="Tahoma"/>
            <family val="2"/>
          </rPr>
          <t xml:space="preserve">2020_02_12
</t>
        </r>
        <r>
          <rPr>
            <sz val="9"/>
            <color rgb="FF000000"/>
            <rFont val="Tahoma"/>
            <family val="2"/>
          </rPr>
          <t xml:space="preserve">
</t>
        </r>
        <r>
          <rPr>
            <sz val="9"/>
            <color rgb="FF000000"/>
            <rFont val="Tahoma"/>
            <family val="2"/>
          </rPr>
          <t xml:space="preserve">Programa I. Gestión integral de áreas protegidas y otras estrategias de conservación en la jurisdicción de Corantioquia 
</t>
        </r>
        <r>
          <rPr>
            <sz val="9"/>
            <color rgb="FF000000"/>
            <rFont val="Tahoma"/>
            <family val="2"/>
          </rPr>
          <t xml:space="preserve">
</t>
        </r>
        <r>
          <rPr>
            <sz val="9"/>
            <color rgb="FF000000"/>
            <rFont val="Tahoma"/>
            <family val="2"/>
          </rPr>
          <t xml:space="preserve">2020_02_21_
</t>
        </r>
        <r>
          <rPr>
            <sz val="9"/>
            <color rgb="FF000000"/>
            <rFont val="Tahoma"/>
            <family val="2"/>
          </rPr>
          <t xml:space="preserve">
</t>
        </r>
        <r>
          <rPr>
            <sz val="9"/>
            <color rgb="FF000000"/>
            <rFont val="Tahoma"/>
            <family val="2"/>
          </rPr>
          <t>Programa I. Nuestros ecosistemas estratégicos</t>
        </r>
      </text>
    </comment>
    <comment ref="B2" authorId="3" shapeId="0" xr:uid="{00000000-0006-0000-0500-00000A000000}">
      <text>
        <r>
          <rPr>
            <sz val="9"/>
            <color rgb="FF000000"/>
            <rFont val="Tahoma"/>
            <family val="2"/>
          </rPr>
          <t>Proyecto 1. Incrementar y Proteger las áreas que proveen bienes y servicios ecosistémicos</t>
        </r>
      </text>
    </comment>
    <comment ref="K2" authorId="1" shapeId="0" xr:uid="{00000000-0006-0000-0500-00000B000000}">
      <text>
        <r>
          <rPr>
            <b/>
            <sz val="10"/>
            <color rgb="FF000000"/>
            <rFont val="Tahoma"/>
            <family val="2"/>
          </rPr>
          <t>Se trata de un nuevo modelo por lo tanto no se tiene línea base.</t>
        </r>
        <r>
          <rPr>
            <sz val="10"/>
            <color rgb="FF000000"/>
            <rFont val="Tahoma"/>
            <family val="2"/>
          </rPr>
          <t xml:space="preserve">
</t>
        </r>
      </text>
    </comment>
    <comment ref="M2" authorId="3" shapeId="0" xr:uid="{00000000-0006-0000-0500-00000C000000}">
      <text>
        <r>
          <rPr>
            <b/>
            <sz val="9"/>
            <color rgb="FF000000"/>
            <rFont val="Tahoma"/>
            <family val="2"/>
          </rPr>
          <t>Se espera para el primer año tener formulado y aprobado el Modelo.</t>
        </r>
        <r>
          <rPr>
            <sz val="9"/>
            <color rgb="FF000000"/>
            <rFont val="Tahoma"/>
            <family val="2"/>
          </rPr>
          <t xml:space="preserve">
</t>
        </r>
      </text>
    </comment>
    <comment ref="AG2" authorId="4" shapeId="0" xr:uid="{00000000-0006-0000-0500-00000D000000}">
      <text>
        <r>
          <rPr>
            <b/>
            <sz val="9"/>
            <color rgb="FF000000"/>
            <rFont val="Tahoma"/>
            <family val="2"/>
          </rPr>
          <t>Usuario:</t>
        </r>
        <r>
          <rPr>
            <sz val="9"/>
            <color rgb="FF000000"/>
            <rFont val="Tahoma"/>
            <family val="2"/>
          </rPr>
          <t xml:space="preserve">
</t>
        </r>
        <r>
          <rPr>
            <sz val="9"/>
            <color rgb="FF000000"/>
            <rFont val="Tahoma"/>
            <family val="2"/>
          </rPr>
          <t>Gustavo+subdi</t>
        </r>
      </text>
    </comment>
    <comment ref="D3" authorId="3" shapeId="0" xr:uid="{00000000-0006-0000-0500-00000E000000}">
      <text>
        <r>
          <rPr>
            <b/>
            <sz val="9"/>
            <color rgb="FF000000"/>
            <rFont val="Tahoma"/>
            <family val="2"/>
          </rPr>
          <t>Considerar:</t>
        </r>
        <r>
          <rPr>
            <sz val="9"/>
            <color rgb="FF000000"/>
            <rFont val="Tahoma"/>
            <family val="2"/>
          </rPr>
          <t xml:space="preserve">
</t>
        </r>
        <r>
          <rPr>
            <sz val="9"/>
            <color rgb="FF000000"/>
            <rFont val="Tahoma"/>
            <family val="2"/>
          </rPr>
          <t xml:space="preserve">
</t>
        </r>
        <r>
          <rPr>
            <sz val="9"/>
            <color rgb="FF000000"/>
            <rFont val="Tahoma"/>
            <family val="2"/>
          </rPr>
          <t xml:space="preserve">* Declarar áreas protegidas.
</t>
        </r>
        <r>
          <rPr>
            <sz val="9"/>
            <color rgb="FF000000"/>
            <rFont val="Tahoma"/>
            <family val="2"/>
          </rPr>
          <t xml:space="preserve">* Adoptar otras estrategias de conservación en la jurisdicción
</t>
        </r>
        <r>
          <rPr>
            <sz val="9"/>
            <color rgb="FF000000"/>
            <rFont val="Tahoma"/>
            <family val="2"/>
          </rPr>
          <t xml:space="preserve">* Actualizar planes de manejo de áreas protegidas
</t>
        </r>
        <r>
          <rPr>
            <sz val="9"/>
            <color rgb="FF000000"/>
            <rFont val="Tahoma"/>
            <family val="2"/>
          </rPr>
          <t xml:space="preserve">* Promover la gestión de áreas protegidas locales y establecer medidas complementarias de conservación.
</t>
        </r>
        <r>
          <rPr>
            <sz val="9"/>
            <color rgb="FF000000"/>
            <rFont val="Tahoma"/>
            <family val="2"/>
          </rPr>
          <t xml:space="preserve">* Realizar estudios de capacidad de carga para las diferentes áreas protegidas, especialmente las más visitadas, a fin de regular el acceso de visitantes de forma masiva.
</t>
        </r>
        <r>
          <rPr>
            <sz val="9"/>
            <color rgb="FF000000"/>
            <rFont val="Tahoma"/>
            <family val="2"/>
          </rPr>
          <t xml:space="preserve">* Ejecutar plan de Manejo de áreas protegidas
</t>
        </r>
        <r>
          <rPr>
            <sz val="9"/>
            <color rgb="FF000000"/>
            <rFont val="Tahoma"/>
            <family val="2"/>
          </rPr>
          <t xml:space="preserve">* Recuperar, proteger y conservar las especies de fauna silvestre amenazadas
</t>
        </r>
        <r>
          <rPr>
            <sz val="9"/>
            <color rgb="FF000000"/>
            <rFont val="Tahoma"/>
            <family val="2"/>
          </rPr>
          <t xml:space="preserve">* Ejecutar medidas de prevención, control y manejo
</t>
        </r>
        <r>
          <rPr>
            <sz val="9"/>
            <color rgb="FF000000"/>
            <rFont val="Tahoma"/>
            <family val="2"/>
          </rPr>
          <t xml:space="preserve">* Adoptar áreas correspondientes a otras estrategias de conservación
</t>
        </r>
        <r>
          <rPr>
            <sz val="9"/>
            <color rgb="FF000000"/>
            <rFont val="Tahoma"/>
            <family val="2"/>
          </rPr>
          <t xml:space="preserve">* Conservar, preservar y restaurar áreas en otras estrategias de conservación.
</t>
        </r>
        <r>
          <rPr>
            <sz val="9"/>
            <color rgb="FF000000"/>
            <rFont val="Tahoma"/>
            <family val="2"/>
          </rPr>
          <t xml:space="preserve">* Aplica también para la conectividad biológica al interior de áreas protegidas
</t>
        </r>
        <r>
          <rPr>
            <sz val="9"/>
            <color rgb="FF000000"/>
            <rFont val="Tahoma"/>
            <family val="2"/>
          </rPr>
          <t xml:space="preserve">* Intervenir páramos delimitados por el MADS, con zonificación y régimen de usos adoptados por la CAR
</t>
        </r>
        <r>
          <rPr>
            <sz val="9"/>
            <color rgb="FF000000"/>
            <rFont val="Tahoma"/>
            <family val="2"/>
          </rPr>
          <t xml:space="preserve">* Definir línea base de:
</t>
        </r>
        <r>
          <rPr>
            <sz val="9"/>
            <color rgb="FF000000"/>
            <rFont val="Tahoma"/>
            <family val="2"/>
          </rPr>
          <t xml:space="preserve">- Efectividad del manejo de áreas protegidas declaradas priorizadas
</t>
        </r>
        <r>
          <rPr>
            <sz val="9"/>
            <color rgb="FF000000"/>
            <rFont val="Tahoma"/>
            <family val="2"/>
          </rPr>
          <t xml:space="preserve">- Efectividad del manejo de estrategias complementarias de conservación priorizadas
</t>
        </r>
        <r>
          <rPr>
            <sz val="9"/>
            <color rgb="FF000000"/>
            <rFont val="Tahoma"/>
            <family val="2"/>
          </rPr>
          <t>* Definir línea base de hectáreas de ecosistemas a proteger desde el gobierno propio en territorio titulado y ancestrales.</t>
        </r>
      </text>
    </comment>
    <comment ref="H3" authorId="2" shapeId="0" xr:uid="{00000000-0006-0000-0500-00000F000000}">
      <text>
        <r>
          <rPr>
            <sz val="9"/>
            <color rgb="FF000000"/>
            <rFont val="Tahoma"/>
            <family val="2"/>
          </rPr>
          <t>Notas: 
* Resolución 667. Indicador % de superficie de áreas protegidas regionales declaradas, homologadas o recategorizadas inscritas en el RUNAP.
* PND 2018-2022: 
* Áreas bajo sistemas sostenibles de conservación (restauración*, sistemas agroforestales, manejo forestal sostenible)
* % de ecosistemas o unidades de análisis ecosistémicas no representados o subrepresentados incluidos en el SINAP en el cuatrienio.
Porcentaje de la superficie de áreas protegidas regionales declaradas, homologadas o recategorizadas, inscritas en el RUNAP (Resolución 667 de 2016)</t>
        </r>
      </text>
    </comment>
    <comment ref="Q3" authorId="0" shapeId="0" xr:uid="{00000000-0006-0000-0500-00001000000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Z3" authorId="4" shapeId="0" xr:uid="{00000000-0006-0000-0500-000011000000}">
      <text>
        <r>
          <rPr>
            <b/>
            <sz val="9"/>
            <color rgb="FF000000"/>
            <rFont val="Tahoma"/>
            <family val="2"/>
          </rPr>
          <t>Usuario:</t>
        </r>
        <r>
          <rPr>
            <sz val="9"/>
            <color rgb="FF000000"/>
            <rFont val="Tahoma"/>
            <family val="2"/>
          </rPr>
          <t xml:space="preserve">
</t>
        </r>
        <r>
          <rPr>
            <sz val="9"/>
            <color rgb="FF000000"/>
            <rFont val="Tahoma"/>
            <family val="2"/>
          </rPr>
          <t>Incluye inversiones por 234.091.077 + viaticos por 5 millones</t>
        </r>
      </text>
    </comment>
    <comment ref="AG3" authorId="4" shapeId="0" xr:uid="{00000000-0006-0000-0500-000012000000}">
      <text>
        <r>
          <rPr>
            <b/>
            <sz val="9"/>
            <color rgb="FF000000"/>
            <rFont val="Tahoma"/>
            <family val="2"/>
          </rPr>
          <t>Usuario:</t>
        </r>
        <r>
          <rPr>
            <sz val="9"/>
            <color rgb="FF000000"/>
            <rFont val="Tahoma"/>
            <family val="2"/>
          </rPr>
          <t xml:space="preserve">
</t>
        </r>
        <r>
          <rPr>
            <sz val="9"/>
            <color rgb="FF000000"/>
            <rFont val="Tahoma"/>
            <family val="2"/>
          </rPr>
          <t>Carlos E + Emilse</t>
        </r>
      </text>
    </comment>
    <comment ref="AX3" authorId="0" shapeId="0" xr:uid="{00000000-0006-0000-0500-00001300000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H4" authorId="3" shapeId="0" xr:uid="{00000000-0006-0000-0500-000014000000}">
      <text>
        <r>
          <rPr>
            <b/>
            <sz val="9"/>
            <color rgb="FF000000"/>
            <rFont val="Tahoma"/>
            <family val="2"/>
          </rPr>
          <t>Incluye la elaboración o actualización de los necesarios</t>
        </r>
        <r>
          <rPr>
            <sz val="9"/>
            <color rgb="FF000000"/>
            <rFont val="Tahoma"/>
            <family val="2"/>
          </rPr>
          <t xml:space="preserve">
</t>
        </r>
      </text>
    </comment>
    <comment ref="L4" authorId="3" shapeId="0" xr:uid="{00000000-0006-0000-0500-000015000000}">
      <text>
        <r>
          <rPr>
            <b/>
            <sz val="9"/>
            <color rgb="FF000000"/>
            <rFont val="Tahoma"/>
            <family val="2"/>
          </rPr>
          <t>Administrador:</t>
        </r>
        <r>
          <rPr>
            <sz val="9"/>
            <color rgb="FF000000"/>
            <rFont val="Tahoma"/>
            <family val="2"/>
          </rPr>
          <t xml:space="preserve">
</t>
        </r>
        <r>
          <rPr>
            <sz val="9"/>
            <color rgb="FF000000"/>
            <rFont val="Tahoma"/>
            <family val="2"/>
          </rPr>
          <t xml:space="preserve">Planes de manejo nuevos + planes de manejo actualizados
</t>
        </r>
        <r>
          <rPr>
            <sz val="9"/>
            <color rgb="FF000000"/>
            <rFont val="Tahoma"/>
            <family val="2"/>
          </rPr>
          <t xml:space="preserve">
</t>
        </r>
        <r>
          <rPr>
            <sz val="9"/>
            <color rgb="FF000000"/>
            <rFont val="Tahoma"/>
            <family val="2"/>
          </rPr>
          <t xml:space="preserve">Son 20 áreas con PM a 2023 = 100% 
</t>
        </r>
        <r>
          <rPr>
            <sz val="9"/>
            <color rgb="FF000000"/>
            <rFont val="Tahoma"/>
            <family val="2"/>
          </rPr>
          <t xml:space="preserve">
</t>
        </r>
        <r>
          <rPr>
            <sz val="9"/>
            <color rgb="FF000000"/>
            <rFont val="Tahoma"/>
            <family val="2"/>
          </rPr>
          <t xml:space="preserve">a 2023 tendríamos el 100% de áreas protegidas con planes de manejo.
</t>
        </r>
        <r>
          <rPr>
            <sz val="9"/>
            <color rgb="FF000000"/>
            <rFont val="Tahoma"/>
            <family val="2"/>
          </rPr>
          <t xml:space="preserve">
</t>
        </r>
        <r>
          <rPr>
            <sz val="9"/>
            <color rgb="FF000000"/>
            <rFont val="Tahoma"/>
            <family val="2"/>
          </rPr>
          <t>3 áreas tienen planes de manejo vigente: Casica noría, Alto san miguel y Alegrías</t>
        </r>
      </text>
    </comment>
    <comment ref="M4" authorId="3" shapeId="0" xr:uid="{00000000-0006-0000-0500-000016000000}">
      <text>
        <r>
          <rPr>
            <b/>
            <sz val="9"/>
            <color rgb="FF000000"/>
            <rFont val="Tahoma"/>
            <family val="2"/>
          </rPr>
          <t>Administrador: 13 AP con PM</t>
        </r>
        <r>
          <rPr>
            <sz val="9"/>
            <color rgb="FF000000"/>
            <rFont val="Tahoma"/>
            <family val="2"/>
          </rPr>
          <t xml:space="preserve">
</t>
        </r>
        <r>
          <rPr>
            <sz val="9"/>
            <color rgb="FF000000"/>
            <rFont val="Tahoma"/>
            <family val="2"/>
          </rPr>
          <t>5 PNUD (5 actualizaciones) + 1 nuevos (Sapo ) + San Miguel, Cacica Noria + PNR CA + (Nt, Alicantes, Rio barroso San juan, Cerro plateado)</t>
        </r>
      </text>
    </comment>
    <comment ref="N4" authorId="5" shapeId="0" xr:uid="{00000000-0006-0000-0500-000017000000}">
      <text>
        <r>
          <rPr>
            <b/>
            <sz val="9"/>
            <color rgb="FF000000"/>
            <rFont val="Tahoma"/>
            <family val="2"/>
          </rPr>
          <t>HP:</t>
        </r>
        <r>
          <rPr>
            <sz val="9"/>
            <color rgb="FF000000"/>
            <rFont val="Tahoma"/>
            <family val="2"/>
          </rPr>
          <t xml:space="preserve">
</t>
        </r>
        <r>
          <rPr>
            <sz val="9"/>
            <color rgb="FF000000"/>
            <rFont val="Tahoma"/>
            <family val="2"/>
          </rPr>
          <t>Corrales + Chiqueros + Barbacoas + Ventanas</t>
        </r>
      </text>
    </comment>
    <comment ref="O4" authorId="3" shapeId="0" xr:uid="{00000000-0006-0000-0500-000018000000}">
      <text>
        <r>
          <rPr>
            <b/>
            <sz val="9"/>
            <color rgb="FF000000"/>
            <rFont val="Tahoma"/>
            <family val="2"/>
          </rPr>
          <t>Administrador:</t>
        </r>
        <r>
          <rPr>
            <sz val="9"/>
            <color rgb="FF000000"/>
            <rFont val="Tahoma"/>
            <family val="2"/>
          </rPr>
          <t xml:space="preserve">
</t>
        </r>
        <r>
          <rPr>
            <sz val="9"/>
            <color rgb="FF000000"/>
            <rFont val="Tahoma"/>
            <family val="2"/>
          </rPr>
          <t>Bosqiue seco + Quita sol</t>
        </r>
      </text>
    </comment>
    <comment ref="P4" authorId="5" shapeId="0" xr:uid="{00000000-0006-0000-0500-000019000000}">
      <text>
        <r>
          <rPr>
            <b/>
            <sz val="9"/>
            <color rgb="FF000000"/>
            <rFont val="Tahoma"/>
            <family val="2"/>
          </rPr>
          <t>HP:</t>
        </r>
        <r>
          <rPr>
            <sz val="9"/>
            <color rgb="FF000000"/>
            <rFont val="Tahoma"/>
            <family val="2"/>
          </rPr>
          <t xml:space="preserve">
</t>
        </r>
        <r>
          <rPr>
            <sz val="9"/>
            <color rgb="FF000000"/>
            <rFont val="Tahoma"/>
            <family val="2"/>
          </rPr>
          <t>Bajo Cauca - Nechi</t>
        </r>
      </text>
    </comment>
    <comment ref="Z4" authorId="4" shapeId="0" xr:uid="{00000000-0006-0000-0500-00001A000000}">
      <text>
        <r>
          <rPr>
            <b/>
            <sz val="9"/>
            <color rgb="FF000000"/>
            <rFont val="Tahoma"/>
            <family val="2"/>
          </rPr>
          <t>Usuario:</t>
        </r>
        <r>
          <rPr>
            <sz val="9"/>
            <color rgb="FF000000"/>
            <rFont val="Tahoma"/>
            <family val="2"/>
          </rPr>
          <t xml:space="preserve">
En el año 2020 se ajustan 4 planes de manejo. Y el DRMI de corrales. Incluye inversion por 600 milones de pesos  + 10.980.000 pesos para viaticos + recursos para gastos financieros 8636118,5481668+ para contratar personal 59.950.000+  recursos para practicantes  31.800.000</t>
        </r>
      </text>
    </comment>
    <comment ref="AA4" authorId="4" shapeId="0" xr:uid="{00000000-0006-0000-0500-00001B000000}">
      <text>
        <r>
          <rPr>
            <b/>
            <sz val="9"/>
            <color rgb="FF000000"/>
            <rFont val="Tahoma"/>
            <family val="2"/>
          </rPr>
          <t>Usuario:</t>
        </r>
        <r>
          <rPr>
            <sz val="9"/>
            <color rgb="FF000000"/>
            <rFont val="Tahoma"/>
            <family val="2"/>
          </rPr>
          <t xml:space="preserve">
</t>
        </r>
      </text>
    </comment>
    <comment ref="AC4" authorId="4" shapeId="0" xr:uid="{00000000-0006-0000-0500-00001C000000}">
      <text>
        <r>
          <rPr>
            <b/>
            <sz val="9"/>
            <color indexed="81"/>
            <rFont val="Tahoma"/>
            <family val="2"/>
          </rPr>
          <t>Usuario:</t>
        </r>
        <r>
          <rPr>
            <sz val="9"/>
            <color indexed="81"/>
            <rFont val="Tahoma"/>
            <family val="2"/>
          </rPr>
          <t xml:space="preserve">
En</t>
        </r>
      </text>
    </comment>
    <comment ref="AG4" authorId="4" shapeId="0" xr:uid="{00000000-0006-0000-0500-00001D000000}">
      <text>
        <r>
          <rPr>
            <b/>
            <sz val="9"/>
            <color indexed="81"/>
            <rFont val="Tahoma"/>
            <family val="2"/>
          </rPr>
          <t>Usuario:</t>
        </r>
        <r>
          <rPr>
            <sz val="9"/>
            <color indexed="81"/>
            <rFont val="Tahoma"/>
            <family val="2"/>
          </rPr>
          <t xml:space="preserve">
Adolfo + cindy</t>
        </r>
      </text>
    </comment>
    <comment ref="H5" authorId="0" shapeId="0" xr:uid="{00000000-0006-0000-0500-00001E000000}">
      <text>
        <r>
          <rPr>
            <b/>
            <sz val="9"/>
            <color indexed="81"/>
            <rFont val="Tahoma"/>
            <family val="2"/>
          </rPr>
          <t xml:space="preserve">
Nota: 
</t>
        </r>
        <r>
          <rPr>
            <sz val="9"/>
            <color indexed="81"/>
            <rFont val="Tahoma"/>
            <family val="2"/>
          </rPr>
          <t xml:space="preserve">▪ En este indicador se declarará el 40% de las ha que se identifiquen como susceptibles de proteger.
▪ Formula: Hectáreas ecosistemas protegidas desde el gobierno propio en territorio titulado y ancestrales / hectáreas identificadas de ecosistemas a proteger en territorios étnicos
</t>
        </r>
      </text>
    </comment>
    <comment ref="Z5" authorId="4" shapeId="0" xr:uid="{00000000-0006-0000-0500-00001F000000}">
      <text>
        <r>
          <rPr>
            <b/>
            <sz val="9"/>
            <color rgb="FF000000"/>
            <rFont val="Tahoma"/>
            <family val="2"/>
          </rPr>
          <t>Usuario:</t>
        </r>
        <r>
          <rPr>
            <sz val="9"/>
            <color rgb="FF000000"/>
            <rFont val="Tahoma"/>
            <family val="2"/>
          </rPr>
          <t xml:space="preserve">
</t>
        </r>
        <r>
          <rPr>
            <sz val="9"/>
            <color rgb="FF000000"/>
            <rFont val="Tahoma"/>
            <family val="2"/>
          </rPr>
          <t>250 millones de inversion  + 5.060.000 de viaticos</t>
        </r>
      </text>
    </comment>
    <comment ref="H6" authorId="0" shapeId="0" xr:uid="{00000000-0006-0000-0500-000020000000}">
      <text>
        <r>
          <rPr>
            <b/>
            <sz val="9"/>
            <color indexed="81"/>
            <rFont val="Tahoma"/>
            <family val="2"/>
          </rPr>
          <t xml:space="preserve">Nota: 
</t>
        </r>
        <r>
          <rPr>
            <sz val="9"/>
            <color indexed="81"/>
            <rFont val="Tahoma"/>
            <family val="2"/>
          </rPr>
          <t xml:space="preserve">En este indicador se realizaran acciones de manejo en el 40% de las ha declaradas en el indicador anterior.
Hectáreas manejadas de ecosistemas a proteger en territorios étnicos/ Hectáreas ecosistemas protegidos desde el gobierno propio en territorio titulado y ancestrales 
</t>
        </r>
      </text>
    </comment>
    <comment ref="Z6" authorId="4" shapeId="0" xr:uid="{00000000-0006-0000-0500-000021000000}">
      <text>
        <r>
          <rPr>
            <b/>
            <sz val="9"/>
            <color rgb="FF000000"/>
            <rFont val="Tahoma"/>
            <family val="2"/>
          </rPr>
          <t>Usuario:</t>
        </r>
        <r>
          <rPr>
            <sz val="9"/>
            <color rgb="FF000000"/>
            <rFont val="Tahoma"/>
            <family val="2"/>
          </rPr>
          <t xml:space="preserve">
</t>
        </r>
        <r>
          <rPr>
            <sz val="9"/>
            <color rgb="FF000000"/>
            <rFont val="Tahoma"/>
            <family val="2"/>
          </rPr>
          <t>Incluye 477.801.229,51 de inversion y 5 millones de viaticos</t>
        </r>
      </text>
    </comment>
    <comment ref="D7" authorId="0" shapeId="0" xr:uid="{00000000-0006-0000-0500-000022000000}">
      <text>
        <r>
          <rPr>
            <b/>
            <sz val="9"/>
            <color rgb="FF000000"/>
            <rFont val="Tahoma"/>
            <family val="2"/>
          </rPr>
          <t>Hasta 2020-03-30:</t>
        </r>
        <r>
          <rPr>
            <sz val="9"/>
            <color rgb="FF000000"/>
            <rFont val="Tahoma"/>
            <family val="2"/>
          </rPr>
          <t xml:space="preserve"> Ejecutar planes de manejo en áreas protegidas y acciones de manejo en otras estrategias de conservación
</t>
        </r>
      </text>
    </comment>
    <comment ref="L7" authorId="3" shapeId="0" xr:uid="{00000000-0006-0000-0500-000023000000}">
      <text>
        <r>
          <rPr>
            <b/>
            <sz val="9"/>
            <color rgb="FF000000"/>
            <rFont val="Tahoma"/>
            <family val="2"/>
          </rPr>
          <t>Administrador:</t>
        </r>
        <r>
          <rPr>
            <sz val="9"/>
            <color rgb="FF000000"/>
            <rFont val="Tahoma"/>
            <family val="2"/>
          </rPr>
          <t xml:space="preserve">
</t>
        </r>
        <r>
          <rPr>
            <sz val="9"/>
            <color rgb="FF000000"/>
            <rFont val="Tahoma"/>
            <family val="2"/>
          </rPr>
          <t>19/20</t>
        </r>
      </text>
    </comment>
    <comment ref="M7" authorId="3" shapeId="0" xr:uid="{00000000-0006-0000-0500-000024000000}">
      <text>
        <r>
          <rPr>
            <b/>
            <sz val="9"/>
            <color rgb="FF000000"/>
            <rFont val="Tahoma"/>
            <family val="2"/>
          </rPr>
          <t>Administrador:</t>
        </r>
        <r>
          <rPr>
            <sz val="9"/>
            <color rgb="FF000000"/>
            <rFont val="Tahoma"/>
            <family val="2"/>
          </rPr>
          <t xml:space="preserve">
</t>
        </r>
        <r>
          <rPr>
            <sz val="9"/>
            <color rgb="FF000000"/>
            <rFont val="Tahoma"/>
            <family val="2"/>
          </rPr>
          <t>12/17</t>
        </r>
      </text>
    </comment>
    <comment ref="N7" authorId="1" shapeId="0" xr:uid="{00000000-0006-0000-0500-000025000000}">
      <text>
        <r>
          <rPr>
            <sz val="10"/>
            <color rgb="FF000000"/>
            <rFont val="Tahoma"/>
            <family val="2"/>
          </rPr>
          <t>15/18</t>
        </r>
      </text>
    </comment>
    <comment ref="O7" authorId="1" shapeId="0" xr:uid="{00000000-0006-0000-0500-000026000000}">
      <text>
        <r>
          <rPr>
            <sz val="10"/>
            <color rgb="FF000000"/>
            <rFont val="Tahoma"/>
            <family val="2"/>
          </rPr>
          <t>17/19</t>
        </r>
      </text>
    </comment>
    <comment ref="P7" authorId="1" shapeId="0" xr:uid="{00000000-0006-0000-0500-000027000000}">
      <text>
        <r>
          <rPr>
            <sz val="10"/>
            <color rgb="FF000000"/>
            <rFont val="Tahoma"/>
            <family val="2"/>
          </rPr>
          <t>19/20</t>
        </r>
      </text>
    </comment>
    <comment ref="L8" authorId="3" shapeId="0" xr:uid="{00000000-0006-0000-0500-000028000000}">
      <text>
        <r>
          <rPr>
            <b/>
            <sz val="9"/>
            <color rgb="FF000000"/>
            <rFont val="Tahoma"/>
            <family val="2"/>
          </rPr>
          <t xml:space="preserve">Se propone como referente lo definido en los 3 planes actuales (Alegrías, San Migue y Cacica Noría) por ser los más recientes.
</t>
        </r>
        <r>
          <rPr>
            <b/>
            <sz val="9"/>
            <color rgb="FF000000"/>
            <rFont val="Tahoma"/>
            <family val="2"/>
          </rPr>
          <t xml:space="preserve">
</t>
        </r>
        <r>
          <rPr>
            <b/>
            <sz val="9"/>
            <color rgb="FF000000"/>
            <rFont val="Tahoma"/>
            <family val="2"/>
          </rPr>
          <t>Lo demás se ajustarán con estos parámetros (9 ajustes en este año, y dos que se van a formular).</t>
        </r>
      </text>
    </comment>
    <comment ref="Z8" authorId="4" shapeId="0" xr:uid="{00000000-0006-0000-0500-000029000000}">
      <text>
        <r>
          <rPr>
            <b/>
            <sz val="9"/>
            <color rgb="FF000000"/>
            <rFont val="Tahoma"/>
            <family val="2"/>
          </rPr>
          <t>Usuario:</t>
        </r>
        <r>
          <rPr>
            <sz val="9"/>
            <color rgb="FF000000"/>
            <rFont val="Tahoma"/>
            <family val="2"/>
          </rPr>
          <t xml:space="preserve">
Inversiones por 780 millones de pesos, dentro de los cuales se incluye 145.000.000 de comunicciones + viaticos por 12.560.000 + gastos financieros del proyecto 11.684.067</t>
        </r>
      </text>
    </comment>
    <comment ref="H9" authorId="0" shapeId="0" xr:uid="{00000000-0006-0000-0500-00002A000000}">
      <text>
        <r>
          <rPr>
            <b/>
            <sz val="9"/>
            <color rgb="FF000000"/>
            <rFont val="Tahoma"/>
            <family val="2"/>
          </rPr>
          <t>Indicadores de impacto, eficiencia y efectividad que permitan cuantificar las actividades desarrolladas en los humedales priorizados, al interior de los complejos de humedales de la jurisdicción</t>
        </r>
        <r>
          <rPr>
            <sz val="9"/>
            <color rgb="FF000000"/>
            <rFont val="Tahoma"/>
            <family val="2"/>
          </rPr>
          <t xml:space="preserve">
</t>
        </r>
      </text>
    </comment>
    <comment ref="Z9" authorId="4" shapeId="0" xr:uid="{00000000-0006-0000-0500-00002B000000}">
      <text>
        <r>
          <rPr>
            <b/>
            <sz val="9"/>
            <color rgb="FF000000"/>
            <rFont val="Tahoma"/>
            <family val="2"/>
          </rPr>
          <t>Usuario:</t>
        </r>
        <r>
          <rPr>
            <sz val="9"/>
            <color rgb="FF000000"/>
            <rFont val="Tahoma"/>
            <family val="2"/>
          </rPr>
          <t xml:space="preserve">
</t>
        </r>
        <r>
          <rPr>
            <sz val="9"/>
            <color rgb="FF000000"/>
            <rFont val="Tahoma"/>
            <family val="2"/>
          </rPr>
          <t>Inversion por 440924682,89 + 8 millones de viaticos</t>
        </r>
      </text>
    </comment>
    <comment ref="F10" authorId="0" shapeId="0" xr:uid="{00000000-0006-0000-0500-00002C000000}">
      <text>
        <r>
          <rPr>
            <b/>
            <sz val="9"/>
            <color indexed="81"/>
            <rFont val="Tahoma"/>
            <family val="2"/>
          </rPr>
          <t>Restauración, sistemas agroforestales y manejo forestal sostenible</t>
        </r>
      </text>
    </comment>
    <comment ref="H10" authorId="2" shapeId="0" xr:uid="{00000000-0006-0000-0500-00002D000000}">
      <text>
        <r>
          <rPr>
            <b/>
            <sz val="9"/>
            <color rgb="FF000000"/>
            <rFont val="Tahoma"/>
            <family val="2"/>
          </rPr>
          <t>Notas:</t>
        </r>
        <r>
          <rPr>
            <sz val="9"/>
            <color rgb="FF000000"/>
            <rFont val="Tahoma"/>
            <family val="2"/>
          </rPr>
          <t xml:space="preserve">
PND 2018-2022:
* Áreas bajo sistemas sostenibles de conservación (restauración*, sistemas agroforestales, manejo forestal sostenible)
* % de ecosistemas o unidades de Análisis ecosistémicas no representados o subrepresentados incluidos en el SINAP en el cuatrienio
Estrategias complementarias de conservación, por ejemplo predios de la sociedad (No hay sugerencias) que no caen en el polígono de áreas protegidas.</t>
        </r>
      </text>
    </comment>
    <comment ref="L10" authorId="3" shapeId="0" xr:uid="{00000000-0006-0000-0500-00002E000000}">
      <text>
        <r>
          <rPr>
            <sz val="9"/>
            <color rgb="FF000000"/>
            <rFont val="Tahoma"/>
            <family val="2"/>
          </rPr>
          <t xml:space="preserve">Protección en territorios étnicos
</t>
        </r>
        <r>
          <rPr>
            <sz val="9"/>
            <color rgb="FF000000"/>
            <rFont val="Tahoma"/>
            <family val="2"/>
          </rPr>
          <t xml:space="preserve">SILAP
</t>
        </r>
        <r>
          <rPr>
            <sz val="9"/>
            <color rgb="FF000000"/>
            <rFont val="Tahoma"/>
            <family val="2"/>
          </rPr>
          <t xml:space="preserve">Conectividad
</t>
        </r>
        <r>
          <rPr>
            <sz val="9"/>
            <color rgb="FF000000"/>
            <rFont val="Tahoma"/>
            <family val="2"/>
          </rPr>
          <t xml:space="preserve">Reserva de la sociedad Civil
</t>
        </r>
        <r>
          <rPr>
            <sz val="9"/>
            <color rgb="FF000000"/>
            <rFont val="Tahoma"/>
            <family val="2"/>
          </rPr>
          <t>BIO +</t>
        </r>
      </text>
    </comment>
    <comment ref="Q10" authorId="0" shapeId="0" xr:uid="{00000000-0006-0000-0500-00002F00000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Z10" authorId="4" shapeId="0" xr:uid="{00000000-0006-0000-0500-000030000000}">
      <text>
        <r>
          <rPr>
            <b/>
            <sz val="9"/>
            <color rgb="FF000000"/>
            <rFont val="Tahoma"/>
            <family val="2"/>
          </rPr>
          <t>Usuario:</t>
        </r>
        <r>
          <rPr>
            <sz val="9"/>
            <color rgb="FF000000"/>
            <rFont val="Tahoma"/>
            <family val="2"/>
          </rPr>
          <t xml:space="preserve">
</t>
        </r>
        <r>
          <rPr>
            <sz val="9"/>
            <color rgb="FF000000"/>
            <rFont val="Tahoma"/>
            <family val="2"/>
          </rPr>
          <t>Inversion por valor de 368646327+ viaticos por valor de 5 millones</t>
        </r>
      </text>
    </comment>
    <comment ref="AX10" authorId="0" shapeId="0" xr:uid="{00000000-0006-0000-0500-00003100000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F11" authorId="0" shapeId="0" xr:uid="{00000000-0006-0000-0500-000032000000}">
      <text>
        <r>
          <rPr>
            <b/>
            <sz val="9"/>
            <color indexed="81"/>
            <rFont val="Tahoma"/>
            <family val="2"/>
          </rPr>
          <t>PSA</t>
        </r>
        <r>
          <rPr>
            <sz val="9"/>
            <color indexed="81"/>
            <rFont val="Tahoma"/>
            <family val="2"/>
          </rPr>
          <t xml:space="preserve">
</t>
        </r>
      </text>
    </comment>
    <comment ref="H11" authorId="0" shapeId="0" xr:uid="{00000000-0006-0000-0500-000033000000}">
      <text>
        <r>
          <rPr>
            <b/>
            <sz val="9"/>
            <color rgb="FF000000"/>
            <rFont val="Tahoma"/>
            <family val="2"/>
          </rPr>
          <t xml:space="preserve">(PSA)
Nota:
PND 2018-2022:
</t>
        </r>
        <r>
          <rPr>
            <sz val="9"/>
            <color rgb="FF000000"/>
            <rFont val="Tahoma"/>
            <family val="2"/>
          </rPr>
          <t>Áreas bajo esquemas de Pagos por Servicios Ambientales (PSA) e incentivos a la conservación</t>
        </r>
        <r>
          <rPr>
            <b/>
            <sz val="9"/>
            <color rgb="FF000000"/>
            <rFont val="Tahoma"/>
            <family val="2"/>
          </rPr>
          <t xml:space="preserve">
De periodos anteriores y nuevas área</t>
        </r>
      </text>
    </comment>
    <comment ref="AG11" authorId="6" shapeId="0" xr:uid="{00000000-0006-0000-0500-000034000000}">
      <text>
        <r>
          <rPr>
            <b/>
            <sz val="14"/>
            <color rgb="FF000000"/>
            <rFont val="Tahoma"/>
            <family val="2"/>
          </rPr>
          <t>Jhoanna Paola Restrepo Cojo:</t>
        </r>
        <r>
          <rPr>
            <sz val="14"/>
            <color rgb="FF000000"/>
            <rFont val="Tahoma"/>
            <family val="2"/>
          </rPr>
          <t xml:space="preserve">
</t>
        </r>
        <r>
          <rPr>
            <sz val="14"/>
            <color rgb="FF000000"/>
            <rFont val="Tahoma"/>
            <family val="2"/>
          </rPr>
          <t xml:space="preserve">1 Profesional universitario Grado 9 ANDRES BETAN
</t>
        </r>
        <r>
          <rPr>
            <sz val="14"/>
            <color rgb="FF000000"/>
            <rFont val="Tahoma"/>
            <family val="2"/>
          </rPr>
          <t>1 Profesional Universitario Grado 11 NALLYVE</t>
        </r>
      </text>
    </comment>
    <comment ref="F12" authorId="1" shapeId="0" xr:uid="{00000000-0006-0000-0500-000035000000}">
      <text>
        <r>
          <rPr>
            <sz val="10"/>
            <color rgb="FF000000"/>
            <rFont val="Tahoma"/>
            <family val="2"/>
          </rPr>
          <t>(otras estrategias de conservación)
En la fila 10 se adopta, y aquí se ejecutan las acciones de conservación</t>
        </r>
      </text>
    </comment>
    <comment ref="H12" authorId="0" shapeId="0" xr:uid="{00000000-0006-0000-0500-000036000000}">
      <text>
        <r>
          <rPr>
            <b/>
            <sz val="9"/>
            <color rgb="FF000000"/>
            <rFont val="Tahoma"/>
            <family val="2"/>
          </rPr>
          <t>De periodos anteriores y nuevas áreas</t>
        </r>
      </text>
    </comment>
    <comment ref="L12" authorId="3" shapeId="0" xr:uid="{00000000-0006-0000-0500-000037000000}">
      <text>
        <r>
          <rPr>
            <b/>
            <sz val="9"/>
            <color rgb="FF000000"/>
            <rFont val="Tahoma"/>
            <family val="2"/>
          </rPr>
          <t>Línea base:</t>
        </r>
        <r>
          <rPr>
            <sz val="9"/>
            <color rgb="FF000000"/>
            <rFont val="Tahoma"/>
            <family val="2"/>
          </rPr>
          <t xml:space="preserve"> En el cuatrienio anterior se restauraron 5.363,9 ha, equivalente al 72% de las áreas a restaurar.
</t>
        </r>
        <r>
          <rPr>
            <sz val="9"/>
            <color rgb="FF000000"/>
            <rFont val="Tahoma"/>
            <family val="2"/>
          </rPr>
          <t xml:space="preserve">
</t>
        </r>
        <r>
          <rPr>
            <sz val="9"/>
            <color rgb="FF000000"/>
            <rFont val="Tahoma"/>
            <family val="2"/>
          </rPr>
          <t xml:space="preserve">Definir cuanto se debe rehabilitar y restaurar
</t>
        </r>
        <r>
          <rPr>
            <sz val="9"/>
            <color rgb="FF000000"/>
            <rFont val="Tahoma"/>
            <family val="2"/>
          </rPr>
          <t xml:space="preserve">
</t>
        </r>
        <r>
          <rPr>
            <sz val="9"/>
            <color rgb="FF000000"/>
            <rFont val="Tahoma"/>
            <family val="2"/>
          </rPr>
          <t xml:space="preserve">áreas de restaurar o rehabilitar en planes de manejo (sumatoria)
</t>
        </r>
        <r>
          <rPr>
            <sz val="9"/>
            <color rgb="FF000000"/>
            <rFont val="Tahoma"/>
            <family val="2"/>
          </rPr>
          <t xml:space="preserve">
</t>
        </r>
        <r>
          <rPr>
            <sz val="9"/>
            <color rgb="FF000000"/>
            <rFont val="Tahoma"/>
            <family val="2"/>
          </rPr>
          <t xml:space="preserve">
</t>
        </r>
        <r>
          <rPr>
            <b/>
            <sz val="10"/>
            <color rgb="FF000000"/>
            <rFont val="Tahoma"/>
            <family val="2"/>
          </rPr>
          <t xml:space="preserve">Hasta 22_03_2020
</t>
        </r>
        <r>
          <rPr>
            <sz val="9"/>
            <color rgb="FF000000"/>
            <rFont val="Tahoma"/>
            <family val="2"/>
          </rPr>
          <t xml:space="preserve">
</t>
        </r>
        <r>
          <rPr>
            <sz val="9"/>
            <color rgb="FF000000"/>
            <rFont val="Tahoma"/>
            <family val="2"/>
          </rPr>
          <t>60%</t>
        </r>
      </text>
    </comment>
    <comment ref="M12" authorId="7" shapeId="0" xr:uid="{00000000-0006-0000-0500-000038000000}">
      <text>
        <r>
          <rPr>
            <b/>
            <sz val="10"/>
            <color rgb="FF000000"/>
            <rFont val="Calibri"/>
            <family val="2"/>
          </rPr>
          <t>Hasta 22_03_2020</t>
        </r>
        <r>
          <rPr>
            <sz val="10"/>
            <color rgb="FF000000"/>
            <rFont val="Calibri"/>
            <family val="2"/>
          </rPr>
          <t xml:space="preserve">
</t>
        </r>
        <r>
          <rPr>
            <sz val="10"/>
            <color rgb="FF000000"/>
            <rFont val="Tahoma"/>
            <family val="2"/>
          </rPr>
          <t xml:space="preserve">
</t>
        </r>
        <r>
          <rPr>
            <sz val="10"/>
            <color rgb="FF000000"/>
            <rFont val="Tahoma"/>
            <family val="2"/>
          </rPr>
          <t>15%</t>
        </r>
      </text>
    </comment>
    <comment ref="N12" authorId="7" shapeId="0" xr:uid="{00000000-0006-0000-0500-000039000000}">
      <text>
        <r>
          <rPr>
            <b/>
            <sz val="10"/>
            <color rgb="FF000000"/>
            <rFont val="Calibri"/>
            <family val="2"/>
          </rPr>
          <t>Hasta 22_03_2020</t>
        </r>
        <r>
          <rPr>
            <sz val="10"/>
            <color rgb="FF000000"/>
            <rFont val="Calibri"/>
            <family val="2"/>
          </rPr>
          <t xml:space="preserve">
</t>
        </r>
        <r>
          <rPr>
            <sz val="10"/>
            <color rgb="FF000000"/>
            <rFont val="Tahoma"/>
            <family val="2"/>
          </rPr>
          <t xml:space="preserve">
</t>
        </r>
        <r>
          <rPr>
            <sz val="10"/>
            <color rgb="FF000000"/>
            <rFont val="Tahoma"/>
            <family val="2"/>
          </rPr>
          <t>30%</t>
        </r>
      </text>
    </comment>
    <comment ref="O12" authorId="7" shapeId="0" xr:uid="{00000000-0006-0000-0500-00003A000000}">
      <text>
        <r>
          <rPr>
            <b/>
            <sz val="10"/>
            <color rgb="FF000000"/>
            <rFont val="Calibri"/>
            <family val="2"/>
          </rPr>
          <t>Hasta 22_03_2020</t>
        </r>
        <r>
          <rPr>
            <sz val="10"/>
            <color rgb="FF000000"/>
            <rFont val="Calibri"/>
            <family val="2"/>
          </rPr>
          <t xml:space="preserve">
</t>
        </r>
        <r>
          <rPr>
            <sz val="10"/>
            <color rgb="FF000000"/>
            <rFont val="Tahoma"/>
            <family val="2"/>
          </rPr>
          <t xml:space="preserve">
</t>
        </r>
        <r>
          <rPr>
            <sz val="10"/>
            <color rgb="FF000000"/>
            <rFont val="Tahoma"/>
            <family val="2"/>
          </rPr>
          <t>45%</t>
        </r>
      </text>
    </comment>
    <comment ref="P12" authorId="7" shapeId="0" xr:uid="{00000000-0006-0000-0500-00003B000000}">
      <text>
        <r>
          <rPr>
            <b/>
            <sz val="10"/>
            <color rgb="FF000000"/>
            <rFont val="Calibri"/>
            <family val="2"/>
          </rPr>
          <t>Hasta 22_03_2020</t>
        </r>
        <r>
          <rPr>
            <sz val="10"/>
            <color rgb="FF000000"/>
            <rFont val="Calibri"/>
            <family val="2"/>
          </rPr>
          <t xml:space="preserve">
</t>
        </r>
        <r>
          <rPr>
            <sz val="10"/>
            <color rgb="FF000000"/>
            <rFont val="Tahoma"/>
            <family val="2"/>
          </rPr>
          <t xml:space="preserve">
</t>
        </r>
        <r>
          <rPr>
            <sz val="10"/>
            <color rgb="FF000000"/>
            <rFont val="Tahoma"/>
            <family val="2"/>
          </rPr>
          <t>60%</t>
        </r>
      </text>
    </comment>
    <comment ref="T12" authorId="0" shapeId="0" xr:uid="{00000000-0006-0000-0500-00003C000000}">
      <text>
        <r>
          <rPr>
            <b/>
            <sz val="9"/>
            <color indexed="81"/>
            <rFont val="Tahoma"/>
            <family val="2"/>
          </rPr>
          <t>Apoyo: Subdirección de Gestión Ambiental</t>
        </r>
        <r>
          <rPr>
            <sz val="9"/>
            <color indexed="81"/>
            <rFont val="Tahoma"/>
            <family val="2"/>
          </rPr>
          <t xml:space="preserve">
</t>
        </r>
      </text>
    </comment>
    <comment ref="Z12" authorId="4" shapeId="0" xr:uid="{00000000-0006-0000-0500-00003D000000}">
      <text>
        <r>
          <rPr>
            <b/>
            <sz val="9"/>
            <color rgb="FF000000"/>
            <rFont val="Tahoma"/>
            <family val="2"/>
          </rPr>
          <t>Usuario:</t>
        </r>
        <r>
          <rPr>
            <sz val="9"/>
            <color rgb="FF000000"/>
            <rFont val="Tahoma"/>
            <family val="2"/>
          </rPr>
          <t xml:space="preserve">
</t>
        </r>
        <r>
          <rPr>
            <sz val="9"/>
            <color rgb="FF000000"/>
            <rFont val="Tahoma"/>
            <family val="2"/>
          </rPr>
          <t>Inversion 100 millones de pesos + 4 millones de pesos de viaticos</t>
        </r>
      </text>
    </comment>
    <comment ref="T13" authorId="0" shapeId="0" xr:uid="{00000000-0006-0000-0500-00003E000000}">
      <text>
        <r>
          <rPr>
            <b/>
            <sz val="9"/>
            <color rgb="FF000000"/>
            <rFont val="Tahoma"/>
            <family val="2"/>
          </rPr>
          <t>Apoyo:</t>
        </r>
        <r>
          <rPr>
            <sz val="9"/>
            <color rgb="FF000000"/>
            <rFont val="Tahoma"/>
            <family val="2"/>
          </rPr>
          <t xml:space="preserve"> Subdirección de Ecosistemas
</t>
        </r>
      </text>
    </comment>
    <comment ref="H14" authorId="0" shapeId="0" xr:uid="{00000000-0006-0000-0500-00003F000000}">
      <text>
        <r>
          <rPr>
            <b/>
            <sz val="9"/>
            <color rgb="FF000000"/>
            <rFont val="Tahoma"/>
            <family val="2"/>
          </rPr>
          <t xml:space="preserve">Notas.
PND 2018-2022:
</t>
        </r>
        <r>
          <rPr>
            <sz val="9"/>
            <color rgb="FF000000"/>
            <rFont val="Tahoma"/>
            <family val="2"/>
          </rPr>
          <t>* Reducir la tendencia de crecimiento de la deforestación proyectada por el IDEAM. Línea base, deforestación 2018: 9860 ha</t>
        </r>
        <r>
          <rPr>
            <b/>
            <sz val="9"/>
            <color rgb="FF000000"/>
            <rFont val="Tahoma"/>
            <family val="2"/>
          </rPr>
          <t xml:space="preserve">
Indicador PGAR no considerado:</t>
        </r>
        <r>
          <rPr>
            <sz val="9"/>
            <color rgb="FF000000"/>
            <rFont val="Tahoma"/>
            <family val="2"/>
          </rPr>
          <t xml:space="preserve"> Hectáreas deforestadas  en áreas de ecosistemas naturales corporativos (ha)
</t>
        </r>
        <r>
          <rPr>
            <b/>
            <sz val="9"/>
            <color rgb="FF000000"/>
            <rFont val="Tahoma"/>
            <family val="2"/>
          </rPr>
          <t>Razón:</t>
        </r>
        <r>
          <rPr>
            <sz val="9"/>
            <color rgb="FF000000"/>
            <rFont val="Tahoma"/>
            <family val="2"/>
          </rPr>
          <t xml:space="preserve"> La denominación del indicador debe ser ha recuperadas con el fin de guardar lógica con la meta.
Antes 20-04-17
Número de ha de deforestación evitadas en ecosistemas naturales.</t>
        </r>
      </text>
    </comment>
    <comment ref="Q14" authorId="0" shapeId="0" xr:uid="{00000000-0006-0000-0500-000040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Z14" authorId="4" shapeId="0" xr:uid="{00000000-0006-0000-0500-000041000000}">
      <text>
        <r>
          <rPr>
            <b/>
            <sz val="9"/>
            <color rgb="FF000000"/>
            <rFont val="Tahoma"/>
            <family val="2"/>
          </rPr>
          <t>Usuario:</t>
        </r>
        <r>
          <rPr>
            <sz val="9"/>
            <color rgb="FF000000"/>
            <rFont val="Tahoma"/>
            <family val="2"/>
          </rPr>
          <t xml:space="preserve">
</t>
        </r>
        <r>
          <rPr>
            <sz val="9"/>
            <color rgb="FF000000"/>
            <rFont val="Tahoma"/>
            <family val="2"/>
          </rPr>
          <t>Inversion por valor de 50 millones + viaticos por un millon ochocientos mil pesos</t>
        </r>
      </text>
    </comment>
    <comment ref="AX14" authorId="0" shapeId="0" xr:uid="{00000000-0006-0000-0500-000042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H15" authorId="0" shapeId="0" xr:uid="{00000000-0006-0000-0500-000043000000}">
      <text>
        <r>
          <rPr>
            <b/>
            <sz val="9"/>
            <color rgb="FF000000"/>
            <rFont val="Tahoma"/>
            <family val="2"/>
          </rPr>
          <t xml:space="preserve">Antes 2020-04-17: </t>
        </r>
        <r>
          <rPr>
            <sz val="9"/>
            <color rgb="FF000000"/>
            <rFont val="Tahoma"/>
            <family val="2"/>
          </rPr>
          <t xml:space="preserve">% áreas protegidas con estrategia de apropiación socio-cultural
</t>
        </r>
      </text>
    </comment>
    <comment ref="K15" authorId="1" shapeId="0" xr:uid="{00000000-0006-0000-0500-000044000000}">
      <text>
        <r>
          <rPr>
            <b/>
            <sz val="10"/>
            <color rgb="FF000000"/>
            <rFont val="Tahoma"/>
            <family val="2"/>
          </rPr>
          <t>Se trata de un nuevo modelo por lo tanto no se tiene línea base.</t>
        </r>
        <r>
          <rPr>
            <sz val="10"/>
            <color rgb="FF000000"/>
            <rFont val="Tahoma"/>
            <family val="2"/>
          </rPr>
          <t xml:space="preserve">
</t>
        </r>
      </text>
    </comment>
    <comment ref="Q15" authorId="0" shapeId="0" xr:uid="{00000000-0006-0000-0500-000045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AX15" authorId="0" shapeId="0" xr:uid="{00000000-0006-0000-0500-000046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H16" authorId="0" shapeId="0" xr:uid="{00000000-0006-0000-0500-000047000000}">
      <text>
        <r>
          <rPr>
            <b/>
            <sz val="9"/>
            <color rgb="FF000000"/>
            <rFont val="Tahoma"/>
            <family val="2"/>
          </rPr>
          <t>Antes 2020-04-17:</t>
        </r>
        <r>
          <rPr>
            <sz val="9"/>
            <color rgb="FF000000"/>
            <rFont val="Tahoma"/>
            <family val="2"/>
          </rPr>
          <t xml:space="preserve"> % áreas protegidas con estrategia de apropiación socio-cultural</t>
        </r>
      </text>
    </comment>
    <comment ref="Q16" authorId="0" shapeId="0" xr:uid="{00000000-0006-0000-0500-000048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AX16" authorId="0" shapeId="0" xr:uid="{00000000-0006-0000-0500-000049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B17" authorId="3" shapeId="0" xr:uid="{00000000-0006-0000-0500-00004A000000}">
      <text>
        <r>
          <rPr>
            <b/>
            <sz val="9"/>
            <color indexed="81"/>
            <rFont val="Tahoma"/>
            <family val="2"/>
          </rPr>
          <t>Administrador:</t>
        </r>
        <r>
          <rPr>
            <sz val="9"/>
            <color indexed="81"/>
            <rFont val="Tahoma"/>
            <family val="2"/>
          </rPr>
          <t xml:space="preserve">
Antes (13_02_2020):
Proyecto 2. Mejorar conectividad entre áreas que proveen bienes y servicios ecosistémicos
</t>
        </r>
      </text>
    </comment>
    <comment ref="D17" authorId="0" shapeId="0" xr:uid="{00000000-0006-0000-0500-00004B000000}">
      <text>
        <r>
          <rPr>
            <sz val="9"/>
            <color rgb="FF000000"/>
            <rFont val="Tahoma"/>
            <family val="2"/>
          </rPr>
          <t xml:space="preserve">Incluye: 
</t>
        </r>
        <r>
          <rPr>
            <sz val="9"/>
            <color rgb="FF000000"/>
            <rFont val="Tahoma"/>
            <family val="2"/>
          </rPr>
          <t xml:space="preserve">* Restaurar y recuperar las áreas que generen conectividad biológica entre áreas estratégicas
</t>
        </r>
        <r>
          <rPr>
            <sz val="9"/>
            <color rgb="FF000000"/>
            <rFont val="Tahoma"/>
            <family val="2"/>
          </rPr>
          <t xml:space="preserve">* Definir línea base de elementos naturales de espacios públicos verdes en los municipios de la jurisdicción
</t>
        </r>
        <r>
          <rPr>
            <sz val="9"/>
            <color rgb="FF000000"/>
            <rFont val="Tahoma"/>
            <family val="2"/>
          </rPr>
          <t xml:space="preserve">* Líneas base de elementos naturales de espacios públicos verdes en los municipios de la jurisdicción
</t>
        </r>
        <r>
          <rPr>
            <sz val="9"/>
            <color rgb="FF000000"/>
            <rFont val="Tahoma"/>
            <family val="2"/>
          </rPr>
          <t xml:space="preserve">* Incorporar en los POT los elementos naturales del espacio público a incrementar
</t>
        </r>
        <r>
          <rPr>
            <sz val="9"/>
            <color rgb="FF000000"/>
            <rFont val="Tahoma"/>
            <family val="2"/>
          </rPr>
          <t xml:space="preserve">* Construir corredores ecológicos en las áreas urbanas de conformidad con los POT (Incluye: silvicultura urbana, terrazas verdes, fachadas verdes, solares, retiros de fuentes hídricas, áreas protegidas urbanas, entre otras)
</t>
        </r>
        <r>
          <rPr>
            <sz val="9"/>
            <color rgb="FF000000"/>
            <rFont val="Tahoma"/>
            <family val="2"/>
          </rPr>
          <t>* Definir línea base de suelos degradados en recuperación o rehabilitación</t>
        </r>
      </text>
    </comment>
    <comment ref="F17" authorId="0" shapeId="0" xr:uid="{00000000-0006-0000-0500-00004C000000}">
      <text>
        <r>
          <rPr>
            <sz val="9"/>
            <color rgb="FF000000"/>
            <rFont val="Tahoma"/>
            <family val="2"/>
          </rPr>
          <t xml:space="preserve">Incluye: 
</t>
        </r>
        <r>
          <rPr>
            <sz val="9"/>
            <color rgb="FF000000"/>
            <rFont val="Tahoma"/>
            <family val="2"/>
          </rPr>
          <t xml:space="preserve">* Restaurar y recuperar las áreas que generen conectividad biológica entre áreas estratégicas
</t>
        </r>
        <r>
          <rPr>
            <sz val="9"/>
            <color rgb="FF000000"/>
            <rFont val="Tahoma"/>
            <family val="2"/>
          </rPr>
          <t xml:space="preserve">* Definir línea base de elementos naturales de espacios públicos verdes en los municipios de la jurisdicción
</t>
        </r>
        <r>
          <rPr>
            <sz val="9"/>
            <color rgb="FF000000"/>
            <rFont val="Tahoma"/>
            <family val="2"/>
          </rPr>
          <t xml:space="preserve">* Líneas base de elementos naturales de espacios públicos verdes en los municipios de la jurisdicción
</t>
        </r>
        <r>
          <rPr>
            <sz val="9"/>
            <color rgb="FF000000"/>
            <rFont val="Tahoma"/>
            <family val="2"/>
          </rPr>
          <t xml:space="preserve">* Incorporar en los POT los elementos naturales del espacio público a incrementar
</t>
        </r>
        <r>
          <rPr>
            <sz val="9"/>
            <color rgb="FF000000"/>
            <rFont val="Tahoma"/>
            <family val="2"/>
          </rPr>
          <t xml:space="preserve">* Construir corredores ecológicos en las áreas urbanas de conformidad con los POT (Incluye: silvicultura urbana, terrazas verdes, fachadas verdes, solares, retiros de fuentes hídricas, áreas protegidas urbanas, entre otras)
</t>
        </r>
        <r>
          <rPr>
            <sz val="9"/>
            <color rgb="FF000000"/>
            <rFont val="Tahoma"/>
            <family val="2"/>
          </rPr>
          <t>* Definir línea base de suelos degradados en recuperación o rehabilitación</t>
        </r>
      </text>
    </comment>
    <comment ref="K17" authorId="1" shapeId="0" xr:uid="{00000000-0006-0000-0500-00004D000000}">
      <text>
        <r>
          <rPr>
            <b/>
            <sz val="10"/>
            <color rgb="FF000000"/>
            <rFont val="Tahoma"/>
            <family val="2"/>
          </rPr>
          <t>Se trata de un nuevo modelo por lo tanto no se tiene línea base.</t>
        </r>
        <r>
          <rPr>
            <sz val="10"/>
            <color rgb="FF000000"/>
            <rFont val="Tahoma"/>
            <family val="2"/>
          </rPr>
          <t xml:space="preserve">
</t>
        </r>
      </text>
    </comment>
    <comment ref="M17" authorId="3" shapeId="0" xr:uid="{00000000-0006-0000-0500-00004E000000}">
      <text>
        <r>
          <rPr>
            <b/>
            <sz val="9"/>
            <color rgb="FF000000"/>
            <rFont val="Tahoma"/>
            <family val="2"/>
          </rPr>
          <t>Se espera para el primer año tener formulado y aprobado el Modelo.</t>
        </r>
        <r>
          <rPr>
            <sz val="9"/>
            <color rgb="FF000000"/>
            <rFont val="Tahoma"/>
            <family val="2"/>
          </rPr>
          <t xml:space="preserve">
</t>
        </r>
      </text>
    </comment>
    <comment ref="AG17" authorId="4" shapeId="0" xr:uid="{00000000-0006-0000-0500-00004F000000}">
      <text>
        <r>
          <rPr>
            <b/>
            <sz val="9"/>
            <color rgb="FF000000"/>
            <rFont val="Tahoma"/>
            <family val="2"/>
          </rPr>
          <t>Usuario:</t>
        </r>
        <r>
          <rPr>
            <sz val="9"/>
            <color rgb="FF000000"/>
            <rFont val="Tahoma"/>
            <family val="2"/>
          </rPr>
          <t xml:space="preserve">
</t>
        </r>
        <r>
          <rPr>
            <sz val="9"/>
            <color rgb="FF000000"/>
            <rFont val="Tahoma"/>
            <family val="2"/>
          </rPr>
          <t>karen</t>
        </r>
      </text>
    </comment>
    <comment ref="D18" authorId="3" shapeId="0" xr:uid="{00000000-0006-0000-0500-000050000000}">
      <text>
        <r>
          <rPr>
            <b/>
            <sz val="9"/>
            <color rgb="FF000000"/>
            <rFont val="Tahoma"/>
            <family val="2"/>
          </rPr>
          <t>Restauración, adquisición de predios, pago de incentivos, producción sostenible, Desarrollar ejercicios de gobernanza.</t>
        </r>
      </text>
    </comment>
    <comment ref="H18" authorId="0" shapeId="0" xr:uid="{00000000-0006-0000-0500-000051000000}">
      <text>
        <r>
          <rPr>
            <b/>
            <sz val="9"/>
            <color indexed="81"/>
            <rFont val="Tahoma"/>
            <family val="2"/>
          </rPr>
          <t xml:space="preserve">Nota. 
PND 2018-2022: </t>
        </r>
        <r>
          <rPr>
            <sz val="9"/>
            <color indexed="81"/>
            <rFont val="Tahoma"/>
            <family val="2"/>
          </rPr>
          <t>Áreas afectadas por el desarrollo de actividades ilegales en proceso de restauración.</t>
        </r>
      </text>
    </comment>
    <comment ref="M18" authorId="8" shapeId="0" xr:uid="{00000000-0006-0000-0500-000052000000}">
      <text>
        <r>
          <rPr>
            <b/>
            <sz val="9"/>
            <color rgb="FF000000"/>
            <rFont val="Tahoma"/>
            <family val="2"/>
          </rPr>
          <t>Ana Maria Castano Rivas:</t>
        </r>
        <r>
          <rPr>
            <sz val="9"/>
            <color rgb="FF000000"/>
            <rFont val="Tahoma"/>
            <family val="2"/>
          </rPr>
          <t xml:space="preserve">
la meta del pgar es 8000 anuales, pero al ajustar presupuestalmente, podemos restaurar solo 40. Las hectareas restantes de restauracion del PGAR  se logran, no con inversio, sino con a conjunción de esfuerzos, incluyendo las obligaciones de los usuarios
2020-04-22: antes 40 ha se suman 500 más por adición presupuestal</t>
        </r>
      </text>
    </comment>
    <comment ref="Q18" authorId="0" shapeId="0" xr:uid="{00000000-0006-0000-0500-000053000000}">
      <text>
        <r>
          <rPr>
            <b/>
            <sz val="9"/>
            <color rgb="FF000000"/>
            <rFont val="Tahoma"/>
            <family val="2"/>
          </rPr>
          <t>PND 2018-2022:</t>
        </r>
        <r>
          <rPr>
            <sz val="9"/>
            <color rgb="FF000000"/>
            <rFont val="Tahoma"/>
            <family val="2"/>
          </rPr>
          <t xml:space="preserve"> Áreas afectadas por el desarrollo de actividades ilegales en proceso de restauración</t>
        </r>
      </text>
    </comment>
    <comment ref="Z18" authorId="4" shapeId="0" xr:uid="{00000000-0006-0000-0500-000054000000}">
      <text>
        <r>
          <rPr>
            <b/>
            <sz val="9"/>
            <color rgb="FF000000"/>
            <rFont val="Tahoma"/>
            <family val="2"/>
          </rPr>
          <t>Usuario:</t>
        </r>
        <r>
          <rPr>
            <sz val="9"/>
            <color rgb="FF000000"/>
            <rFont val="Tahoma"/>
            <family val="2"/>
          </rPr>
          <t xml:space="preserve">
Inversion 200 millones + viaticos por 3 millones
</t>
        </r>
        <r>
          <rPr>
            <b/>
            <sz val="9"/>
            <color rgb="FF000000"/>
            <rFont val="Tahoma"/>
            <family val="2"/>
          </rPr>
          <t xml:space="preserve">2020-04-22: </t>
        </r>
        <r>
          <rPr>
            <sz val="9"/>
            <color rgb="FF000000"/>
            <rFont val="Tahoma"/>
            <family val="2"/>
          </rPr>
          <t>Ajuste para coherencia con presupuesto asignado</t>
        </r>
      </text>
    </comment>
    <comment ref="AG18" authorId="4" shapeId="0" xr:uid="{00000000-0006-0000-0500-000055000000}">
      <text>
        <r>
          <rPr>
            <b/>
            <sz val="9"/>
            <color rgb="FF000000"/>
            <rFont val="Tahoma"/>
            <family val="2"/>
          </rPr>
          <t>Usuario:</t>
        </r>
        <r>
          <rPr>
            <sz val="9"/>
            <color rgb="FF000000"/>
            <rFont val="Tahoma"/>
            <family val="2"/>
          </rPr>
          <t xml:space="preserve">
</t>
        </r>
        <r>
          <rPr>
            <sz val="9"/>
            <color rgb="FF000000"/>
            <rFont val="Tahoma"/>
            <family val="2"/>
          </rPr>
          <t>Norma</t>
        </r>
      </text>
    </comment>
    <comment ref="AX18" authorId="0" shapeId="0" xr:uid="{00000000-0006-0000-0500-000056000000}">
      <text>
        <r>
          <rPr>
            <b/>
            <sz val="9"/>
            <color rgb="FF000000"/>
            <rFont val="Tahoma"/>
            <family val="2"/>
          </rPr>
          <t>PND 2018-2022:</t>
        </r>
        <r>
          <rPr>
            <sz val="9"/>
            <color rgb="FF000000"/>
            <rFont val="Tahoma"/>
            <family val="2"/>
          </rPr>
          <t xml:space="preserve"> Áreas afectadas por el desarrollo de actividades ilegales en proceso de restauración</t>
        </r>
      </text>
    </comment>
    <comment ref="F19" authorId="0" shapeId="0" xr:uid="{00000000-0006-0000-0500-000057000000}">
      <text>
        <r>
          <rPr>
            <b/>
            <sz val="9"/>
            <color indexed="81"/>
            <rFont val="Tahoma"/>
            <family val="2"/>
          </rPr>
          <t xml:space="preserve">Nota.
</t>
        </r>
        <r>
          <rPr>
            <sz val="9"/>
            <color indexed="81"/>
            <rFont val="Tahoma"/>
            <family val="2"/>
          </rPr>
          <t>PND 2018-2022: Áreas bajo sistemas sostenibles de conservación (restauración*, sistemas agroforestales, manejo forestal sostenible)</t>
        </r>
      </text>
    </comment>
    <comment ref="H19" authorId="0" shapeId="0" xr:uid="{00000000-0006-0000-0500-000058000000}">
      <text>
        <r>
          <rPr>
            <b/>
            <sz val="9"/>
            <color indexed="81"/>
            <rFont val="Tahoma"/>
            <family val="2"/>
          </rPr>
          <t xml:space="preserve">Nota.
PND 2018-2022: </t>
        </r>
        <r>
          <rPr>
            <sz val="9"/>
            <color indexed="81"/>
            <rFont val="Tahoma"/>
            <family val="2"/>
          </rPr>
          <t xml:space="preserve">Áreas bajo sistemas sostenibles de conservación (restauración*, sistemas agroforestales, manejo forestal sostenible)
</t>
        </r>
      </text>
    </comment>
    <comment ref="L19" authorId="0" shapeId="0" xr:uid="{00000000-0006-0000-0500-000059000000}">
      <text>
        <r>
          <rPr>
            <b/>
            <sz val="9"/>
            <color rgb="FF000000"/>
            <rFont val="Tahoma"/>
            <family val="2"/>
          </rPr>
          <t>Es decir, se espera incrementar las ha de cobertura boscosa en 1666,83 ha en el periodo del PGAR y a 416,71 ha/año.</t>
        </r>
      </text>
    </comment>
    <comment ref="Q19" authorId="0" shapeId="0" xr:uid="{00000000-0006-0000-0500-00005A000000}">
      <text>
        <r>
          <rPr>
            <b/>
            <sz val="9"/>
            <color rgb="FF000000"/>
            <rFont val="Tahoma"/>
            <family val="2"/>
          </rPr>
          <t>PND 2018-2022:</t>
        </r>
        <r>
          <rPr>
            <sz val="9"/>
            <color rgb="FF000000"/>
            <rFont val="Tahoma"/>
            <family val="2"/>
          </rPr>
          <t xml:space="preserve"> Áreas bajo sistemas sostenibles de conservación (restauración*, sistemas agroforestales, manejo forestal sostenible)
</t>
        </r>
      </text>
    </comment>
    <comment ref="T19" authorId="0" shapeId="0" xr:uid="{00000000-0006-0000-0500-00005B000000}">
      <text>
        <r>
          <rPr>
            <b/>
            <sz val="9"/>
            <color rgb="FF000000"/>
            <rFont val="Tahoma"/>
            <family val="2"/>
          </rPr>
          <t>Apoyo:</t>
        </r>
        <r>
          <rPr>
            <sz val="9"/>
            <color rgb="FF000000"/>
            <rFont val="Tahoma"/>
            <family val="2"/>
          </rPr>
          <t xml:space="preserve"> Subdirección de Ecosistemas
</t>
        </r>
      </text>
    </comment>
    <comment ref="AG19" authorId="6" shapeId="0" xr:uid="{00000000-0006-0000-0500-00005C000000}">
      <text>
        <r>
          <rPr>
            <b/>
            <sz val="14"/>
            <color rgb="FF000000"/>
            <rFont val="Tahoma"/>
            <family val="2"/>
          </rPr>
          <t>Jhoanna Paola Restrepo Cojo:</t>
        </r>
        <r>
          <rPr>
            <sz val="14"/>
            <color rgb="FF000000"/>
            <rFont val="Tahoma"/>
            <family val="2"/>
          </rPr>
          <t xml:space="preserve">
</t>
        </r>
        <r>
          <rPr>
            <sz val="14"/>
            <color rgb="FF000000"/>
            <rFont val="Tahoma"/>
            <family val="2"/>
          </rPr>
          <t xml:space="preserve">1 profesional especializado Grado 17. OSCAR 
</t>
        </r>
        <r>
          <rPr>
            <sz val="14"/>
            <color rgb="FF000000"/>
            <rFont val="Tahoma"/>
            <family val="2"/>
          </rPr>
          <t xml:space="preserve">1 Tecnico Opertivo Grado 16 - CRISTIAN
</t>
        </r>
      </text>
    </comment>
    <comment ref="AX19" authorId="0" shapeId="0" xr:uid="{00000000-0006-0000-0500-00005D000000}">
      <text>
        <r>
          <rPr>
            <b/>
            <sz val="9"/>
            <color rgb="FF000000"/>
            <rFont val="Tahoma"/>
            <family val="2"/>
          </rPr>
          <t>PND 2018-2022:</t>
        </r>
        <r>
          <rPr>
            <sz val="9"/>
            <color rgb="FF000000"/>
            <rFont val="Tahoma"/>
            <family val="2"/>
          </rPr>
          <t xml:space="preserve"> Áreas bajo sistemas sostenibles de conservación (restauración*, sistemas agroforestales, manejo forestal sostenible)
</t>
        </r>
      </text>
    </comment>
    <comment ref="L20" authorId="3" shapeId="0" xr:uid="{00000000-0006-0000-0500-00005E000000}">
      <text>
        <r>
          <rPr>
            <b/>
            <sz val="9"/>
            <color rgb="FF000000"/>
            <rFont val="Tahoma"/>
            <family val="2"/>
          </rPr>
          <t xml:space="preserve">Baja Caucaca, Bajo Nechí: aproximadamente 50.000 ha
</t>
        </r>
        <r>
          <rPr>
            <b/>
            <sz val="9"/>
            <color rgb="FF000000"/>
            <rFont val="Tahoma"/>
            <family val="2"/>
          </rPr>
          <t>Regionalización tiene previsto 1000 ha</t>
        </r>
      </text>
    </comment>
    <comment ref="Z20" authorId="4" shapeId="0" xr:uid="{00000000-0006-0000-0500-00005F000000}">
      <text>
        <r>
          <rPr>
            <b/>
            <sz val="9"/>
            <color rgb="FF000000"/>
            <rFont val="Tahoma"/>
            <family val="2"/>
          </rPr>
          <t>Usuario:</t>
        </r>
        <r>
          <rPr>
            <sz val="9"/>
            <color rgb="FF000000"/>
            <rFont val="Tahoma"/>
            <family val="2"/>
          </rPr>
          <t xml:space="preserve">
</t>
        </r>
        <r>
          <rPr>
            <sz val="9"/>
            <color rgb="FF000000"/>
            <rFont val="Tahoma"/>
            <family val="2"/>
          </rPr>
          <t xml:space="preserve">Inversion por 406 millones millones + viaticos por 3 millones </t>
        </r>
      </text>
    </comment>
    <comment ref="D21" authorId="3" shapeId="0" xr:uid="{00000000-0006-0000-0500-000060000000}">
      <text>
        <r>
          <rPr>
            <b/>
            <sz val="9"/>
            <color rgb="FF000000"/>
            <rFont val="Tahoma"/>
            <family val="2"/>
          </rPr>
          <t>Antes 2020-03-09:</t>
        </r>
        <r>
          <rPr>
            <sz val="9"/>
            <color rgb="FF000000"/>
            <rFont val="Tahoma"/>
            <family val="2"/>
          </rPr>
          <t xml:space="preserve"> Ejecutar actividades de educación y sensibilización
</t>
        </r>
      </text>
    </comment>
    <comment ref="F21" authorId="3" shapeId="0" xr:uid="{00000000-0006-0000-0500-000061000000}">
      <text>
        <r>
          <rPr>
            <b/>
            <sz val="9"/>
            <color rgb="FF000000"/>
            <rFont val="Tahoma"/>
            <family val="2"/>
          </rPr>
          <t>Antes 2020-03-09:</t>
        </r>
        <r>
          <rPr>
            <sz val="9"/>
            <color rgb="FF000000"/>
            <rFont val="Tahoma"/>
            <family val="2"/>
          </rPr>
          <t xml:space="preserve"> Ejecutar actividades de educación y sensibilización
</t>
        </r>
      </text>
    </comment>
    <comment ref="H21" authorId="3" shapeId="0" xr:uid="{00000000-0006-0000-0500-000062000000}">
      <text>
        <r>
          <rPr>
            <b/>
            <sz val="9"/>
            <color rgb="FF000000"/>
            <rFont val="Tahoma"/>
            <family val="2"/>
          </rPr>
          <t>Seguimiento:</t>
        </r>
        <r>
          <rPr>
            <sz val="9"/>
            <color rgb="FF000000"/>
            <rFont val="Tahoma"/>
            <family val="2"/>
          </rPr>
          <t xml:space="preserve"> Ecosistemas
</t>
        </r>
        <r>
          <rPr>
            <b/>
            <sz val="9"/>
            <color rgb="FF000000"/>
            <rFont val="Tahoma"/>
            <family val="2"/>
          </rPr>
          <t xml:space="preserve">Control: </t>
        </r>
        <r>
          <rPr>
            <sz val="9"/>
            <color rgb="FF000000"/>
            <rFont val="Tahoma"/>
            <family val="2"/>
          </rPr>
          <t>Regionalización</t>
        </r>
      </text>
    </comment>
    <comment ref="AG21" authorId="4" shapeId="0" xr:uid="{00000000-0006-0000-0500-000063000000}">
      <text>
        <r>
          <rPr>
            <b/>
            <sz val="9"/>
            <color rgb="FF000000"/>
            <rFont val="Tahoma"/>
            <family val="2"/>
          </rPr>
          <t>Usuario:</t>
        </r>
        <r>
          <rPr>
            <sz val="9"/>
            <color rgb="FF000000"/>
            <rFont val="Tahoma"/>
            <family val="2"/>
          </rPr>
          <t xml:space="preserve">
</t>
        </r>
        <r>
          <rPr>
            <sz val="9"/>
            <color rgb="FF000000"/>
            <rFont val="Tahoma"/>
            <family val="2"/>
          </rPr>
          <t>Laura</t>
        </r>
      </text>
    </comment>
    <comment ref="F22" authorId="0" shapeId="0" xr:uid="{00000000-0006-0000-0500-000064000000}">
      <text>
        <r>
          <rPr>
            <b/>
            <sz val="9"/>
            <color indexed="81"/>
            <rFont val="Tahoma"/>
            <family val="2"/>
          </rPr>
          <t>(POF)</t>
        </r>
        <r>
          <rPr>
            <sz val="9"/>
            <color indexed="81"/>
            <rFont val="Tahoma"/>
            <family val="2"/>
          </rPr>
          <t xml:space="preserve">
</t>
        </r>
      </text>
    </comment>
    <comment ref="H22" authorId="0" shapeId="0" xr:uid="{00000000-0006-0000-0500-000065000000}">
      <text>
        <r>
          <rPr>
            <b/>
            <sz val="9"/>
            <color indexed="81"/>
            <rFont val="Tahoma"/>
            <family val="2"/>
          </rPr>
          <t xml:space="preserve">
Nota: </t>
        </r>
        <r>
          <rPr>
            <sz val="9"/>
            <color indexed="81"/>
            <rFont val="Tahoma"/>
            <family val="2"/>
          </rPr>
          <t>% de avance en la formulación del plan de ordenación forestal
(POF)</t>
        </r>
      </text>
    </comment>
    <comment ref="L22" authorId="0" shapeId="0" xr:uid="{00000000-0006-0000-0500-000066000000}">
      <text>
        <r>
          <rPr>
            <b/>
            <sz val="9"/>
            <color rgb="FF000000"/>
            <rFont val="Tahoma"/>
            <family val="2"/>
          </rPr>
          <t>La meta se define para las acciones correspondientes a los primeros 4 años de la vigencia del plan, el cual es de 8 años.</t>
        </r>
        <r>
          <rPr>
            <sz val="9"/>
            <color rgb="FF000000"/>
            <rFont val="Tahoma"/>
            <family val="2"/>
          </rPr>
          <t xml:space="preserve">
</t>
        </r>
      </text>
    </comment>
    <comment ref="M22" authorId="3" shapeId="0" xr:uid="{00000000-0006-0000-0500-000067000000}">
      <text>
        <r>
          <rPr>
            <b/>
            <sz val="9"/>
            <color rgb="FF000000"/>
            <rFont val="Tahoma"/>
            <family val="2"/>
          </rPr>
          <t xml:space="preserve">Se espera para el primer año tener  aprobado el POF.
</t>
        </r>
        <r>
          <rPr>
            <b/>
            <sz val="9"/>
            <color rgb="FF000000"/>
            <rFont val="Tahoma"/>
            <family val="2"/>
          </rPr>
          <t xml:space="preserve">
</t>
        </r>
        <r>
          <rPr>
            <b/>
            <sz val="9"/>
            <color rgb="FF000000"/>
            <rFont val="Tahoma"/>
            <family val="2"/>
          </rPr>
          <t>Revisar con Norberto</t>
        </r>
      </text>
    </comment>
    <comment ref="Z22" authorId="4" shapeId="0" xr:uid="{00000000-0006-0000-0500-000068000000}">
      <text>
        <r>
          <rPr>
            <b/>
            <sz val="9"/>
            <color rgb="FF000000"/>
            <rFont val="Tahoma"/>
            <family val="2"/>
          </rPr>
          <t>Usuario:</t>
        </r>
        <r>
          <rPr>
            <sz val="9"/>
            <color rgb="FF000000"/>
            <rFont val="Tahoma"/>
            <family val="2"/>
          </rPr>
          <t xml:space="preserve">
</t>
        </r>
        <r>
          <rPr>
            <sz val="9"/>
            <color rgb="FF000000"/>
            <rFont val="Tahoma"/>
            <family val="2"/>
          </rPr>
          <t>Inversion por valor de 85528507,024 + viaticos por valor de 5 millones de pesos</t>
        </r>
      </text>
    </comment>
    <comment ref="AG22" authorId="4" shapeId="0" xr:uid="{00000000-0006-0000-0500-000069000000}">
      <text>
        <r>
          <rPr>
            <b/>
            <sz val="9"/>
            <color indexed="81"/>
            <rFont val="Tahoma"/>
            <family val="2"/>
          </rPr>
          <t>Usuario:</t>
        </r>
        <r>
          <rPr>
            <sz val="9"/>
            <color indexed="81"/>
            <rFont val="Tahoma"/>
            <family val="2"/>
          </rPr>
          <t xml:space="preserve">
Nolberto</t>
        </r>
      </text>
    </comment>
    <comment ref="H23" authorId="1" shapeId="0" xr:uid="{00000000-0006-0000-0500-00006A000000}">
      <text>
        <r>
          <rPr>
            <b/>
            <sz val="10"/>
            <color rgb="FF000000"/>
            <rFont val="Calibri"/>
            <family val="2"/>
          </rPr>
          <t>Especies priorizadas:</t>
        </r>
        <r>
          <rPr>
            <sz val="10"/>
            <color rgb="FF000000"/>
            <rFont val="Calibri"/>
            <family val="2"/>
          </rPr>
          <t xml:space="preserve"> especies de fauna y flora definidas como priorizadas considerando como parámetros, aspectos como categoría de amenaza, endemismo, inclusión en la Cites, haber sido considerada como objeto de conservación en alguna de las áreas de reserva corporativas, haber sido aproximada por la Corporación tanto en su conocimiento o conservación, incluida o ser objeto en una de estrategias de conservación existentes a nivel nacional, regional o Corporativa, ser especie sobrilla, bandera, carismática o de importancia ecológica o haber sido consideradas en los anteriores planes de acción (principalmente en el Plan de Acción 2016-2019). Elaboración propia.
</t>
        </r>
      </text>
    </comment>
    <comment ref="L23" authorId="5" shapeId="0" xr:uid="{00000000-0006-0000-0500-00006B000000}">
      <text>
        <r>
          <rPr>
            <b/>
            <sz val="9"/>
            <color rgb="FF000000"/>
            <rFont val="Tahoma"/>
            <family val="2"/>
          </rPr>
          <t>HP:</t>
        </r>
        <r>
          <rPr>
            <sz val="9"/>
            <color rgb="FF000000"/>
            <rFont val="Tahoma"/>
            <family val="2"/>
          </rPr>
          <t xml:space="preserve">
</t>
        </r>
        <r>
          <rPr>
            <sz val="9"/>
            <color rgb="FF000000"/>
            <rFont val="Tahoma"/>
            <family val="2"/>
          </rPr>
          <t xml:space="preserve">Cumplimiento de la meta por año ( 100%) se toma como base 60  sp priorizadas (que incluye "Pioneras, secundarias y tardió"), entre estos grupos entran amenazadas, endemicas de los VOC de AP </t>
        </r>
      </text>
    </comment>
    <comment ref="M23" authorId="5" shapeId="0" xr:uid="{00000000-0006-0000-0500-00006C000000}">
      <text>
        <r>
          <rPr>
            <b/>
            <sz val="9"/>
            <color rgb="FF000000"/>
            <rFont val="Tahoma"/>
            <family val="2"/>
          </rPr>
          <t>HP:</t>
        </r>
        <r>
          <rPr>
            <sz val="9"/>
            <color rgb="FF000000"/>
            <rFont val="Tahoma"/>
            <family val="2"/>
          </rPr>
          <t xml:space="preserve">
</t>
        </r>
        <r>
          <rPr>
            <sz val="9"/>
            <color rgb="FF000000"/>
            <rFont val="Tahoma"/>
            <family val="2"/>
          </rPr>
          <t>30 especies priorazadas</t>
        </r>
      </text>
    </comment>
    <comment ref="N23" authorId="5" shapeId="0" xr:uid="{00000000-0006-0000-0500-00006D000000}">
      <text>
        <r>
          <rPr>
            <b/>
            <sz val="9"/>
            <color rgb="FF000000"/>
            <rFont val="Tahoma"/>
            <family val="2"/>
          </rPr>
          <t>HP:</t>
        </r>
        <r>
          <rPr>
            <sz val="9"/>
            <color rgb="FF000000"/>
            <rFont val="Tahoma"/>
            <family val="2"/>
          </rPr>
          <t xml:space="preserve">
</t>
        </r>
        <r>
          <rPr>
            <sz val="9"/>
            <color rgb="FF000000"/>
            <rFont val="Tahoma"/>
            <family val="2"/>
          </rPr>
          <t>36 sp priorizadas</t>
        </r>
      </text>
    </comment>
    <comment ref="O23" authorId="5" shapeId="0" xr:uid="{00000000-0006-0000-0500-00006E000000}">
      <text>
        <r>
          <rPr>
            <b/>
            <sz val="9"/>
            <color rgb="FF000000"/>
            <rFont val="Tahoma"/>
            <family val="2"/>
          </rPr>
          <t>HP:</t>
        </r>
        <r>
          <rPr>
            <sz val="9"/>
            <color rgb="FF000000"/>
            <rFont val="Tahoma"/>
            <family val="2"/>
          </rPr>
          <t xml:space="preserve">
</t>
        </r>
        <r>
          <rPr>
            <sz val="9"/>
            <color rgb="FF000000"/>
            <rFont val="Tahoma"/>
            <family val="2"/>
          </rPr>
          <t>42 sp priorizadas</t>
        </r>
      </text>
    </comment>
    <comment ref="P23" authorId="5" shapeId="0" xr:uid="{00000000-0006-0000-0500-00006F000000}">
      <text>
        <r>
          <rPr>
            <b/>
            <sz val="9"/>
            <color rgb="FF000000"/>
            <rFont val="Tahoma"/>
            <family val="2"/>
          </rPr>
          <t>HP:</t>
        </r>
        <r>
          <rPr>
            <sz val="9"/>
            <color rgb="FF000000"/>
            <rFont val="Tahoma"/>
            <family val="2"/>
          </rPr>
          <t xml:space="preserve">
</t>
        </r>
        <r>
          <rPr>
            <sz val="9"/>
            <color rgb="FF000000"/>
            <rFont val="Tahoma"/>
            <family val="2"/>
          </rPr>
          <t>48 sp priorizadas</t>
        </r>
      </text>
    </comment>
    <comment ref="Z23" authorId="4" shapeId="0" xr:uid="{00000000-0006-0000-0500-000070000000}">
      <text>
        <r>
          <rPr>
            <sz val="9"/>
            <color rgb="FF000000"/>
            <rFont val="Tahoma"/>
            <family val="2"/>
          </rPr>
          <t>INVERSION por valor de 54,000,000 +  Gastos financieros 8785432 + viaticos por 6 millones de pesos  + contratacion personal 120.900.000</t>
        </r>
      </text>
    </comment>
    <comment ref="AG23" authorId="4" shapeId="0" xr:uid="{00000000-0006-0000-0500-000071000000}">
      <text>
        <r>
          <rPr>
            <b/>
            <sz val="9"/>
            <color indexed="81"/>
            <rFont val="Tahoma"/>
            <family val="2"/>
          </rPr>
          <t>Usuario:</t>
        </r>
        <r>
          <rPr>
            <sz val="9"/>
            <color indexed="81"/>
            <rFont val="Tahoma"/>
            <family val="2"/>
          </rPr>
          <t xml:space="preserve">
Juan camilo+Randall o su reemplazo</t>
        </r>
      </text>
    </comment>
    <comment ref="L24" authorId="3" shapeId="0" xr:uid="{00000000-0006-0000-0500-000072000000}">
      <text>
        <r>
          <rPr>
            <b/>
            <sz val="9"/>
            <color rgb="FF000000"/>
            <rFont val="Tahoma"/>
            <family val="2"/>
          </rPr>
          <t>Línea base cuatrenio anterior:</t>
        </r>
        <r>
          <rPr>
            <sz val="9"/>
            <color rgb="FF000000"/>
            <rFont val="Tahoma"/>
            <family val="2"/>
          </rPr>
          <t xml:space="preserve"> 100%
</t>
        </r>
        <r>
          <rPr>
            <sz val="9"/>
            <color rgb="FF000000"/>
            <rFont val="Tahoma"/>
            <family val="2"/>
          </rPr>
          <t>Se desarrollaron acciones en 18 especies de flora y 18 de fauna amenazadas. Por tanto,  es un indicador creciente para llegar a 100%  al 2023</t>
        </r>
      </text>
    </comment>
    <comment ref="M24" authorId="5" shapeId="0" xr:uid="{00000000-0006-0000-0500-000073000000}">
      <text>
        <r>
          <rPr>
            <b/>
            <sz val="9"/>
            <color rgb="FF000000"/>
            <rFont val="Tahoma"/>
            <family val="2"/>
          </rPr>
          <t>HP:</t>
        </r>
        <r>
          <rPr>
            <sz val="9"/>
            <color rgb="FF000000"/>
            <rFont val="Tahoma"/>
            <family val="2"/>
          </rPr>
          <t xml:space="preserve">
</t>
        </r>
        <r>
          <rPr>
            <sz val="9"/>
            <color rgb="FF000000"/>
            <rFont val="Tahoma"/>
            <family val="2"/>
          </rPr>
          <t xml:space="preserve">Flora 9 sp amenazadas con medidas </t>
        </r>
      </text>
    </comment>
    <comment ref="N24" authorId="5" shapeId="0" xr:uid="{00000000-0006-0000-0500-000074000000}">
      <text>
        <r>
          <rPr>
            <b/>
            <sz val="9"/>
            <color rgb="FF000000"/>
            <rFont val="Tahoma"/>
            <family val="2"/>
          </rPr>
          <t>HP:</t>
        </r>
        <r>
          <rPr>
            <sz val="9"/>
            <color rgb="FF000000"/>
            <rFont val="Tahoma"/>
            <family val="2"/>
          </rPr>
          <t xml:space="preserve">
</t>
        </r>
        <r>
          <rPr>
            <sz val="9"/>
            <color rgb="FF000000"/>
            <rFont val="Tahoma"/>
            <family val="2"/>
          </rPr>
          <t>12 sp de flora con medidas de acción</t>
        </r>
      </text>
    </comment>
    <comment ref="O24" authorId="5" shapeId="0" xr:uid="{00000000-0006-0000-0500-000075000000}">
      <text>
        <r>
          <rPr>
            <b/>
            <sz val="9"/>
            <color rgb="FF000000"/>
            <rFont val="Tahoma"/>
            <family val="2"/>
          </rPr>
          <t>HP:</t>
        </r>
        <r>
          <rPr>
            <sz val="9"/>
            <color rgb="FF000000"/>
            <rFont val="Tahoma"/>
            <family val="2"/>
          </rPr>
          <t xml:space="preserve">
</t>
        </r>
        <r>
          <rPr>
            <sz val="9"/>
            <color rgb="FF000000"/>
            <rFont val="Tahoma"/>
            <family val="2"/>
          </rPr>
          <t>15 sp de flora con medidas</t>
        </r>
      </text>
    </comment>
    <comment ref="P24" authorId="5" shapeId="0" xr:uid="{00000000-0006-0000-0500-000076000000}">
      <text>
        <r>
          <rPr>
            <b/>
            <sz val="9"/>
            <color rgb="FF000000"/>
            <rFont val="Tahoma"/>
            <family val="2"/>
          </rPr>
          <t>HP:</t>
        </r>
        <r>
          <rPr>
            <sz val="9"/>
            <color rgb="FF000000"/>
            <rFont val="Tahoma"/>
            <family val="2"/>
          </rPr>
          <t xml:space="preserve">
</t>
        </r>
        <r>
          <rPr>
            <sz val="9"/>
            <color rgb="FF000000"/>
            <rFont val="Tahoma"/>
            <family val="2"/>
          </rPr>
          <t>18 sp de flora con medidas</t>
        </r>
      </text>
    </comment>
    <comment ref="Z24" authorId="4" shapeId="0" xr:uid="{00000000-0006-0000-0500-000077000000}">
      <text>
        <r>
          <rPr>
            <b/>
            <sz val="9"/>
            <color rgb="FF000000"/>
            <rFont val="Tahoma"/>
            <family val="2"/>
          </rPr>
          <t>Usuario:</t>
        </r>
        <r>
          <rPr>
            <sz val="9"/>
            <color rgb="FF000000"/>
            <rFont val="Tahoma"/>
            <family val="2"/>
          </rPr>
          <t xml:space="preserve">
</t>
        </r>
        <r>
          <rPr>
            <sz val="9"/>
            <color rgb="FF000000"/>
            <rFont val="Tahoma"/>
            <family val="2"/>
          </rPr>
          <t>Inversión por valor de 54.000.00 + viaticos por 4 millones</t>
        </r>
      </text>
    </comment>
    <comment ref="AG24" authorId="4" shapeId="0" xr:uid="{00000000-0006-0000-0500-000078000000}">
      <text>
        <r>
          <rPr>
            <b/>
            <sz val="9"/>
            <color rgb="FF000000"/>
            <rFont val="Tahoma"/>
            <family val="2"/>
          </rPr>
          <t>Usuario:</t>
        </r>
        <r>
          <rPr>
            <sz val="9"/>
            <color rgb="FF000000"/>
            <rFont val="Tahoma"/>
            <family val="2"/>
          </rPr>
          <t xml:space="preserve">
</t>
        </r>
        <r>
          <rPr>
            <sz val="9"/>
            <color rgb="FF000000"/>
            <rFont val="Tahoma"/>
            <family val="2"/>
          </rPr>
          <t>MOises</t>
        </r>
      </text>
    </comment>
    <comment ref="L25" authorId="3" shapeId="0" xr:uid="{00000000-0006-0000-0500-000079000000}">
      <text>
        <r>
          <rPr>
            <b/>
            <sz val="9"/>
            <color rgb="FF000000"/>
            <rFont val="Tahoma"/>
            <family val="2"/>
          </rPr>
          <t xml:space="preserve">Este indicador es creciente
</t>
        </r>
        <r>
          <rPr>
            <b/>
            <sz val="9"/>
            <color rgb="FF000000"/>
            <rFont val="Tahoma"/>
            <family val="2"/>
          </rPr>
          <t>Se desarrollaron medidas de prevención, control y manejo  para Ojo de poeta, Retamo espinoso Caracol gigante africano, Hipopótamo Rana Toro, en donde se aplicaron los protocolos de disposición final, pero también se realizaron capacitaciones a la comunidad, reuniones con las mesas municipales  y divulgación en medios sobre manejo, control y disposición final de estas especies invasoras</t>
        </r>
        <r>
          <rPr>
            <sz val="9"/>
            <color rgb="FF000000"/>
            <rFont val="Tahoma"/>
            <family val="2"/>
          </rPr>
          <t xml:space="preserve">
</t>
        </r>
      </text>
    </comment>
    <comment ref="M25" authorId="5" shapeId="0" xr:uid="{00000000-0006-0000-0500-00007A000000}">
      <text>
        <r>
          <rPr>
            <b/>
            <sz val="9"/>
            <color rgb="FF000000"/>
            <rFont val="Tahoma"/>
            <family val="2"/>
          </rPr>
          <t>HP:</t>
        </r>
        <r>
          <rPr>
            <sz val="9"/>
            <color rgb="FF000000"/>
            <rFont val="Tahoma"/>
            <family val="2"/>
          </rPr>
          <t xml:space="preserve">
</t>
        </r>
        <r>
          <rPr>
            <sz val="9"/>
            <color rgb="FF000000"/>
            <rFont val="Tahoma"/>
            <family val="2"/>
          </rPr>
          <t>1 sp de flora con medidas</t>
        </r>
      </text>
    </comment>
    <comment ref="N25" authorId="5" shapeId="0" xr:uid="{00000000-0006-0000-0500-00007B000000}">
      <text>
        <r>
          <rPr>
            <b/>
            <sz val="9"/>
            <color rgb="FF000000"/>
            <rFont val="Tahoma"/>
            <family val="2"/>
          </rPr>
          <t>HP:</t>
        </r>
        <r>
          <rPr>
            <sz val="9"/>
            <color rgb="FF000000"/>
            <rFont val="Tahoma"/>
            <family val="2"/>
          </rPr>
          <t xml:space="preserve">
</t>
        </r>
        <r>
          <rPr>
            <sz val="9"/>
            <color rgb="FF000000"/>
            <rFont val="Tahoma"/>
            <family val="2"/>
          </rPr>
          <t>2 sp de flora con medidas</t>
        </r>
      </text>
    </comment>
    <comment ref="O25" authorId="5" shapeId="0" xr:uid="{00000000-0006-0000-0500-00007C000000}">
      <text>
        <r>
          <rPr>
            <b/>
            <sz val="9"/>
            <color rgb="FF000000"/>
            <rFont val="Tahoma"/>
            <family val="2"/>
          </rPr>
          <t>HP:</t>
        </r>
        <r>
          <rPr>
            <sz val="9"/>
            <color rgb="FF000000"/>
            <rFont val="Tahoma"/>
            <family val="2"/>
          </rPr>
          <t xml:space="preserve">
</t>
        </r>
        <r>
          <rPr>
            <sz val="9"/>
            <color rgb="FF000000"/>
            <rFont val="Tahoma"/>
            <family val="2"/>
          </rPr>
          <t>2 sp de flora con medidas</t>
        </r>
      </text>
    </comment>
    <comment ref="P25" authorId="5" shapeId="0" xr:uid="{00000000-0006-0000-0500-00007D000000}">
      <text>
        <r>
          <rPr>
            <b/>
            <sz val="9"/>
            <color rgb="FF000000"/>
            <rFont val="Tahoma"/>
            <family val="2"/>
          </rPr>
          <t>HP:</t>
        </r>
        <r>
          <rPr>
            <sz val="9"/>
            <color rgb="FF000000"/>
            <rFont val="Tahoma"/>
            <family val="2"/>
          </rPr>
          <t xml:space="preserve">
</t>
        </r>
        <r>
          <rPr>
            <sz val="9"/>
            <color rgb="FF000000"/>
            <rFont val="Tahoma"/>
            <family val="2"/>
          </rPr>
          <t>3 sp de flora con medidas</t>
        </r>
      </text>
    </comment>
    <comment ref="Z25" authorId="4" shapeId="0" xr:uid="{00000000-0006-0000-0500-00007E000000}">
      <text>
        <r>
          <rPr>
            <b/>
            <sz val="9"/>
            <color rgb="FF000000"/>
            <rFont val="Tahoma"/>
            <family val="2"/>
          </rPr>
          <t xml:space="preserve">Usuario:
</t>
        </r>
        <r>
          <rPr>
            <b/>
            <sz val="9"/>
            <color rgb="FF000000"/>
            <rFont val="Tahoma"/>
            <family val="2"/>
          </rPr>
          <t xml:space="preserve">Inversion por valor de 343.000.000 + viaticos por 5.900.000
</t>
        </r>
        <r>
          <rPr>
            <b/>
            <sz val="9"/>
            <color rgb="FF000000"/>
            <rFont val="Tahoma"/>
            <family val="2"/>
          </rPr>
          <t xml:space="preserve">
</t>
        </r>
        <r>
          <rPr>
            <sz val="9"/>
            <color rgb="FF000000"/>
            <rFont val="Tahoma"/>
            <family val="2"/>
          </rPr>
          <t>193.000.000 de la actividad 13.1 y 150 actividad 13.2</t>
        </r>
      </text>
    </comment>
    <comment ref="AG25" authorId="4" shapeId="0" xr:uid="{00000000-0006-0000-0500-00007F000000}">
      <text>
        <r>
          <rPr>
            <b/>
            <sz val="9"/>
            <color rgb="FF000000"/>
            <rFont val="Tahoma"/>
            <family val="2"/>
          </rPr>
          <t>Usuario:</t>
        </r>
        <r>
          <rPr>
            <sz val="9"/>
            <color rgb="FF000000"/>
            <rFont val="Tahoma"/>
            <family val="2"/>
          </rPr>
          <t xml:space="preserve">
</t>
        </r>
        <r>
          <rPr>
            <sz val="9"/>
            <color rgb="FF000000"/>
            <rFont val="Tahoma"/>
            <family val="2"/>
          </rPr>
          <t>José Fredys + Oscar</t>
        </r>
      </text>
    </comment>
    <comment ref="D26" authorId="7" shapeId="0" xr:uid="{00000000-0006-0000-0500-000080000000}">
      <text>
        <r>
          <rPr>
            <sz val="10"/>
            <color rgb="FF000000"/>
            <rFont val="Tahoma"/>
            <family val="2"/>
          </rPr>
          <t xml:space="preserve">
</t>
        </r>
        <r>
          <rPr>
            <sz val="10"/>
            <color rgb="FF000000"/>
            <rFont val="Tahoma"/>
            <family val="2"/>
          </rPr>
          <t xml:space="preserve">22_03_2020
</t>
        </r>
        <r>
          <rPr>
            <sz val="10"/>
            <color rgb="FF000000"/>
            <rFont val="Tahoma"/>
            <family val="2"/>
          </rPr>
          <t xml:space="preserve">
</t>
        </r>
        <r>
          <rPr>
            <sz val="10"/>
            <color rgb="FF000000"/>
            <rFont val="Tahoma"/>
            <family val="2"/>
          </rPr>
          <t xml:space="preserve">Implementar estrategia educativa para el fortalecimiento de las capacidad de los actores para la gestión corresponsable en la conectividad de corredores biológicos y sus ecosistemas
</t>
        </r>
        <r>
          <rPr>
            <sz val="10"/>
            <color rgb="FF000000"/>
            <rFont val="Tahoma"/>
            <family val="2"/>
          </rPr>
          <t xml:space="preserve">
</t>
        </r>
      </text>
    </comment>
    <comment ref="H26" authorId="7" shapeId="0" xr:uid="{00000000-0006-0000-0500-00008100000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que participan de manera corresponsable en la conectividad de corredores biológicos y sus ecosistemas</t>
        </r>
      </text>
    </comment>
    <comment ref="K26" authorId="1" shapeId="0" xr:uid="{00000000-0006-0000-0500-000082000000}">
      <text>
        <r>
          <rPr>
            <b/>
            <sz val="10"/>
            <color rgb="FF000000"/>
            <rFont val="Tahoma"/>
            <family val="2"/>
          </rPr>
          <t>Se trata de un nuevo modelo por lo tanto no se tiene línea base.</t>
        </r>
        <r>
          <rPr>
            <sz val="10"/>
            <color rgb="FF000000"/>
            <rFont val="Tahoma"/>
            <family val="2"/>
          </rPr>
          <t xml:space="preserve">
</t>
        </r>
      </text>
    </comment>
    <comment ref="L26" authorId="0" shapeId="0" xr:uid="{00000000-0006-0000-0500-000083000000}">
      <text>
        <r>
          <rPr>
            <b/>
            <sz val="9"/>
            <color rgb="FF000000"/>
            <rFont val="Tahoma"/>
            <family val="2"/>
          </rPr>
          <t>2020-04-14:</t>
        </r>
        <r>
          <rPr>
            <sz val="9"/>
            <color rgb="FF000000"/>
            <rFont val="Tahoma"/>
            <family val="2"/>
          </rPr>
          <t xml:space="preserve"> Se actualizó la meta anualizada sin alterar el valor del cuatrienio.
</t>
        </r>
      </text>
    </comment>
    <comment ref="Q26" authorId="0" shapeId="0" xr:uid="{00000000-0006-0000-0500-000084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AX26" authorId="0" shapeId="0" xr:uid="{00000000-0006-0000-0500-000085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A27" authorId="3" shapeId="0" xr:uid="{00000000-0006-0000-0500-000086000000}">
      <text>
        <r>
          <rPr>
            <b/>
            <sz val="9"/>
            <color rgb="FF000000"/>
            <rFont val="Tahoma"/>
            <family val="2"/>
          </rPr>
          <t xml:space="preserve">Hasta 2020-02-13: </t>
        </r>
        <r>
          <rPr>
            <sz val="9"/>
            <color rgb="FF000000"/>
            <rFont val="Tahoma"/>
            <family val="2"/>
          </rPr>
          <t xml:space="preserve">Gestión integral del recurso hídrico
</t>
        </r>
        <r>
          <rPr>
            <b/>
            <sz val="9"/>
            <color rgb="FF000000"/>
            <rFont val="Tahoma"/>
            <family val="2"/>
          </rPr>
          <t xml:space="preserve">Hasta 2020-03-06:
</t>
        </r>
        <r>
          <rPr>
            <sz val="9"/>
            <color rgb="FF000000"/>
            <rFont val="Tahoma"/>
            <family val="2"/>
          </rPr>
          <t>Programa II. Agua para la vida</t>
        </r>
      </text>
    </comment>
    <comment ref="B27" authorId="3" shapeId="0" xr:uid="{00000000-0006-0000-0500-000087000000}">
      <text>
        <r>
          <rPr>
            <b/>
            <sz val="9"/>
            <color indexed="81"/>
            <rFont val="Tahoma"/>
            <family val="2"/>
          </rPr>
          <t>Hasta 2020-02-13:</t>
        </r>
        <r>
          <rPr>
            <sz val="9"/>
            <color indexed="81"/>
            <rFont val="Tahoma"/>
            <family val="2"/>
          </rPr>
          <t xml:space="preserve"> Planificación hídrica
</t>
        </r>
        <r>
          <rPr>
            <b/>
            <sz val="9"/>
            <color indexed="81"/>
            <rFont val="Tahoma"/>
            <family val="2"/>
          </rPr>
          <t xml:space="preserve">Hasta 2020-03-06:
</t>
        </r>
        <r>
          <rPr>
            <sz val="9"/>
            <color indexed="81"/>
            <rFont val="Tahoma"/>
            <family val="2"/>
          </rPr>
          <t>Proyecto 3. Planificando el uso del agua</t>
        </r>
      </text>
    </comment>
    <comment ref="D27" authorId="3" shapeId="0" xr:uid="{00000000-0006-0000-0500-000088000000}">
      <text>
        <r>
          <rPr>
            <b/>
            <sz val="9"/>
            <color rgb="FF000000"/>
            <rFont val="Tahoma"/>
            <family val="2"/>
          </rPr>
          <t>Identificar y caracterizar</t>
        </r>
        <r>
          <rPr>
            <sz val="9"/>
            <color rgb="FF000000"/>
            <rFont val="Tahoma"/>
            <family val="2"/>
          </rPr>
          <t xml:space="preserve">
</t>
        </r>
      </text>
    </comment>
    <comment ref="F27" authorId="3" shapeId="0" xr:uid="{00000000-0006-0000-0500-000089000000}">
      <text>
        <r>
          <rPr>
            <b/>
            <sz val="9"/>
            <color rgb="FF000000"/>
            <rFont val="Tahoma"/>
            <family val="2"/>
          </rPr>
          <t>Identificar y caracterizar</t>
        </r>
        <r>
          <rPr>
            <sz val="9"/>
            <color rgb="FF000000"/>
            <rFont val="Tahoma"/>
            <family val="2"/>
          </rPr>
          <t xml:space="preserve">
</t>
        </r>
      </text>
    </comment>
    <comment ref="H27" authorId="0" shapeId="0" xr:uid="{00000000-0006-0000-0500-00008A000000}">
      <text>
        <r>
          <rPr>
            <b/>
            <sz val="9"/>
            <color indexed="81"/>
            <rFont val="Tahoma"/>
            <family val="2"/>
          </rPr>
          <t xml:space="preserve">Nota: </t>
        </r>
        <r>
          <rPr>
            <sz val="9"/>
            <color indexed="81"/>
            <rFont val="Tahoma"/>
            <family val="2"/>
          </rPr>
          <t>Resolución 667. % de cuerpos de agua con reglamentación del uso de las aguas.</t>
        </r>
      </text>
    </comment>
    <comment ref="L27" authorId="0" shapeId="0" xr:uid="{00000000-0006-0000-0500-00008B000000}">
      <text>
        <r>
          <rPr>
            <b/>
            <sz val="9"/>
            <color rgb="FF000000"/>
            <rFont val="Tahoma"/>
            <family val="2"/>
          </rPr>
          <t xml:space="preserve">Equivale a realizar 7 PORH, así:
</t>
        </r>
        <r>
          <rPr>
            <b/>
            <sz val="9"/>
            <color rgb="FF000000"/>
            <rFont val="Tahoma"/>
            <family val="2"/>
          </rPr>
          <t xml:space="preserve">2 en 2021
</t>
        </r>
        <r>
          <rPr>
            <b/>
            <sz val="9"/>
            <color rgb="FF000000"/>
            <rFont val="Tahoma"/>
            <family val="2"/>
          </rPr>
          <t xml:space="preserve">2 en 2022
</t>
        </r>
        <r>
          <rPr>
            <b/>
            <sz val="9"/>
            <color rgb="FF000000"/>
            <rFont val="Tahoma"/>
            <family val="2"/>
          </rPr>
          <t>3 en 2023</t>
        </r>
      </text>
    </comment>
    <comment ref="M27" authorId="1" shapeId="0" xr:uid="{00000000-0006-0000-0500-00008C000000}">
      <text>
        <r>
          <rPr>
            <b/>
            <sz val="10"/>
            <color rgb="FF000000"/>
            <rFont val="Tahoma"/>
            <family val="2"/>
          </rPr>
          <t>verificar si este año se van a regalemntar 4 cuerpos de agua</t>
        </r>
        <r>
          <rPr>
            <sz val="10"/>
            <color rgb="FF000000"/>
            <rFont val="Tahoma"/>
            <family val="2"/>
          </rPr>
          <t xml:space="preserve">
</t>
        </r>
      </text>
    </comment>
    <comment ref="T27" authorId="0" shapeId="0" xr:uid="{00000000-0006-0000-0500-00008D000000}">
      <text>
        <r>
          <rPr>
            <b/>
            <sz val="9"/>
            <color rgb="FF000000"/>
            <rFont val="Tahoma"/>
            <family val="2"/>
          </rPr>
          <t>Apoyo:</t>
        </r>
        <r>
          <rPr>
            <sz val="9"/>
            <color rgb="FF000000"/>
            <rFont val="Tahoma"/>
            <family val="2"/>
          </rPr>
          <t xml:space="preserve"> Subdirección de Gestión Ambiental
</t>
        </r>
      </text>
    </comment>
    <comment ref="H28" authorId="1" shapeId="0" xr:uid="{00000000-0006-0000-0500-00008E000000}">
      <text>
        <r>
          <rPr>
            <b/>
            <sz val="10"/>
            <color rgb="FF000000"/>
            <rFont val="Tahoma"/>
            <family val="2"/>
          </rPr>
          <t xml:space="preserve">Nota: </t>
        </r>
        <r>
          <rPr>
            <sz val="10"/>
            <color rgb="FF000000"/>
            <rFont val="Tahoma"/>
            <family val="2"/>
          </rPr>
          <t>Resolución 667. % de avance en la formulación y/o ajuste de los POMCA, PMA, PMM</t>
        </r>
        <r>
          <rPr>
            <b/>
            <sz val="10"/>
            <color rgb="FF000000"/>
            <rFont val="Tahoma"/>
            <family val="2"/>
          </rPr>
          <t xml:space="preserve">
Antes 2020-04-20
</t>
        </r>
        <r>
          <rPr>
            <sz val="10"/>
            <color rgb="FF000000"/>
            <rFont val="Tahoma"/>
            <family val="2"/>
          </rPr>
          <t xml:space="preserve">% de cuerpos de agua con Plan de Ordenamiento y Manejo de Cuenca adoptados (POMCA)
</t>
        </r>
      </text>
    </comment>
    <comment ref="L28" authorId="0" shapeId="0" xr:uid="{00000000-0006-0000-0500-00008F000000}">
      <text>
        <r>
          <rPr>
            <b/>
            <sz val="9"/>
            <color rgb="FF000000"/>
            <rFont val="Tahoma"/>
            <family val="2"/>
          </rPr>
          <t xml:space="preserve">
</t>
        </r>
        <r>
          <rPr>
            <b/>
            <sz val="9"/>
            <color rgb="FF000000"/>
            <rFont val="Tahoma"/>
            <family val="2"/>
          </rPr>
          <t xml:space="preserve">
</t>
        </r>
        <r>
          <rPr>
            <b/>
            <sz val="9"/>
            <color rgb="FF000000"/>
            <rFont val="Tahoma"/>
            <family val="2"/>
          </rPr>
          <t xml:space="preserve">Se recomienda que la meta sean 4 mas,  llegando a 14  POMCA
</t>
        </r>
        <r>
          <rPr>
            <b/>
            <sz val="9"/>
            <color rgb="FF000000"/>
            <rFont val="Tahoma"/>
            <family val="2"/>
          </rPr>
          <t xml:space="preserve">El indicador se mueve como IMG, es decir en porcentaje de avance de cada plan.
</t>
        </r>
        <r>
          <rPr>
            <b/>
            <sz val="9"/>
            <color rgb="FF000000"/>
            <rFont val="Tahoma"/>
            <family val="2"/>
          </rPr>
          <t xml:space="preserve">
</t>
        </r>
        <r>
          <rPr>
            <b/>
            <sz val="9"/>
            <color rgb="FF000000"/>
            <rFont val="Tahoma"/>
            <family val="2"/>
          </rPr>
          <t xml:space="preserve">Por lo tanto un 100%, de los porcentajes de avance programados para cada año
</t>
        </r>
      </text>
    </comment>
    <comment ref="M28" authorId="1" shapeId="0" xr:uid="{00000000-0006-0000-0500-00009000000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N28" authorId="1" shapeId="0" xr:uid="{00000000-0006-0000-0500-00009100000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O28" authorId="1" shapeId="0" xr:uid="{00000000-0006-0000-0500-00009200000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P28" authorId="1" shapeId="0" xr:uid="{00000000-0006-0000-0500-00009300000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AG28" authorId="6" shapeId="0" xr:uid="{00000000-0006-0000-0500-000094000000}">
      <text>
        <r>
          <rPr>
            <b/>
            <sz val="14"/>
            <color rgb="FF000000"/>
            <rFont val="Tahoma"/>
            <family val="2"/>
          </rPr>
          <t>Jhoanna Paola Restrepo Cojo:</t>
        </r>
        <r>
          <rPr>
            <sz val="14"/>
            <color rgb="FF000000"/>
            <rFont val="Tahoma"/>
            <family val="2"/>
          </rPr>
          <t xml:space="preserve">
</t>
        </r>
        <r>
          <rPr>
            <sz val="14"/>
            <color rgb="FF000000"/>
            <rFont val="Tahoma"/>
            <family val="2"/>
          </rPr>
          <t xml:space="preserve">2 Profesional Universitario Grado 09 CAROLINA, PAULINA
</t>
        </r>
        <r>
          <rPr>
            <sz val="14"/>
            <color rgb="FF000000"/>
            <rFont val="Tahoma"/>
            <family val="2"/>
          </rPr>
          <t xml:space="preserve">
</t>
        </r>
      </text>
    </comment>
    <comment ref="F29" authorId="0" shapeId="0" xr:uid="{00000000-0006-0000-0500-000095000000}">
      <text>
        <r>
          <rPr>
            <b/>
            <sz val="9"/>
            <color indexed="81"/>
            <rFont val="Tahoma"/>
            <family val="2"/>
          </rPr>
          <t>(PORH)</t>
        </r>
      </text>
    </comment>
    <comment ref="H29" authorId="0" shapeId="0" xr:uid="{00000000-0006-0000-0500-000096000000}">
      <text>
        <r>
          <rPr>
            <b/>
            <sz val="9"/>
            <color indexed="81"/>
            <rFont val="Tahoma"/>
            <family val="2"/>
          </rPr>
          <t xml:space="preserve">Nota: 
</t>
        </r>
        <r>
          <rPr>
            <sz val="9"/>
            <color indexed="81"/>
            <rFont val="Tahoma"/>
            <family val="2"/>
          </rPr>
          <t xml:space="preserve">Resolución 667. % de cuerpos de agua con PORH adoptados.
(PORH) </t>
        </r>
      </text>
    </comment>
    <comment ref="L29" authorId="0" shapeId="0" xr:uid="{00000000-0006-0000-0500-000097000000}">
      <text>
        <r>
          <rPr>
            <b/>
            <sz val="9"/>
            <color rgb="FF000000"/>
            <rFont val="Tahoma"/>
            <family val="2"/>
          </rPr>
          <t xml:space="preserve">
</t>
        </r>
        <r>
          <rPr>
            <b/>
            <sz val="9"/>
            <color rgb="FF000000"/>
            <rFont val="Tahoma"/>
            <family val="2"/>
          </rPr>
          <t xml:space="preserve">
</t>
        </r>
        <r>
          <rPr>
            <b/>
            <sz val="9"/>
            <color rgb="FF000000"/>
            <rFont val="Tahoma"/>
            <family val="2"/>
          </rPr>
          <t xml:space="preserve">Se recomienda que la meta sean 11 más,  llegando a 29 PORH
</t>
        </r>
        <r>
          <rPr>
            <b/>
            <sz val="9"/>
            <color rgb="FF000000"/>
            <rFont val="Tahoma"/>
            <family val="2"/>
          </rPr>
          <t xml:space="preserve">El indicador se mueve como IMG, es decir en porcentaje de avance de cada plan.
</t>
        </r>
        <r>
          <rPr>
            <b/>
            <sz val="9"/>
            <color rgb="FF000000"/>
            <rFont val="Tahoma"/>
            <family val="2"/>
          </rPr>
          <t xml:space="preserve">
</t>
        </r>
        <r>
          <rPr>
            <b/>
            <sz val="9"/>
            <color rgb="FF000000"/>
            <rFont val="Tahoma"/>
            <family val="2"/>
          </rPr>
          <t xml:space="preserve">Por lo tanto un 100%, de los porcentajes de avance programados para cada año
</t>
        </r>
      </text>
    </comment>
    <comment ref="M29" authorId="1" shapeId="0" xr:uid="{00000000-0006-0000-0500-000098000000}">
      <text>
        <r>
          <rPr>
            <b/>
            <sz val="10"/>
            <color rgb="FF000000"/>
            <rFont val="Tahoma"/>
            <family val="2"/>
          </rPr>
          <t>PORH adoptados 1</t>
        </r>
        <r>
          <rPr>
            <sz val="10"/>
            <color rgb="FF000000"/>
            <rFont val="Tahoma"/>
            <family val="2"/>
          </rPr>
          <t xml:space="preserve">
</t>
        </r>
        <r>
          <rPr>
            <sz val="10"/>
            <color rgb="FF000000"/>
            <rFont val="Tahoma"/>
            <family val="2"/>
          </rPr>
          <t xml:space="preserve">
</t>
        </r>
        <r>
          <rPr>
            <sz val="10"/>
            <color rgb="FF000000"/>
            <rFont val="Tahoma"/>
            <family val="2"/>
          </rPr>
          <t>Nota: Indicador IMG el cual se calcula con base en la hoja metodológica del Ministerio de Ambiente y Desarrollo Sostenible (Resolución 0667 de 2016) en la cual el 100% de la meta indica que en el periodo "t" se adoptaron todos los planes proyectados.</t>
        </r>
      </text>
    </comment>
    <comment ref="N29" authorId="1" shapeId="0" xr:uid="{00000000-0006-0000-0500-000099000000}">
      <text>
        <r>
          <rPr>
            <b/>
            <sz val="10"/>
            <color rgb="FF000000"/>
            <rFont val="Tahoma"/>
            <family val="2"/>
          </rPr>
          <t xml:space="preserve">PRH adoptados 4
</t>
        </r>
        <r>
          <rPr>
            <sz val="10"/>
            <color rgb="FF000000"/>
            <rFont val="Tahoma"/>
            <family val="2"/>
          </rPr>
          <t xml:space="preserve">
</t>
        </r>
        <r>
          <rPr>
            <sz val="10"/>
            <color rgb="FF000000"/>
            <rFont val="Tahoma"/>
            <family val="2"/>
          </rPr>
          <t>Nota: Indicador IMG el cual se calcula con base en la hoja metodológica del Ministerio de Ambiente y Desarrollo Sostenible (Resolución 0667 de 2016) en la cual el 100% de la meta indica que en el periodo "t" se adoptaron todos los planes proyectados</t>
        </r>
        <r>
          <rPr>
            <b/>
            <sz val="10"/>
            <color rgb="FF000000"/>
            <rFont val="Tahoma"/>
            <family val="2"/>
          </rPr>
          <t>.</t>
        </r>
      </text>
    </comment>
    <comment ref="O29" authorId="1" shapeId="0" xr:uid="{00000000-0006-0000-0500-00009A000000}">
      <text>
        <r>
          <rPr>
            <b/>
            <sz val="10"/>
            <color rgb="FF000000"/>
            <rFont val="Tahoma"/>
            <family val="2"/>
          </rPr>
          <t>PORH adoptados 3</t>
        </r>
        <r>
          <rPr>
            <sz val="10"/>
            <color rgb="FF000000"/>
            <rFont val="Tahoma"/>
            <family val="2"/>
          </rPr>
          <t xml:space="preserve">
</t>
        </r>
        <r>
          <rPr>
            <sz val="10"/>
            <color rgb="FF000000"/>
            <rFont val="Tahoma"/>
            <family val="2"/>
          </rPr>
          <t xml:space="preserve">
</t>
        </r>
        <r>
          <rPr>
            <sz val="10"/>
            <color rgb="FF000000"/>
            <rFont val="Tahoma"/>
            <family val="2"/>
          </rPr>
          <t>Nota: Indicador IMG el cual se calcula con base en la hoja metodológica del Ministerio de Ambiente y Desarrollo Sostenible (Resolución 0667 de 2016) en la cual el 100% de la meta indica que en el periodo "t" se adoptaron todos los planes proyectados.</t>
        </r>
      </text>
    </comment>
    <comment ref="P29" authorId="1" shapeId="0" xr:uid="{00000000-0006-0000-0500-00009B000000}">
      <text>
        <r>
          <rPr>
            <b/>
            <sz val="10"/>
            <color rgb="FF000000"/>
            <rFont val="Tahoma"/>
            <family val="2"/>
          </rPr>
          <t>PORH adoptados: 3</t>
        </r>
        <r>
          <rPr>
            <sz val="10"/>
            <color rgb="FF000000"/>
            <rFont val="Tahoma"/>
            <family val="2"/>
          </rPr>
          <t xml:space="preserve">
</t>
        </r>
        <r>
          <rPr>
            <sz val="10"/>
            <color rgb="FF000000"/>
            <rFont val="Tahoma"/>
            <family val="2"/>
          </rPr>
          <t xml:space="preserve">
</t>
        </r>
        <r>
          <rPr>
            <sz val="10"/>
            <color rgb="FF000000"/>
            <rFont val="Tahoma"/>
            <family val="2"/>
          </rPr>
          <t>Nota: Indicador IMG el cual se calcula con base en la hoja metodológica del Ministerio de Ambiente y Desarrollo Sostenible (Resolución 0667 de 2016) en la cual el 100% de la meta indica que en el periodo "t" se adoptaron todos los planes proyectados.</t>
        </r>
      </text>
    </comment>
    <comment ref="AG29" authorId="6" shapeId="0" xr:uid="{00000000-0006-0000-0500-00009C000000}">
      <text>
        <r>
          <rPr>
            <b/>
            <sz val="14"/>
            <color rgb="FF000000"/>
            <rFont val="Tahoma"/>
            <family val="2"/>
          </rPr>
          <t>Jhoanna Paola Restrepo Cojo:</t>
        </r>
        <r>
          <rPr>
            <sz val="14"/>
            <color rgb="FF000000"/>
            <rFont val="Tahoma"/>
            <family val="2"/>
          </rPr>
          <t xml:space="preserve">
</t>
        </r>
        <r>
          <rPr>
            <sz val="14"/>
            <color rgb="FF000000"/>
            <rFont val="Tahoma"/>
            <family val="2"/>
          </rPr>
          <t>1 Profesional especializado Grado 19 NACHO PROPORCIONAL</t>
        </r>
      </text>
    </comment>
    <comment ref="F30" authorId="0" shapeId="0" xr:uid="{00000000-0006-0000-0500-00009D000000}">
      <text>
        <r>
          <rPr>
            <b/>
            <sz val="9"/>
            <color indexed="81"/>
            <rFont val="Tahoma"/>
            <family val="2"/>
          </rPr>
          <t>(PMA)</t>
        </r>
      </text>
    </comment>
    <comment ref="H30" authorId="0" shapeId="0" xr:uid="{00000000-0006-0000-0500-00009E000000}">
      <text>
        <r>
          <rPr>
            <b/>
            <sz val="9"/>
            <color indexed="81"/>
            <rFont val="Tahoma"/>
            <family val="2"/>
          </rPr>
          <t xml:space="preserve">Nota: </t>
        </r>
        <r>
          <rPr>
            <sz val="9"/>
            <color indexed="81"/>
            <rFont val="Tahoma"/>
            <family val="2"/>
          </rPr>
          <t>Resolución 667. % de avance en la formulación y/o ajuste de los POMCA, PMA, PMM</t>
        </r>
      </text>
    </comment>
    <comment ref="L30" authorId="0" shapeId="0" xr:uid="{00000000-0006-0000-0500-00009F000000}">
      <text>
        <r>
          <rPr>
            <b/>
            <sz val="9"/>
            <color rgb="FF000000"/>
            <rFont val="Tahoma"/>
            <family val="2"/>
          </rPr>
          <t xml:space="preserve">
</t>
        </r>
        <r>
          <rPr>
            <b/>
            <sz val="9"/>
            <color rgb="FF000000"/>
            <rFont val="Tahoma"/>
            <family val="2"/>
          </rPr>
          <t xml:space="preserve">
</t>
        </r>
        <r>
          <rPr>
            <b/>
            <sz val="9"/>
            <color rgb="FF000000"/>
            <rFont val="Tahoma"/>
            <family val="2"/>
          </rPr>
          <t xml:space="preserve">Se recomienda que la meta sean 3 mas.  
</t>
        </r>
        <r>
          <rPr>
            <b/>
            <sz val="9"/>
            <color rgb="FF000000"/>
            <rFont val="Tahoma"/>
            <family val="2"/>
          </rPr>
          <t xml:space="preserve">
</t>
        </r>
        <r>
          <rPr>
            <b/>
            <sz val="9"/>
            <color rgb="FF000000"/>
            <rFont val="Tahoma"/>
            <family val="2"/>
          </rPr>
          <t xml:space="preserve">El indicador se mueve como IMG, es decir en porcentaje de avance de cada plan.
</t>
        </r>
        <r>
          <rPr>
            <b/>
            <sz val="9"/>
            <color rgb="FF000000"/>
            <rFont val="Tahoma"/>
            <family val="2"/>
          </rPr>
          <t xml:space="preserve">
</t>
        </r>
        <r>
          <rPr>
            <b/>
            <sz val="9"/>
            <color rgb="FF000000"/>
            <rFont val="Tahoma"/>
            <family val="2"/>
          </rPr>
          <t xml:space="preserve">Por lo tanto un 100%, de los porcentajes de avance programados para cada año
</t>
        </r>
      </text>
    </comment>
    <comment ref="M30" authorId="1" shapeId="0" xr:uid="{00000000-0006-0000-0500-0000A000000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N30" authorId="1" shapeId="0" xr:uid="{00000000-0006-0000-0500-0000A100000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O30" authorId="1" shapeId="0" xr:uid="{00000000-0006-0000-0500-0000A200000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P30" authorId="1" shapeId="0" xr:uid="{00000000-0006-0000-0500-0000A300000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AG30" authorId="0" shapeId="0" xr:uid="{00000000-0006-0000-0500-0000A4000000}">
      <text>
        <r>
          <rPr>
            <b/>
            <sz val="9"/>
            <color rgb="FF000000"/>
            <rFont val="Tahoma"/>
            <family val="2"/>
          </rPr>
          <t>Los mismos personal ya valorado celda 27</t>
        </r>
        <r>
          <rPr>
            <sz val="9"/>
            <color rgb="FF000000"/>
            <rFont val="Tahoma"/>
            <family val="2"/>
          </rPr>
          <t xml:space="preserve">
</t>
        </r>
      </text>
    </comment>
    <comment ref="F31" authorId="0" shapeId="0" xr:uid="{00000000-0006-0000-0500-0000A5000000}">
      <text>
        <r>
          <rPr>
            <b/>
            <sz val="9"/>
            <color indexed="81"/>
            <rFont val="Tahoma"/>
            <family val="2"/>
          </rPr>
          <t xml:space="preserve"> (PMM)</t>
        </r>
      </text>
    </comment>
    <comment ref="H31" authorId="0" shapeId="0" xr:uid="{00000000-0006-0000-0500-0000A6000000}">
      <text>
        <r>
          <rPr>
            <b/>
            <sz val="9"/>
            <color indexed="81"/>
            <rFont val="Tahoma"/>
            <family val="2"/>
          </rPr>
          <t xml:space="preserve">Nota: </t>
        </r>
        <r>
          <rPr>
            <sz val="9"/>
            <color indexed="81"/>
            <rFont val="Tahoma"/>
            <family val="2"/>
          </rPr>
          <t xml:space="preserve">Resolución 667. % de avance en la formulación y/o ajuste de los POMCA, PMA, PMM
</t>
        </r>
      </text>
    </comment>
    <comment ref="L31" authorId="0" shapeId="0" xr:uid="{00000000-0006-0000-0500-0000A7000000}">
      <text>
        <r>
          <rPr>
            <b/>
            <sz val="9"/>
            <color rgb="FF000000"/>
            <rFont val="Tahoma"/>
            <family val="2"/>
          </rPr>
          <t xml:space="preserve">
</t>
        </r>
        <r>
          <rPr>
            <b/>
            <sz val="9"/>
            <color rgb="FF000000"/>
            <rFont val="Tahoma"/>
            <family val="2"/>
          </rPr>
          <t xml:space="preserve">
</t>
        </r>
        <r>
          <rPr>
            <b/>
            <sz val="9"/>
            <color rgb="FF000000"/>
            <rFont val="Tahoma"/>
            <family val="2"/>
          </rPr>
          <t xml:space="preserve">Se recomienda que se realice 1
</t>
        </r>
        <r>
          <rPr>
            <b/>
            <sz val="9"/>
            <color rgb="FF000000"/>
            <rFont val="Tahoma"/>
            <family val="2"/>
          </rPr>
          <t xml:space="preserve">
</t>
        </r>
        <r>
          <rPr>
            <b/>
            <sz val="9"/>
            <color rgb="FF000000"/>
            <rFont val="Tahoma"/>
            <family val="2"/>
          </rPr>
          <t xml:space="preserve">El indicador se mueve como IMG, es decir en porcentaje de avance de cada plan.
</t>
        </r>
        <r>
          <rPr>
            <b/>
            <sz val="9"/>
            <color rgb="FF000000"/>
            <rFont val="Tahoma"/>
            <family val="2"/>
          </rPr>
          <t xml:space="preserve">
</t>
        </r>
        <r>
          <rPr>
            <b/>
            <sz val="9"/>
            <color rgb="FF000000"/>
            <rFont val="Tahoma"/>
            <family val="2"/>
          </rPr>
          <t>Por lo tanto un 100%, de los porcentajes de avance programados para los dos ultimos años</t>
        </r>
      </text>
    </comment>
    <comment ref="O31" authorId="1" shapeId="0" xr:uid="{00000000-0006-0000-0500-0000A800000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P31" authorId="1" shapeId="0" xr:uid="{00000000-0006-0000-0500-0000A900000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D32" authorId="7" shapeId="0" xr:uid="{00000000-0006-0000-0500-0000AA00000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para el fortalecimiento de las capacidades de los actores para la participación en la planificación del patrimonio hídrico.</t>
        </r>
      </text>
    </comment>
    <comment ref="L32" authorId="0" shapeId="0" xr:uid="{00000000-0006-0000-0500-0000AB000000}">
      <text>
        <r>
          <rPr>
            <b/>
            <sz val="9"/>
            <color rgb="FF000000"/>
            <rFont val="Tahoma"/>
            <family val="2"/>
          </rPr>
          <t>Nota:</t>
        </r>
        <r>
          <rPr>
            <sz val="9"/>
            <color rgb="FF000000"/>
            <rFont val="Tahoma"/>
            <family val="2"/>
          </rPr>
          <t xml:space="preserve"> En el año 2020 se contará con los actores con capacidad de planificación y se mantendrán durante todo el periodo del plan
</t>
        </r>
      </text>
    </comment>
    <comment ref="B33" authorId="0" shapeId="0" xr:uid="{00000000-0006-0000-0500-0000AC000000}">
      <text>
        <r>
          <rPr>
            <b/>
            <sz val="9"/>
            <color indexed="81"/>
            <rFont val="Tahoma"/>
            <family val="2"/>
          </rPr>
          <t xml:space="preserve">Incorporado </t>
        </r>
        <r>
          <rPr>
            <sz val="9"/>
            <color indexed="81"/>
            <rFont val="Tahoma"/>
            <family val="2"/>
          </rPr>
          <t xml:space="preserve">el 2020-02-07
</t>
        </r>
        <r>
          <rPr>
            <b/>
            <sz val="9"/>
            <color indexed="81"/>
            <rFont val="Tahoma"/>
            <family val="2"/>
          </rPr>
          <t>Hasta 2020-03-06:</t>
        </r>
        <r>
          <rPr>
            <sz val="9"/>
            <color indexed="81"/>
            <rFont val="Tahoma"/>
            <family val="2"/>
          </rPr>
          <t xml:space="preserve"> Proyecto 4. Gestionando el uso del agua.</t>
        </r>
      </text>
    </comment>
    <comment ref="D33" authorId="0" shapeId="0" xr:uid="{00000000-0006-0000-0500-0000AD000000}">
      <text>
        <r>
          <rPr>
            <sz val="9"/>
            <color rgb="FF000000"/>
            <rFont val="Tahoma"/>
            <family val="2"/>
          </rPr>
          <t xml:space="preserve">Incluye:
</t>
        </r>
        <r>
          <rPr>
            <sz val="9"/>
            <color rgb="FF000000"/>
            <rFont val="Tahoma"/>
            <family val="2"/>
          </rPr>
          <t xml:space="preserve">* Construcción de plantas de tratamiento de agua potable
</t>
        </r>
        <r>
          <rPr>
            <sz val="9"/>
            <color rgb="FF000000"/>
            <rFont val="Tahoma"/>
            <family val="2"/>
          </rPr>
          <t xml:space="preserve">* Construcción de redes de alcantarillado municipales
</t>
        </r>
        <r>
          <rPr>
            <sz val="9"/>
            <color rgb="FF000000"/>
            <rFont val="Tahoma"/>
            <family val="2"/>
          </rPr>
          <t xml:space="preserve">* Construcción de plantas de tratamiento de aguas residuales
</t>
        </r>
        <r>
          <rPr>
            <sz val="9"/>
            <color rgb="FF000000"/>
            <rFont val="Tahoma"/>
            <family val="2"/>
          </rPr>
          <t>* Implementación de sistemas de manejo de aguas lluvias</t>
        </r>
      </text>
    </comment>
    <comment ref="F33" authorId="0" shapeId="0" xr:uid="{00000000-0006-0000-0500-0000AE000000}">
      <text>
        <r>
          <rPr>
            <sz val="9"/>
            <color indexed="81"/>
            <rFont val="Tahoma"/>
            <family val="2"/>
          </rPr>
          <t>Esta subactividad tiene en consideración el indicador del PND 2018-2022: Plataformas colaborativas conformadas para la articulación de las inversiones y acciones públicas y privadas alrededor de las cuencas hidrográficas.
 – POMCA</t>
        </r>
      </text>
    </comment>
    <comment ref="H33" authorId="1" shapeId="0" xr:uid="{00000000-0006-0000-0500-0000AF000000}">
      <text>
        <r>
          <rPr>
            <b/>
            <sz val="10"/>
            <color rgb="FF000000"/>
            <rFont val="Tahoma"/>
            <family val="2"/>
          </rPr>
          <t>Nota:</t>
        </r>
        <r>
          <rPr>
            <sz val="10"/>
            <color rgb="FF000000"/>
            <rFont val="Tahoma"/>
            <family val="2"/>
          </rPr>
          <t xml:space="preserve"> Resolución 667. % de Planes de Ordenación y Manejo de Cuencas (POMCAS), Planes de Manejo de Acuíferos (PMA) y Planes de Manejo de Microcuencas (PMM) en ejecución.
</t>
        </r>
        <r>
          <rPr>
            <b/>
            <sz val="10"/>
            <color rgb="FF000000"/>
            <rFont val="Tahoma"/>
            <family val="2"/>
          </rPr>
          <t>PND 2018-2022:</t>
        </r>
        <r>
          <rPr>
            <sz val="10"/>
            <color rgb="FF000000"/>
            <rFont val="Tahoma"/>
            <family val="2"/>
          </rPr>
          <t xml:space="preserve"> Plataformas colaborativas conformadas para la articulación de las inversiones y acciones públicas y privadas alrededor de las cuencas hidrográficas
Se elimina la nota: 
Nota: Resolución 667. % de avance en la formulación y/o ajuste de los POMCA, PMA, PMM en ejecución</t>
        </r>
      </text>
    </comment>
    <comment ref="L33" authorId="0" shapeId="0" xr:uid="{00000000-0006-0000-0500-0000B0000000}">
      <text>
        <r>
          <rPr>
            <b/>
            <sz val="9"/>
            <color rgb="FF000000"/>
            <rFont val="Tahoma"/>
            <family val="2"/>
          </rPr>
          <t xml:space="preserve">Ejecutar los 10 POMCA aprobados a la fecha
</t>
        </r>
      </text>
    </comment>
    <comment ref="AG33" authorId="0" shapeId="0" xr:uid="{00000000-0006-0000-0500-0000B1000000}">
      <text>
        <r>
          <rPr>
            <b/>
            <sz val="9"/>
            <color indexed="81"/>
            <rFont val="Tahoma"/>
            <family val="2"/>
          </rPr>
          <t xml:space="preserve">Los mismos personal ya valorado celda 27
</t>
        </r>
        <r>
          <rPr>
            <sz val="9"/>
            <color indexed="81"/>
            <rFont val="Tahoma"/>
            <family val="2"/>
          </rPr>
          <t xml:space="preserve">
</t>
        </r>
      </text>
    </comment>
    <comment ref="F34" authorId="0" shapeId="0" xr:uid="{00000000-0006-0000-0500-0000B2000000}">
      <text>
        <r>
          <rPr>
            <b/>
            <sz val="9"/>
            <color indexed="81"/>
            <rFont val="Tahoma"/>
            <family val="2"/>
          </rPr>
          <t>-PORH</t>
        </r>
      </text>
    </comment>
    <comment ref="H34" authorId="0" shapeId="0" xr:uid="{00000000-0006-0000-0500-0000B3000000}">
      <text>
        <r>
          <rPr>
            <b/>
            <sz val="9"/>
            <color indexed="81"/>
            <rFont val="Tahoma"/>
            <family val="2"/>
          </rPr>
          <t xml:space="preserve"> (PORH)</t>
        </r>
        <r>
          <rPr>
            <sz val="9"/>
            <color indexed="81"/>
            <rFont val="Tahoma"/>
            <family val="2"/>
          </rPr>
          <t xml:space="preserve">
</t>
        </r>
      </text>
    </comment>
    <comment ref="L34" authorId="0" shapeId="0" xr:uid="{00000000-0006-0000-0500-0000B4000000}">
      <text>
        <r>
          <rPr>
            <b/>
            <sz val="9"/>
            <color rgb="FF000000"/>
            <rFont val="Tahoma"/>
            <family val="2"/>
          </rPr>
          <t>Equivale a ejecutar el 100% de los PORH formulados en la Corporación</t>
        </r>
      </text>
    </comment>
    <comment ref="AG34" authorId="0" shapeId="0" xr:uid="{00000000-0006-0000-0500-0000B5000000}">
      <text>
        <r>
          <rPr>
            <b/>
            <sz val="9"/>
            <color indexed="81"/>
            <rFont val="Tahoma"/>
            <family val="2"/>
          </rPr>
          <t>Los mismos personal ya valorado celda 28</t>
        </r>
        <r>
          <rPr>
            <sz val="9"/>
            <color indexed="81"/>
            <rFont val="Tahoma"/>
            <family val="2"/>
          </rPr>
          <t xml:space="preserve">
</t>
        </r>
      </text>
    </comment>
    <comment ref="F35" authorId="0" shapeId="0" xr:uid="{00000000-0006-0000-0500-0000B6000000}">
      <text>
        <r>
          <rPr>
            <b/>
            <sz val="9"/>
            <color indexed="81"/>
            <rFont val="Tahoma"/>
            <family val="2"/>
          </rPr>
          <t>-PMA</t>
        </r>
        <r>
          <rPr>
            <sz val="9"/>
            <color indexed="81"/>
            <rFont val="Tahoma"/>
            <family val="2"/>
          </rPr>
          <t xml:space="preserve">
</t>
        </r>
      </text>
    </comment>
    <comment ref="H35" authorId="0" shapeId="0" xr:uid="{00000000-0006-0000-0500-0000B7000000}">
      <text>
        <r>
          <rPr>
            <b/>
            <sz val="9"/>
            <color indexed="81"/>
            <rFont val="Tahoma"/>
            <family val="2"/>
          </rPr>
          <t xml:space="preserve">Nota: </t>
        </r>
        <r>
          <rPr>
            <sz val="9"/>
            <color indexed="81"/>
            <rFont val="Tahoma"/>
            <family val="2"/>
          </rPr>
          <t>Resolución 667. % de Planes de Ordenación y Manejo de Cuencas (POMCAS), Planes de Manejo de Acuíferos (PMA) y Planes de Manejo de Microcuencas (PMM) en ejecución</t>
        </r>
      </text>
    </comment>
    <comment ref="L35" authorId="0" shapeId="0" xr:uid="{00000000-0006-0000-0500-0000B8000000}">
      <text>
        <r>
          <rPr>
            <b/>
            <sz val="9"/>
            <color rgb="FF000000"/>
            <rFont val="Tahoma"/>
            <family val="2"/>
          </rPr>
          <t>Equivale a ejecutar el 100% de los PMA formulados en la Corporación</t>
        </r>
      </text>
    </comment>
    <comment ref="AG35" authorId="0" shapeId="0" xr:uid="{00000000-0006-0000-0500-0000B9000000}">
      <text>
        <r>
          <rPr>
            <b/>
            <sz val="9"/>
            <color indexed="81"/>
            <rFont val="Tahoma"/>
            <family val="2"/>
          </rPr>
          <t>Los mismos personal ya valorado celda 27</t>
        </r>
        <r>
          <rPr>
            <sz val="9"/>
            <color indexed="81"/>
            <rFont val="Tahoma"/>
            <family val="2"/>
          </rPr>
          <t xml:space="preserve">
</t>
        </r>
      </text>
    </comment>
    <comment ref="H36" authorId="0" shapeId="0" xr:uid="{00000000-0006-0000-0500-0000BA000000}">
      <text>
        <r>
          <rPr>
            <b/>
            <sz val="9"/>
            <color indexed="81"/>
            <rFont val="Tahoma"/>
            <family val="2"/>
          </rPr>
          <t xml:space="preserve">Nota: </t>
        </r>
        <r>
          <rPr>
            <sz val="9"/>
            <color indexed="81"/>
            <rFont val="Tahoma"/>
            <family val="2"/>
          </rPr>
          <t xml:space="preserve">las acciones de reforestación en cuencas abastecedoras se realizaran a través del proyecto 2. Conectando ecosistemas naturales.
</t>
        </r>
      </text>
    </comment>
    <comment ref="AG36" authorId="6" shapeId="0" xr:uid="{00000000-0006-0000-0500-0000BB000000}">
      <text>
        <r>
          <rPr>
            <b/>
            <sz val="14"/>
            <color indexed="81"/>
            <rFont val="Tahoma"/>
            <family val="2"/>
          </rPr>
          <t>Jhoanna Paola Restrepo Cojo:</t>
        </r>
        <r>
          <rPr>
            <sz val="14"/>
            <color indexed="81"/>
            <rFont val="Tahoma"/>
            <family val="2"/>
          </rPr>
          <t xml:space="preserve">
1 Tecnico operativo Grado 16 NORMA
1 Prestación servicios por 11 meses JUAN DA
</t>
        </r>
      </text>
    </comment>
    <comment ref="D37" authorId="7" shapeId="0" xr:uid="{00000000-0006-0000-0500-0000BC00000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la apropiación social y gestión corresponsable del patrimonio hídrico</t>
        </r>
      </text>
    </comment>
    <comment ref="F37" authorId="7" shapeId="0" xr:uid="{00000000-0006-0000-0500-0000BD00000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la apropiación social y gestión corresponsable del patrimonio hídrico</t>
        </r>
      </text>
    </comment>
    <comment ref="H37" authorId="7" shapeId="0" xr:uid="{00000000-0006-0000-0500-0000BE00000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con apropiación social y gestión corresponsable del patrimonio hídrico</t>
        </r>
      </text>
    </comment>
    <comment ref="L37" authorId="7" shapeId="0" xr:uid="{00000000-0006-0000-0500-0000BF000000}">
      <text>
        <r>
          <rPr>
            <b/>
            <sz val="10"/>
            <color rgb="FF000000"/>
            <rFont val="Tahoma"/>
            <family val="2"/>
          </rPr>
          <t xml:space="preserve">22_03_2020
</t>
        </r>
        <r>
          <rPr>
            <b/>
            <sz val="10"/>
            <color rgb="FF000000"/>
            <rFont val="Tahoma"/>
            <family val="2"/>
          </rPr>
          <t xml:space="preserve">
</t>
        </r>
        <r>
          <rPr>
            <sz val="10"/>
            <color rgb="FF000000"/>
            <rFont val="Tahoma"/>
            <family val="2"/>
          </rPr>
          <t>4</t>
        </r>
      </text>
    </comment>
    <comment ref="H38" authorId="3" shapeId="0" xr:uid="{00000000-0006-0000-0500-0000C0000000}">
      <text>
        <r>
          <rPr>
            <b/>
            <sz val="9"/>
            <color rgb="FF000000"/>
            <rFont val="Tahoma"/>
            <family val="2"/>
          </rPr>
          <t xml:space="preserve">Revisar si se concreta más el indicador como por ejemplo sistemas de tratamiento de agua potable implementados en comunidades étnicas.
</t>
        </r>
        <r>
          <rPr>
            <b/>
            <sz val="9"/>
            <color rgb="FF000000"/>
            <rFont val="Tahoma"/>
            <family val="2"/>
          </rPr>
          <t xml:space="preserve">
</t>
        </r>
        <r>
          <rPr>
            <b/>
            <sz val="9"/>
            <color rgb="FF000000"/>
            <rFont val="Tahoma"/>
            <family val="2"/>
          </rPr>
          <t>Antes:</t>
        </r>
        <r>
          <rPr>
            <sz val="9"/>
            <color rgb="FF000000"/>
            <rFont val="Tahoma"/>
            <family val="2"/>
          </rPr>
          <t xml:space="preserve"> Acceso agua potable en asentamientos étnicos (%)
</t>
        </r>
      </text>
    </comment>
    <comment ref="AG39" authorId="6" shapeId="0" xr:uid="{00000000-0006-0000-0500-0000C1000000}">
      <text>
        <r>
          <rPr>
            <b/>
            <sz val="14"/>
            <color rgb="FF000000"/>
            <rFont val="Tahoma"/>
            <family val="2"/>
          </rPr>
          <t>Jhoanna Paola Restrepo Cojo:</t>
        </r>
        <r>
          <rPr>
            <sz val="14"/>
            <color rgb="FF000000"/>
            <rFont val="Tahoma"/>
            <family val="2"/>
          </rPr>
          <t xml:space="preserve">
</t>
        </r>
        <r>
          <rPr>
            <sz val="14"/>
            <color rgb="FF000000"/>
            <rFont val="Tahoma"/>
            <family val="2"/>
          </rPr>
          <t xml:space="preserve">1 Profesional Universitario Grado 11  - SANDRA 
</t>
        </r>
        <r>
          <rPr>
            <sz val="14"/>
            <color rgb="FF000000"/>
            <rFont val="Tahoma"/>
            <family val="2"/>
          </rPr>
          <t xml:space="preserve">
</t>
        </r>
        <r>
          <rPr>
            <sz val="14"/>
            <color rgb="FF000000"/>
            <rFont val="Tahoma"/>
            <family val="2"/>
          </rPr>
          <t>1 Profesional especializado Grado 19 NACHO PROPORCIONAL</t>
        </r>
      </text>
    </comment>
    <comment ref="AG40" authorId="6" shapeId="0" xr:uid="{00000000-0006-0000-0500-0000C2000000}">
      <text>
        <r>
          <rPr>
            <b/>
            <sz val="14"/>
            <color indexed="81"/>
            <rFont val="Tahoma"/>
            <family val="2"/>
          </rPr>
          <t>Jhoanna Paola Restrepo Cojo:</t>
        </r>
        <r>
          <rPr>
            <sz val="14"/>
            <color indexed="81"/>
            <rFont val="Tahoma"/>
            <family val="2"/>
          </rPr>
          <t xml:space="preserve">
1 Profesional Universitario Grado 11  - 
MARTHA
1 Profesional especializado Grado 17 PILAR</t>
        </r>
      </text>
    </comment>
    <comment ref="D41" authorId="3" shapeId="0" xr:uid="{00000000-0006-0000-0500-0000C3000000}">
      <text>
        <r>
          <rPr>
            <b/>
            <sz val="9"/>
            <color rgb="FF000000"/>
            <rFont val="Tahoma"/>
            <family val="2"/>
          </rPr>
          <t>Calidad y cantidad</t>
        </r>
        <r>
          <rPr>
            <sz val="9"/>
            <color rgb="FF000000"/>
            <rFont val="Tahoma"/>
            <family val="2"/>
          </rPr>
          <t xml:space="preserve">
</t>
        </r>
      </text>
    </comment>
    <comment ref="L41" authorId="3" shapeId="0" xr:uid="{00000000-0006-0000-0500-0000C4000000}">
      <text>
        <r>
          <rPr>
            <b/>
            <sz val="9"/>
            <color rgb="FF000000"/>
            <rFont val="Tahoma"/>
            <family val="2"/>
          </rPr>
          <t>PGAR:</t>
        </r>
        <r>
          <rPr>
            <sz val="9"/>
            <color rgb="FF000000"/>
            <rFont val="Tahoma"/>
            <family val="2"/>
          </rPr>
          <t xml:space="preserve"> &gt;90%. (122 estaciones operativas/136 estaciones (PGAR)
</t>
        </r>
        <r>
          <rPr>
            <b/>
            <sz val="9"/>
            <color rgb="FF000000"/>
            <rFont val="Tahoma"/>
            <family val="2"/>
          </rPr>
          <t xml:space="preserve">Línea base: </t>
        </r>
        <r>
          <rPr>
            <sz val="9"/>
            <color rgb="FF000000"/>
            <rFont val="Tahoma"/>
            <family val="2"/>
          </rPr>
          <t xml:space="preserve">132 redes hidrometeorológicas en operación de 139 instaladas
</t>
        </r>
        <r>
          <rPr>
            <sz val="9"/>
            <color rgb="FF000000"/>
            <rFont val="Tahoma"/>
            <family val="2"/>
          </rPr>
          <t>2 redes de aire en funcionamiento con representatividad de los datos.</t>
        </r>
      </text>
    </comment>
    <comment ref="AG41" authorId="6" shapeId="0" xr:uid="{00000000-0006-0000-0500-0000C5000000}">
      <text>
        <r>
          <rPr>
            <b/>
            <sz val="14"/>
            <color rgb="FF000000"/>
            <rFont val="Tahoma"/>
            <family val="2"/>
          </rPr>
          <t>Jhoanna Paola Restrepo Cojo:</t>
        </r>
        <r>
          <rPr>
            <sz val="14"/>
            <color rgb="FF000000"/>
            <rFont val="Tahoma"/>
            <family val="2"/>
          </rPr>
          <t xml:space="preserve">
</t>
        </r>
        <r>
          <rPr>
            <sz val="14"/>
            <color rgb="FF000000"/>
            <rFont val="Tahoma"/>
            <family val="2"/>
          </rPr>
          <t xml:space="preserve">1 Profesional Especializado Grado 19 - ANDREA
</t>
        </r>
        <r>
          <rPr>
            <sz val="14"/>
            <color rgb="FF000000"/>
            <rFont val="Tahoma"/>
            <family val="2"/>
          </rPr>
          <t xml:space="preserve">2 Profesional Universitario Grado 11 - SEBAS M, ESTEBAN
</t>
        </r>
        <r>
          <rPr>
            <sz val="14"/>
            <color rgb="FF000000"/>
            <rFont val="Tahoma"/>
            <family val="2"/>
          </rPr>
          <t xml:space="preserve">1 Profesional Universitario Grado 11 - MARINA
</t>
        </r>
        <r>
          <rPr>
            <sz val="14"/>
            <color rgb="FF000000"/>
            <rFont val="Tahoma"/>
            <family val="2"/>
          </rPr>
          <t xml:space="preserve">1 Tecnico operativo Grado 16 - FELIPE N
</t>
        </r>
        <r>
          <rPr>
            <sz val="14"/>
            <color rgb="FF000000"/>
            <rFont val="Tahoma"/>
            <family val="2"/>
          </rPr>
          <t xml:space="preserve">3 Prestaciones de servicio por 11 meses c/u - SEBASTIAN CARLOS, LAURA
</t>
        </r>
        <r>
          <rPr>
            <sz val="14"/>
            <color rgb="FF000000"/>
            <rFont val="Tahoma"/>
            <family val="2"/>
          </rPr>
          <t xml:space="preserve">
</t>
        </r>
        <r>
          <rPr>
            <sz val="14"/>
            <color rgb="FF000000"/>
            <rFont val="Tahoma"/>
            <family val="2"/>
          </rPr>
          <t xml:space="preserve">Aqui esta personal administrativo, ya que entendemos esta nomina en el plan adquisiicones lo asignado en el 18.1:
</t>
        </r>
        <r>
          <rPr>
            <sz val="14"/>
            <color rgb="FF000000"/>
            <rFont val="Tahoma"/>
            <family val="2"/>
          </rPr>
          <t xml:space="preserve">1 Jefe
</t>
        </r>
        <r>
          <rPr>
            <sz val="14"/>
            <color rgb="FF000000"/>
            <rFont val="Tahoma"/>
            <family val="2"/>
          </rPr>
          <t xml:space="preserve">1 Auxiliar Administrativo
</t>
        </r>
        <r>
          <rPr>
            <sz val="14"/>
            <color rgb="FF000000"/>
            <rFont val="Tahoma"/>
            <family val="2"/>
          </rPr>
          <t>1 Secretario</t>
        </r>
      </text>
    </comment>
    <comment ref="F42" authorId="0" shapeId="0" xr:uid="{00000000-0006-0000-0500-0000C6000000}">
      <text>
        <r>
          <rPr>
            <b/>
            <sz val="9"/>
            <color indexed="81"/>
            <rFont val="Tahoma"/>
            <family val="2"/>
          </rPr>
          <t>(PSMV)</t>
        </r>
        <r>
          <rPr>
            <sz val="9"/>
            <color indexed="81"/>
            <rFont val="Tahoma"/>
            <family val="2"/>
          </rPr>
          <t xml:space="preserve">
</t>
        </r>
      </text>
    </comment>
    <comment ref="H42" authorId="0" shapeId="0" xr:uid="{00000000-0006-0000-0500-0000C7000000}">
      <text>
        <r>
          <rPr>
            <b/>
            <sz val="9"/>
            <color indexed="81"/>
            <rFont val="Tahoma"/>
            <family val="2"/>
          </rPr>
          <t>(PSMV)</t>
        </r>
      </text>
    </comment>
    <comment ref="L42" authorId="3" shapeId="0" xr:uid="{00000000-0006-0000-0500-0000C8000000}">
      <text>
        <r>
          <rPr>
            <b/>
            <sz val="9"/>
            <color rgb="FF000000"/>
            <rFont val="Tahoma"/>
            <family val="2"/>
          </rPr>
          <t>Línea base:</t>
        </r>
        <r>
          <rPr>
            <sz val="9"/>
            <color rgb="FF000000"/>
            <rFont val="Tahoma"/>
            <family val="2"/>
          </rPr>
          <t xml:space="preserve"> 70 PSMV con seguimiento de 70 programados
</t>
        </r>
      </text>
    </comment>
    <comment ref="F43" authorId="0" shapeId="0" xr:uid="{00000000-0006-0000-0500-0000C9000000}">
      <text>
        <r>
          <rPr>
            <b/>
            <sz val="9"/>
            <color indexed="81"/>
            <rFont val="Tahoma"/>
            <family val="2"/>
          </rPr>
          <t xml:space="preserve"> (PUEAA)</t>
        </r>
        <r>
          <rPr>
            <sz val="9"/>
            <color indexed="81"/>
            <rFont val="Tahoma"/>
            <family val="2"/>
          </rPr>
          <t xml:space="preserve">
</t>
        </r>
      </text>
    </comment>
    <comment ref="H43" authorId="0" shapeId="0" xr:uid="{00000000-0006-0000-0500-0000CA000000}">
      <text>
        <r>
          <rPr>
            <b/>
            <sz val="9"/>
            <color indexed="81"/>
            <rFont val="Tahoma"/>
            <family val="2"/>
          </rPr>
          <t xml:space="preserve"> (PUEAA) </t>
        </r>
        <r>
          <rPr>
            <sz val="9"/>
            <color indexed="81"/>
            <rFont val="Tahoma"/>
            <family val="2"/>
          </rPr>
          <t xml:space="preserve">
</t>
        </r>
      </text>
    </comment>
    <comment ref="L43" authorId="3" shapeId="0" xr:uid="{00000000-0006-0000-0500-0000CB000000}">
      <text>
        <r>
          <rPr>
            <b/>
            <sz val="9"/>
            <color rgb="FF000000"/>
            <rFont val="Tahoma"/>
            <family val="2"/>
          </rPr>
          <t>Línea base:</t>
        </r>
        <r>
          <rPr>
            <sz val="9"/>
            <color rgb="FF000000"/>
            <rFont val="Tahoma"/>
            <family val="2"/>
          </rPr>
          <t xml:space="preserve"> 115 PUEAA con seguimiento de 115 programados</t>
        </r>
      </text>
    </comment>
    <comment ref="B44" authorId="3" shapeId="0" xr:uid="{00000000-0006-0000-0500-0000CC000000}">
      <text>
        <r>
          <rPr>
            <b/>
            <sz val="9"/>
            <color indexed="81"/>
            <rFont val="Tahoma"/>
            <family val="2"/>
          </rPr>
          <t xml:space="preserve">2020-02-14: </t>
        </r>
        <r>
          <rPr>
            <sz val="9"/>
            <color indexed="81"/>
            <rFont val="Tahoma"/>
            <family val="2"/>
          </rPr>
          <t xml:space="preserve">Fortalecimiento y articulación de los instrumentos de planificación 
</t>
        </r>
        <r>
          <rPr>
            <b/>
            <sz val="9"/>
            <color indexed="81"/>
            <rFont val="Tahoma"/>
            <family val="2"/>
          </rPr>
          <t>Hasta 2020-03-06:</t>
        </r>
        <r>
          <rPr>
            <sz val="9"/>
            <color indexed="81"/>
            <rFont val="Tahoma"/>
            <family val="2"/>
          </rPr>
          <t xml:space="preserve"> Proyecto 5.  Planificando nuestro territorio</t>
        </r>
      </text>
    </comment>
    <comment ref="K44" authorId="1" shapeId="0" xr:uid="{00000000-0006-0000-0500-0000CD000000}">
      <text>
        <r>
          <rPr>
            <b/>
            <sz val="10"/>
            <color rgb="FF000000"/>
            <rFont val="Tahoma"/>
            <family val="2"/>
          </rPr>
          <t>Se trata de un nuevo modelo por lo tanto no se tiene línea base.</t>
        </r>
        <r>
          <rPr>
            <sz val="10"/>
            <color rgb="FF000000"/>
            <rFont val="Tahoma"/>
            <family val="2"/>
          </rPr>
          <t xml:space="preserve">
</t>
        </r>
      </text>
    </comment>
    <comment ref="L44" authorId="0" shapeId="0" xr:uid="{00000000-0006-0000-0500-0000CE000000}">
      <text>
        <r>
          <rPr>
            <b/>
            <sz val="9"/>
            <color rgb="FF000000"/>
            <rFont val="Tahoma"/>
            <family val="2"/>
          </rPr>
          <t>Recomendación: Hacer mínimo dos por territorial</t>
        </r>
        <r>
          <rPr>
            <sz val="9"/>
            <color rgb="FF000000"/>
            <rFont val="Tahoma"/>
            <family val="2"/>
          </rPr>
          <t xml:space="preserve">
</t>
        </r>
      </text>
    </comment>
    <comment ref="B45" authorId="3" shapeId="0" xr:uid="{00000000-0006-0000-0500-0000CF000000}">
      <text>
        <r>
          <rPr>
            <b/>
            <sz val="9"/>
            <color indexed="81"/>
            <rFont val="Tahoma"/>
            <family val="2"/>
          </rPr>
          <t xml:space="preserve">2020-02-14: </t>
        </r>
        <r>
          <rPr>
            <sz val="9"/>
            <color indexed="81"/>
            <rFont val="Tahoma"/>
            <family val="2"/>
          </rPr>
          <t xml:space="preserve">Fortalecimiento y articulación de los instrumentos de planificación 
</t>
        </r>
        <r>
          <rPr>
            <b/>
            <sz val="9"/>
            <color indexed="81"/>
            <rFont val="Tahoma"/>
            <family val="2"/>
          </rPr>
          <t>Hasta 2020-03-06:</t>
        </r>
        <r>
          <rPr>
            <sz val="9"/>
            <color indexed="81"/>
            <rFont val="Tahoma"/>
            <family val="2"/>
          </rPr>
          <t xml:space="preserve"> Proyecto 5.  Planificando nuestro territorio</t>
        </r>
      </text>
    </comment>
    <comment ref="H45" authorId="3" shapeId="0" xr:uid="{00000000-0006-0000-0500-0000D0000000}">
      <text>
        <r>
          <rPr>
            <b/>
            <sz val="9"/>
            <color rgb="FF000000"/>
            <rFont val="Tahoma"/>
            <family val="2"/>
          </rPr>
          <t>2020-03-09:</t>
        </r>
        <r>
          <rPr>
            <sz val="9"/>
            <color rgb="FF000000"/>
            <rFont val="Tahoma"/>
            <family val="2"/>
          </rPr>
          <t xml:space="preserve"> En reuniones con expertos técnicos se sugirió llevarlo al proyecto Planificando nuestro territorio, se mantiene en este proyecto de conformidad con el Decreto 2245 y la Guía técnica de rondas hídricas.
</t>
        </r>
      </text>
    </comment>
    <comment ref="T45" authorId="0" shapeId="0" xr:uid="{00000000-0006-0000-0500-0000D1000000}">
      <text>
        <r>
          <rPr>
            <b/>
            <sz val="9"/>
            <color rgb="FF000000"/>
            <rFont val="Tahoma"/>
            <family val="2"/>
          </rPr>
          <t>Subdirección de Planeación, Subdirección de Ecosistemas</t>
        </r>
      </text>
    </comment>
    <comment ref="AG45" authorId="0" shapeId="0" xr:uid="{00000000-0006-0000-0500-0000D2000000}">
      <text>
        <r>
          <rPr>
            <b/>
            <sz val="9"/>
            <color indexed="81"/>
            <rFont val="Tahoma"/>
            <family val="2"/>
          </rPr>
          <t>Los mismos personal ya valorado celda 28</t>
        </r>
        <r>
          <rPr>
            <sz val="9"/>
            <color indexed="81"/>
            <rFont val="Tahoma"/>
            <family val="2"/>
          </rPr>
          <t xml:space="preserve">
</t>
        </r>
      </text>
    </comment>
    <comment ref="B46" authorId="3" shapeId="0" xr:uid="{00000000-0006-0000-0500-0000D3000000}">
      <text>
        <r>
          <rPr>
            <b/>
            <sz val="9"/>
            <color indexed="81"/>
            <rFont val="Tahoma"/>
            <family val="2"/>
          </rPr>
          <t xml:space="preserve">2020-02-14: </t>
        </r>
        <r>
          <rPr>
            <sz val="9"/>
            <color indexed="81"/>
            <rFont val="Tahoma"/>
            <family val="2"/>
          </rPr>
          <t xml:space="preserve">Fortalecimiento y articulación de los instrumentos de planificación 
</t>
        </r>
        <r>
          <rPr>
            <b/>
            <sz val="9"/>
            <color indexed="81"/>
            <rFont val="Tahoma"/>
            <family val="2"/>
          </rPr>
          <t>Hasta 2020-03-06:</t>
        </r>
        <r>
          <rPr>
            <sz val="9"/>
            <color indexed="81"/>
            <rFont val="Tahoma"/>
            <family val="2"/>
          </rPr>
          <t xml:space="preserve"> Proyecto 5.  Planificando nuestro territorio</t>
        </r>
      </text>
    </comment>
    <comment ref="D46" authorId="7" shapeId="0" xr:uid="{00000000-0006-0000-0500-0000D400000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la apropiación de la gestión del conocimiento social, y  la planificación ambiental del territorio para que los actores incidan en las decisiones de los usos del suelo y generen acciones corresponsables.</t>
        </r>
      </text>
    </comment>
    <comment ref="F46" authorId="7" shapeId="0" xr:uid="{00000000-0006-0000-0500-0000D500000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la apropiación de la gestión del conocimiento social, y  la planificación ambiental del territorio para que los actores incidan en las decisiones de los usos del suelo y generen acciones corresponsables.</t>
        </r>
      </text>
    </comment>
    <comment ref="L46" authorId="7" shapeId="0" xr:uid="{00000000-0006-0000-0500-0000D6000000}">
      <text>
        <r>
          <rPr>
            <b/>
            <sz val="10"/>
            <color rgb="FF000000"/>
            <rFont val="Tahoma"/>
            <family val="2"/>
          </rPr>
          <t xml:space="preserve">22_03_2020
</t>
        </r>
        <r>
          <rPr>
            <b/>
            <sz val="10"/>
            <color rgb="FF000000"/>
            <rFont val="Tahoma"/>
            <family val="2"/>
          </rPr>
          <t xml:space="preserve">
</t>
        </r>
        <r>
          <rPr>
            <b/>
            <sz val="10"/>
            <color rgb="FF000000"/>
            <rFont val="Tahoma"/>
            <family val="2"/>
          </rPr>
          <t xml:space="preserve">2020-2023: 4
</t>
        </r>
        <r>
          <rPr>
            <b/>
            <sz val="10"/>
            <color rgb="FF000000"/>
            <rFont val="Tahoma"/>
            <family val="2"/>
          </rPr>
          <t xml:space="preserve">
</t>
        </r>
        <r>
          <rPr>
            <b/>
            <sz val="10"/>
            <color rgb="FF000000"/>
            <rFont val="Tahoma"/>
            <family val="2"/>
          </rPr>
          <t xml:space="preserve">0
</t>
        </r>
        <r>
          <rPr>
            <b/>
            <sz val="10"/>
            <color rgb="FF000000"/>
            <rFont val="Tahoma"/>
            <family val="2"/>
          </rPr>
          <t xml:space="preserve">1
</t>
        </r>
        <r>
          <rPr>
            <b/>
            <sz val="10"/>
            <color rgb="FF000000"/>
            <rFont val="Tahoma"/>
            <family val="2"/>
          </rPr>
          <t xml:space="preserve">2
</t>
        </r>
        <r>
          <rPr>
            <b/>
            <sz val="10"/>
            <color rgb="FF000000"/>
            <rFont val="Tahoma"/>
            <family val="2"/>
          </rPr>
          <t>4</t>
        </r>
      </text>
    </comment>
    <comment ref="AD46" authorId="0" shapeId="0" xr:uid="{00000000-0006-0000-0500-0000D7000000}">
      <text>
        <r>
          <rPr>
            <b/>
            <sz val="9"/>
            <color rgb="FF000000"/>
            <rFont val="Tahoma"/>
            <family val="2"/>
          </rPr>
          <t>Por parte de Planeación:</t>
        </r>
        <r>
          <rPr>
            <sz val="9"/>
            <color rgb="FF000000"/>
            <rFont val="Tahoma"/>
            <family val="2"/>
          </rPr>
          <t xml:space="preserve"> Esta estrategia será definida e implementada desde la Subdirección de Cultura Ambiental, con personal de planta de la Corporación, con el fin de dejar capacidad instalada en los funcionarios y se coordinará con la Subdirección de Planeación, por lo tanto no requiere recursos para contratación de personal.
</t>
        </r>
      </text>
    </comment>
    <comment ref="B47" authorId="3" shapeId="0" xr:uid="{00000000-0006-0000-0500-0000D8000000}">
      <text>
        <r>
          <rPr>
            <b/>
            <sz val="9"/>
            <color indexed="81"/>
            <rFont val="Tahoma"/>
            <family val="2"/>
          </rPr>
          <t xml:space="preserve">2020-02-14: </t>
        </r>
        <r>
          <rPr>
            <sz val="9"/>
            <color indexed="81"/>
            <rFont val="Tahoma"/>
            <family val="2"/>
          </rPr>
          <t xml:space="preserve">Fortalecimiento y articulación de los instrumentos de planificación 
</t>
        </r>
        <r>
          <rPr>
            <b/>
            <sz val="9"/>
            <color indexed="81"/>
            <rFont val="Tahoma"/>
            <family val="2"/>
          </rPr>
          <t>Hasta 2020-03-06:</t>
        </r>
        <r>
          <rPr>
            <sz val="9"/>
            <color indexed="81"/>
            <rFont val="Tahoma"/>
            <family val="2"/>
          </rPr>
          <t xml:space="preserve"> Proyecto 5.  Planificando nuestro territorio</t>
        </r>
      </text>
    </comment>
    <comment ref="D47" authorId="3" shapeId="0" xr:uid="{00000000-0006-0000-0500-0000D9000000}">
      <text>
        <r>
          <rPr>
            <sz val="9"/>
            <color rgb="FF000000"/>
            <rFont val="Tahoma"/>
            <family val="2"/>
          </rPr>
          <t xml:space="preserve">Incluye:
</t>
        </r>
        <r>
          <rPr>
            <sz val="9"/>
            <color rgb="FF000000"/>
            <rFont val="Tahoma"/>
            <family val="2"/>
          </rPr>
          <t xml:space="preserve">Definir línea base de:
</t>
        </r>
        <r>
          <rPr>
            <sz val="9"/>
            <color rgb="FF000000"/>
            <rFont val="Tahoma"/>
            <family val="2"/>
          </rPr>
          <t xml:space="preserve">- Municipios priorizados con modelos de ocupación que contienen el escenario de sostenibilidad,
</t>
        </r>
        <r>
          <rPr>
            <sz val="9"/>
            <color rgb="FF000000"/>
            <rFont val="Tahoma"/>
            <family val="2"/>
          </rPr>
          <t xml:space="preserve">- Planes de desarrollo que incorporan decisiones de planeación territorial de los municipios fundamentados en los POT actualizados y en las determinantes ambientales adoptadas a la fecha.
</t>
        </r>
        <r>
          <rPr>
            <sz val="9"/>
            <color rgb="FF000000"/>
            <rFont val="Tahoma"/>
            <family val="2"/>
          </rPr>
          <t xml:space="preserve">- Esquemas asociativos municipales conformados que aportan a la protección del patrimonio natural
</t>
        </r>
        <r>
          <rPr>
            <sz val="9"/>
            <color rgb="FF000000"/>
            <rFont val="Tahoma"/>
            <family val="2"/>
          </rPr>
          <t xml:space="preserve">- Instrumentos de Planificación Ambiental presentes en el territorio armonizados y orientados a una gestión articulada con las demás autoridades ambientales hacia la sostenibilidad ambiental del territorio.
</t>
        </r>
        <r>
          <rPr>
            <sz val="9"/>
            <color rgb="FF000000"/>
            <rFont val="Tahoma"/>
            <family val="2"/>
          </rPr>
          <t xml:space="preserve">- Armonizar los componentes programáticos de los diferentes planes institucionales en la jurisdicción
</t>
        </r>
      </text>
    </comment>
    <comment ref="F47" authorId="3" shapeId="0" xr:uid="{00000000-0006-0000-0500-0000DA000000}">
      <text>
        <r>
          <rPr>
            <sz val="9"/>
            <color rgb="FF000000"/>
            <rFont val="Tahoma"/>
            <family val="2"/>
          </rPr>
          <t xml:space="preserve">Incluye:
</t>
        </r>
        <r>
          <rPr>
            <sz val="9"/>
            <color rgb="FF000000"/>
            <rFont val="Tahoma"/>
            <family val="2"/>
          </rPr>
          <t xml:space="preserve">Definir línea base de:
</t>
        </r>
        <r>
          <rPr>
            <sz val="9"/>
            <color rgb="FF000000"/>
            <rFont val="Tahoma"/>
            <family val="2"/>
          </rPr>
          <t xml:space="preserve">- Municipios priorizados con modelos de ocupación que contienen el escenario de sostenibilidad,
</t>
        </r>
        <r>
          <rPr>
            <sz val="9"/>
            <color rgb="FF000000"/>
            <rFont val="Tahoma"/>
            <family val="2"/>
          </rPr>
          <t xml:space="preserve">- Planes de desarrollo que incorporan decisiones de planeación territorial de los municipios fundamentados en los POT actualizados y en las determinantes ambientales adoptadas a la fecha.
</t>
        </r>
        <r>
          <rPr>
            <sz val="9"/>
            <color rgb="FF000000"/>
            <rFont val="Tahoma"/>
            <family val="2"/>
          </rPr>
          <t xml:space="preserve">- Esquemas asociativos municipales conformados que aportan a la protección del patrimonio natural
</t>
        </r>
        <r>
          <rPr>
            <sz val="9"/>
            <color rgb="FF000000"/>
            <rFont val="Tahoma"/>
            <family val="2"/>
          </rPr>
          <t xml:space="preserve">- Instrumentos de Planificación Ambiental presentes en el territorio armonizados y orientados a una gestión articulada con las demás autoridades ambientales hacia la sostenibilidad ambiental del territorio.
</t>
        </r>
        <r>
          <rPr>
            <sz val="9"/>
            <color rgb="FF000000"/>
            <rFont val="Tahoma"/>
            <family val="2"/>
          </rPr>
          <t xml:space="preserve">- Armonizar los componentes programáticos de los diferentes planes institucionales en la jurisdicción
</t>
        </r>
      </text>
    </comment>
    <comment ref="K47" authorId="1" shapeId="0" xr:uid="{00000000-0006-0000-0500-0000DC000000}">
      <text>
        <r>
          <rPr>
            <b/>
            <sz val="10"/>
            <color rgb="FF000000"/>
            <rFont val="Tahoma"/>
            <family val="2"/>
          </rPr>
          <t>Se trata de un nuevo modelo por lo tanto no se tiene línea base.</t>
        </r>
        <r>
          <rPr>
            <sz val="10"/>
            <color rgb="FF000000"/>
            <rFont val="Tahoma"/>
            <family val="2"/>
          </rPr>
          <t xml:space="preserve">
</t>
        </r>
      </text>
    </comment>
    <comment ref="L47" authorId="0" shapeId="0" xr:uid="{00000000-0006-0000-0500-0000DD000000}">
      <text>
        <r>
          <rPr>
            <b/>
            <sz val="9"/>
            <color rgb="FF000000"/>
            <rFont val="Tahoma"/>
            <family val="2"/>
          </rPr>
          <t>Recomendación: Hacer mínimo dos por territorial</t>
        </r>
        <r>
          <rPr>
            <sz val="9"/>
            <color rgb="FF000000"/>
            <rFont val="Tahoma"/>
            <family val="2"/>
          </rPr>
          <t xml:space="preserve">
</t>
        </r>
      </text>
    </comment>
    <comment ref="N47" authorId="3" shapeId="0" xr:uid="{00000000-0006-0000-0500-0000DE000000}">
      <text>
        <r>
          <rPr>
            <b/>
            <sz val="9"/>
            <color indexed="81"/>
            <rFont val="Tahoma"/>
            <family val="2"/>
          </rPr>
          <t>Se priorizarán aquellos Municipios que no han revisado su POT</t>
        </r>
      </text>
    </comment>
    <comment ref="F48" authorId="0" shapeId="0" xr:uid="{00000000-0006-0000-0500-0000DF000000}">
      <text>
        <r>
          <rPr>
            <b/>
            <sz val="9"/>
            <color indexed="81"/>
            <rFont val="Tahoma"/>
            <family val="2"/>
          </rPr>
          <t xml:space="preserve"> a partir de la formulación y ejecución de planes de acción ambiental de orden regional o provincial que contienen el escenario de sostenibilidad, protegen su patrimonio ecológico regional y aportan a la consolidación del escenario de sostenibilidad</t>
        </r>
        <r>
          <rPr>
            <sz val="9"/>
            <color indexed="81"/>
            <rFont val="Tahoma"/>
            <family val="2"/>
          </rPr>
          <t xml:space="preserve">
</t>
        </r>
      </text>
    </comment>
    <comment ref="K48" authorId="0" shapeId="0" xr:uid="{00000000-0006-0000-0500-0000E0000000}">
      <text>
        <r>
          <rPr>
            <b/>
            <sz val="9"/>
            <color indexed="81"/>
            <rFont val="Tahoma"/>
            <family val="2"/>
          </rPr>
          <t>Es nuevo el indicador</t>
        </r>
      </text>
    </comment>
    <comment ref="L48" authorId="0" shapeId="0" xr:uid="{00000000-0006-0000-0500-0000E1000000}">
      <text>
        <r>
          <rPr>
            <b/>
            <sz val="9"/>
            <color rgb="FF000000"/>
            <rFont val="Tahoma"/>
            <family val="2"/>
          </rPr>
          <t>El 100% de las constituidas</t>
        </r>
      </text>
    </comment>
    <comment ref="P48" authorId="0" shapeId="0" xr:uid="{00000000-0006-0000-0500-0000E2000000}">
      <text>
        <r>
          <rPr>
            <b/>
            <sz val="9"/>
            <color indexed="81"/>
            <rFont val="Tahoma"/>
            <family val="2"/>
          </rPr>
          <t>A la fecha solo está constituido el de Cartama</t>
        </r>
      </text>
    </comment>
    <comment ref="F49" authorId="0" shapeId="0" xr:uid="{00000000-0006-0000-0500-0000E3000000}">
      <text>
        <r>
          <rPr>
            <b/>
            <sz val="9"/>
            <color indexed="81"/>
            <rFont val="Tahoma"/>
            <family val="2"/>
          </rPr>
          <t xml:space="preserve"> y aporten a la consolidación del escenario de sostenibilidad</t>
        </r>
      </text>
    </comment>
    <comment ref="H49" authorId="3" shapeId="0" xr:uid="{00000000-0006-0000-0500-0000E4000000}">
      <text>
        <r>
          <rPr>
            <b/>
            <sz val="9"/>
            <color rgb="FF000000"/>
            <rFont val="Tahoma"/>
            <family val="2"/>
          </rPr>
          <t xml:space="preserve">Nota: </t>
        </r>
        <r>
          <rPr>
            <sz val="9"/>
            <color rgb="FF000000"/>
            <rFont val="Tahoma"/>
            <family val="2"/>
          </rPr>
          <t xml:space="preserve">Resolución 667 de 2016. % de municipios asesorados o asistidos en la incorporación del componente ambiental en los procesos de planificación y ordenamiento territorial, con énfasis en la incorporación de las determinantes ambientales para la revisión y ajuste de los POT.
</t>
        </r>
        <r>
          <rPr>
            <b/>
            <sz val="9"/>
            <color rgb="FF000000"/>
            <rFont val="Tahoma"/>
            <family val="2"/>
          </rPr>
          <t xml:space="preserve">
Indicador corresponde al indicador PGAR:
"Municipios priorizados con modelos de ocupación que contienen el escenario de sostenibilidad, protegen su patrimonio ecológico municipal, integran planificación de grupos étnicos y aportan a la consolidación del escenario de sostenibilidad regional del PGAR (%)"</t>
        </r>
      </text>
    </comment>
    <comment ref="L49" authorId="0" shapeId="0" xr:uid="{00000000-0006-0000-0500-0000E5000000}">
      <text>
        <r>
          <rPr>
            <b/>
            <sz val="9"/>
            <color rgb="FF000000"/>
            <rFont val="Tahoma"/>
            <family val="2"/>
          </rPr>
          <t>Recomendación: Hacer mínimo dos por territorial</t>
        </r>
        <r>
          <rPr>
            <sz val="9"/>
            <color rgb="FF000000"/>
            <rFont val="Tahoma"/>
            <family val="2"/>
          </rPr>
          <t xml:space="preserve">
</t>
        </r>
      </text>
    </comment>
    <comment ref="H51" authorId="3" shapeId="0" xr:uid="{00000000-0006-0000-0500-0000E6000000}">
      <text>
        <r>
          <rPr>
            <b/>
            <sz val="9"/>
            <color rgb="FF000000"/>
            <rFont val="Tahoma"/>
            <family val="2"/>
          </rPr>
          <t>Diseñar un sistema de información que permita hacer seguimiento y monitoreo a los instrumentos de planificación</t>
        </r>
      </text>
    </comment>
    <comment ref="K51" authorId="0" shapeId="0" xr:uid="{00000000-0006-0000-0500-0000E7000000}">
      <text>
        <r>
          <rPr>
            <b/>
            <sz val="9"/>
            <color indexed="81"/>
            <rFont val="Tahoma"/>
            <family val="2"/>
          </rPr>
          <t>Indicador nuevo</t>
        </r>
        <r>
          <rPr>
            <sz val="9"/>
            <color indexed="81"/>
            <rFont val="Tahoma"/>
            <family val="2"/>
          </rPr>
          <t xml:space="preserve">
</t>
        </r>
      </text>
    </comment>
    <comment ref="L51" authorId="3" shapeId="0" xr:uid="{00000000-0006-0000-0500-0000E8000000}">
      <text>
        <r>
          <rPr>
            <b/>
            <sz val="9"/>
            <color indexed="81"/>
            <rFont val="Tahoma"/>
            <family val="2"/>
          </rPr>
          <t xml:space="preserve">Municipios implementados para el año: </t>
        </r>
        <r>
          <rPr>
            <sz val="9"/>
            <color indexed="81"/>
            <rFont val="Tahoma"/>
            <family val="2"/>
          </rPr>
          <t>6</t>
        </r>
      </text>
    </comment>
    <comment ref="M51" authorId="3" shapeId="0" xr:uid="{00000000-0006-0000-0500-0000E9000000}">
      <text>
        <r>
          <rPr>
            <b/>
            <sz val="9"/>
            <color indexed="81"/>
            <rFont val="Tahoma"/>
            <family val="2"/>
          </rPr>
          <t>Definición</t>
        </r>
        <r>
          <rPr>
            <sz val="9"/>
            <color indexed="81"/>
            <rFont val="Tahoma"/>
            <family val="2"/>
          </rPr>
          <t xml:space="preserve">
</t>
        </r>
      </text>
    </comment>
    <comment ref="N51" authorId="3" shapeId="0" xr:uid="{00000000-0006-0000-0500-0000EA000000}">
      <text>
        <r>
          <rPr>
            <b/>
            <sz val="9"/>
            <color rgb="FF000000"/>
            <rFont val="Tahoma"/>
            <family val="2"/>
          </rPr>
          <t xml:space="preserve">Municipios implementados para el año: </t>
        </r>
        <r>
          <rPr>
            <sz val="9"/>
            <color rgb="FF000000"/>
            <rFont val="Tahoma"/>
            <family val="2"/>
          </rPr>
          <t>2</t>
        </r>
      </text>
    </comment>
    <comment ref="O51" authorId="3" shapeId="0" xr:uid="{00000000-0006-0000-0500-0000EB000000}">
      <text>
        <r>
          <rPr>
            <b/>
            <sz val="9"/>
            <color rgb="FF000000"/>
            <rFont val="Tahoma"/>
            <family val="2"/>
          </rPr>
          <t>La implementación de la metodología implica todos los POT concertados (80)</t>
        </r>
        <r>
          <rPr>
            <sz val="9"/>
            <color rgb="FF000000"/>
            <rFont val="Tahoma"/>
            <family val="2"/>
          </rPr>
          <t xml:space="preserve">
Para 2022: otros dos (2), adicionales a los ya establecidos en 2021</t>
        </r>
      </text>
    </comment>
    <comment ref="P51" authorId="3" shapeId="0" xr:uid="{00000000-0006-0000-0500-0000EC000000}">
      <text>
        <r>
          <rPr>
            <b/>
            <sz val="9"/>
            <color rgb="FF000000"/>
            <rFont val="Tahoma"/>
            <family val="2"/>
          </rPr>
          <t>2021:</t>
        </r>
        <r>
          <rPr>
            <sz val="9"/>
            <color rgb="FF000000"/>
            <rFont val="Tahoma"/>
            <family val="2"/>
          </rPr>
          <t xml:space="preserve"> 2
</t>
        </r>
        <r>
          <rPr>
            <sz val="9"/>
            <color rgb="FF000000"/>
            <rFont val="Tahoma"/>
            <family val="2"/>
          </rPr>
          <t xml:space="preserve">2022: 2
</t>
        </r>
        <r>
          <rPr>
            <sz val="9"/>
            <color rgb="FF000000"/>
            <rFont val="Tahoma"/>
            <family val="2"/>
          </rPr>
          <t xml:space="preserve">2023: 2
</t>
        </r>
        <r>
          <rPr>
            <sz val="9"/>
            <color rgb="FF000000"/>
            <rFont val="Tahoma"/>
            <family val="2"/>
          </rPr>
          <t xml:space="preserve">
</t>
        </r>
        <r>
          <rPr>
            <sz val="9"/>
            <color rgb="FF000000"/>
            <rFont val="Tahoma"/>
            <family val="2"/>
          </rPr>
          <t xml:space="preserve">Para un total de 6 municipios
</t>
        </r>
      </text>
    </comment>
    <comment ref="D52" authorId="3" shapeId="0" xr:uid="{00000000-0006-0000-0500-0000ED000000}">
      <text>
        <r>
          <rPr>
            <b/>
            <sz val="9"/>
            <color rgb="FF000000"/>
            <rFont val="Tahoma"/>
            <family val="2"/>
          </rPr>
          <t xml:space="preserve">A partir de los instrumentos de planificación institucionales e instrumentos de planificación ambiental compartidos otras autoridades ambientales </t>
        </r>
        <r>
          <rPr>
            <sz val="9"/>
            <color rgb="FF000000"/>
            <rFont val="Tahoma"/>
            <family val="2"/>
          </rPr>
          <t xml:space="preserve">
</t>
        </r>
      </text>
    </comment>
    <comment ref="F52" authorId="3" shapeId="0" xr:uid="{00000000-0006-0000-0500-0000EE000000}">
      <text>
        <r>
          <rPr>
            <b/>
            <sz val="9"/>
            <color rgb="FF000000"/>
            <rFont val="Tahoma"/>
            <family val="2"/>
          </rPr>
          <t xml:space="preserve">A partir de los instrumentos de planificación institucionales e instrumentos de planificación ambiental compartidos otras autoridades ambientales </t>
        </r>
        <r>
          <rPr>
            <sz val="9"/>
            <color rgb="FF000000"/>
            <rFont val="Tahoma"/>
            <family val="2"/>
          </rPr>
          <t xml:space="preserve">
</t>
        </r>
      </text>
    </comment>
    <comment ref="H52" authorId="0" shapeId="0" xr:uid="{00000000-0006-0000-0500-0000EF000000}">
      <text>
        <r>
          <rPr>
            <b/>
            <sz val="9"/>
            <color indexed="81"/>
            <rFont val="Tahoma"/>
            <family val="2"/>
          </rPr>
          <t xml:space="preserve">Nota: </t>
        </r>
        <r>
          <rPr>
            <sz val="9"/>
            <color indexed="81"/>
            <rFont val="Tahoma"/>
            <family val="2"/>
          </rPr>
          <t>aplica para los instrumentos de planificación de Corantioquia, los cuales pueden ser propios o compartidos (comisiones conjuntas).</t>
        </r>
      </text>
    </comment>
    <comment ref="M52" authorId="3" shapeId="0" xr:uid="{00000000-0006-0000-0500-0000F0000000}">
      <text>
        <r>
          <rPr>
            <b/>
            <sz val="9"/>
            <color indexed="81"/>
            <rFont val="Tahoma"/>
            <family val="2"/>
          </rPr>
          <t>Corresponde a la armonización de los instrumentos de planificación en una territorial: 1/8</t>
        </r>
      </text>
    </comment>
    <comment ref="Z52" authorId="1" shapeId="0" xr:uid="{00000000-0006-0000-0500-0000F1000000}">
      <text>
        <r>
          <rPr>
            <sz val="10"/>
            <color rgb="FF000000"/>
            <rFont val="Tahoma"/>
            <family val="2"/>
          </rPr>
          <t>En este año se considerea la contrtación de un estudio de líneas base para los indicadores del plan. Inicialmente se planeta un recurso de $100.000.000</t>
        </r>
      </text>
    </comment>
    <comment ref="B54" authorId="0" shapeId="0" xr:uid="{00000000-0006-0000-0500-0000F2000000}">
      <text>
        <r>
          <rPr>
            <b/>
            <sz val="9"/>
            <color rgb="FF000000"/>
            <rFont val="Tahoma"/>
            <family val="2"/>
          </rPr>
          <t>Hasta 2020-02-06:</t>
        </r>
        <r>
          <rPr>
            <sz val="9"/>
            <color rgb="FF000000"/>
            <rFont val="Tahoma"/>
            <family val="2"/>
          </rPr>
          <t xml:space="preserve"> Proyecto 4. Fortalecer el Cambio climático y gestión del riesgo en los instrumentos de planificación
</t>
        </r>
      </text>
    </comment>
    <comment ref="D54" authorId="3" shapeId="0" xr:uid="{00000000-0006-0000-0500-0000F3000000}">
      <text>
        <r>
          <rPr>
            <sz val="9"/>
            <color rgb="FF000000"/>
            <rFont val="Tahoma"/>
            <family val="2"/>
          </rPr>
          <t xml:space="preserve">Incluye:
</t>
        </r>
        <r>
          <rPr>
            <sz val="9"/>
            <color rgb="FF000000"/>
            <rFont val="Tahoma"/>
            <family val="2"/>
          </rPr>
          <t xml:space="preserve">Ejecutar el Plan Regional de Cambio Climático de Corantioquia
</t>
        </r>
        <r>
          <rPr>
            <sz val="9"/>
            <color rgb="FF000000"/>
            <rFont val="Tahoma"/>
            <family val="2"/>
          </rPr>
          <t xml:space="preserve">Definir línea base de:
</t>
        </r>
        <r>
          <rPr>
            <sz val="9"/>
            <color rgb="FF000000"/>
            <rFont val="Tahoma"/>
            <family val="2"/>
          </rPr>
          <t xml:space="preserve">- Entidades territoriales de la jurisdicción con su PIGCCT formulado y en concordancia con los 8 PIGCCS o los que se hayan formulado a la fecha.
</t>
        </r>
        <r>
          <rPr>
            <sz val="9"/>
            <color rgb="FF000000"/>
            <rFont val="Tahoma"/>
            <family val="2"/>
          </rPr>
          <t xml:space="preserve">-Entidades territoriales de la jurisdicción con su PIGCCT en ejecución.
</t>
        </r>
        <r>
          <rPr>
            <sz val="9"/>
            <color rgb="FF000000"/>
            <rFont val="Tahoma"/>
            <family val="2"/>
          </rPr>
          <t xml:space="preserve">Definir línea base de:
</t>
        </r>
        <r>
          <rPr>
            <sz val="9"/>
            <color rgb="FF000000"/>
            <rFont val="Tahoma"/>
            <family val="2"/>
          </rPr>
          <t xml:space="preserve">- incidencia de intoxicaciones por sustancias químicas.
</t>
        </r>
        <r>
          <rPr>
            <sz val="9"/>
            <color rgb="FF000000"/>
            <rFont val="Tahoma"/>
            <family val="2"/>
          </rPr>
          <t xml:space="preserve">-Mortalidad causada por eventos recurrentes
</t>
        </r>
        <r>
          <rPr>
            <sz val="9"/>
            <color rgb="FF000000"/>
            <rFont val="Tahoma"/>
            <family val="2"/>
          </rPr>
          <t xml:space="preserve">- Áreas urbanas preparadas para afrontar riesgos de origen natural y antrópico
</t>
        </r>
        <r>
          <rPr>
            <sz val="9"/>
            <color rgb="FF000000"/>
            <rFont val="Tahoma"/>
            <family val="2"/>
          </rPr>
          <t>Definición de línea base de vulnerabilidad por cambio climático en territorios étnicos debido a factores ambientales.</t>
        </r>
      </text>
    </comment>
    <comment ref="L54" authorId="0" shapeId="0" xr:uid="{00000000-0006-0000-0500-0000F4000000}">
      <text>
        <r>
          <rPr>
            <b/>
            <sz val="9"/>
            <color rgb="FF000000"/>
            <rFont val="Tahoma"/>
            <family val="2"/>
          </rPr>
          <t>Recomendación: Hacer mínimo dos por territorial</t>
        </r>
        <r>
          <rPr>
            <sz val="9"/>
            <color rgb="FF000000"/>
            <rFont val="Tahoma"/>
            <family val="2"/>
          </rPr>
          <t xml:space="preserve">
</t>
        </r>
      </text>
    </comment>
    <comment ref="Z54" authorId="4" shapeId="0" xr:uid="{00000000-0006-0000-0500-0000F5000000}">
      <text>
        <r>
          <rPr>
            <b/>
            <sz val="9"/>
            <color rgb="FF000000"/>
            <rFont val="Tahoma"/>
            <family val="2"/>
          </rPr>
          <t>Usuario:</t>
        </r>
        <r>
          <rPr>
            <sz val="9"/>
            <color rgb="FF000000"/>
            <rFont val="Tahoma"/>
            <family val="2"/>
          </rPr>
          <t xml:space="preserve">
</t>
        </r>
        <r>
          <rPr>
            <sz val="9"/>
            <color rgb="FF000000"/>
            <rFont val="Tahoma"/>
            <family val="2"/>
          </rPr>
          <t>incluye 298.400.000 de inversiones + viatico por 4.240.000 + gastos financieros por valor  2.189.193</t>
        </r>
      </text>
    </comment>
    <comment ref="AA54" authorId="4" shapeId="0" xr:uid="{00000000-0006-0000-0500-0000F6000000}">
      <text>
        <r>
          <rPr>
            <b/>
            <sz val="9"/>
            <color rgb="FF000000"/>
            <rFont val="Tahoma"/>
            <family val="2"/>
          </rPr>
          <t>Usuario:</t>
        </r>
        <r>
          <rPr>
            <sz val="9"/>
            <color rgb="FF000000"/>
            <rFont val="Tahoma"/>
            <family val="2"/>
          </rPr>
          <t xml:space="preserve">
</t>
        </r>
        <r>
          <rPr>
            <sz val="9"/>
            <color rgb="FF000000"/>
            <rFont val="Tahoma"/>
            <family val="2"/>
          </rPr>
          <t>Incluye inversion por 800 millons y viaticos por 8480.000</t>
        </r>
      </text>
    </comment>
    <comment ref="AB54" authorId="4" shapeId="0" xr:uid="{00000000-0006-0000-0500-0000F7000000}">
      <text>
        <r>
          <rPr>
            <b/>
            <sz val="9"/>
            <color indexed="81"/>
            <rFont val="Tahoma"/>
            <family val="2"/>
          </rPr>
          <t>Usuario:</t>
        </r>
        <r>
          <rPr>
            <sz val="9"/>
            <color indexed="81"/>
            <rFont val="Tahoma"/>
            <family val="2"/>
          </rPr>
          <t xml:space="preserve">
Incluye inversion por 1000 millones y viaticos por 10.000.000</t>
        </r>
      </text>
    </comment>
    <comment ref="AC54" authorId="4" shapeId="0" xr:uid="{00000000-0006-0000-0500-0000F8000000}">
      <text>
        <r>
          <rPr>
            <b/>
            <sz val="9"/>
            <color indexed="81"/>
            <rFont val="Tahoma"/>
            <family val="2"/>
          </rPr>
          <t>Usuario:</t>
        </r>
        <r>
          <rPr>
            <sz val="9"/>
            <color indexed="81"/>
            <rFont val="Tahoma"/>
            <family val="2"/>
          </rPr>
          <t xml:space="preserve">
Incluye inversion por 1100 millones y viaticos por 11.000.000</t>
        </r>
      </text>
    </comment>
    <comment ref="AG54" authorId="4" shapeId="0" xr:uid="{00000000-0006-0000-0500-0000F9000000}">
      <text>
        <r>
          <rPr>
            <b/>
            <sz val="9"/>
            <color rgb="FF000000"/>
            <rFont val="Tahoma"/>
            <family val="2"/>
          </rPr>
          <t>Usuario:</t>
        </r>
        <r>
          <rPr>
            <sz val="9"/>
            <color rgb="FF000000"/>
            <rFont val="Tahoma"/>
            <family val="2"/>
          </rPr>
          <t xml:space="preserve">
</t>
        </r>
        <r>
          <rPr>
            <sz val="9"/>
            <color rgb="FF000000"/>
            <rFont val="Tahoma"/>
            <family val="2"/>
          </rPr>
          <t>Deivid y Carolina</t>
        </r>
      </text>
    </comment>
    <comment ref="AM54" authorId="4" shapeId="0" xr:uid="{00000000-0006-0000-0500-0000FA000000}">
      <text>
        <r>
          <rPr>
            <b/>
            <sz val="9"/>
            <color rgb="FF000000"/>
            <rFont val="Tahoma"/>
            <family val="2"/>
          </rPr>
          <t>Usuario:</t>
        </r>
        <r>
          <rPr>
            <sz val="9"/>
            <color rgb="FF000000"/>
            <rFont val="Tahoma"/>
            <family val="2"/>
          </rPr>
          <t xml:space="preserve">
</t>
        </r>
        <r>
          <rPr>
            <sz val="9"/>
            <color rgb="FF000000"/>
            <rFont val="Tahoma"/>
            <family val="2"/>
          </rPr>
          <t>valor proyectado según los aportes esperados de los municipios. Segun metas proyectadas</t>
        </r>
      </text>
    </comment>
    <comment ref="AN54" authorId="4" shapeId="0" xr:uid="{00000000-0006-0000-0500-0000FB000000}">
      <text>
        <r>
          <rPr>
            <b/>
            <sz val="9"/>
            <color indexed="81"/>
            <rFont val="Tahoma"/>
            <family val="2"/>
          </rPr>
          <t>Usuario:</t>
        </r>
        <r>
          <rPr>
            <sz val="9"/>
            <color indexed="81"/>
            <rFont val="Tahoma"/>
            <family val="2"/>
          </rPr>
          <t xml:space="preserve">
valor proyectado según los aportes esperados de los municipios. Segun metas proyectadas</t>
        </r>
      </text>
    </comment>
    <comment ref="AO54" authorId="4" shapeId="0" xr:uid="{00000000-0006-0000-0500-0000FC000000}">
      <text>
        <r>
          <rPr>
            <b/>
            <sz val="9"/>
            <color indexed="81"/>
            <rFont val="Tahoma"/>
            <family val="2"/>
          </rPr>
          <t>Usuario:</t>
        </r>
        <r>
          <rPr>
            <sz val="9"/>
            <color indexed="81"/>
            <rFont val="Tahoma"/>
            <family val="2"/>
          </rPr>
          <t xml:space="preserve">
valor proyectado según los aportes esperados de los municipios. Segun metas proyectadas</t>
        </r>
      </text>
    </comment>
    <comment ref="F55" authorId="0" shapeId="0" xr:uid="{00000000-0006-0000-0500-0000FD000000}">
      <text>
        <r>
          <rPr>
            <b/>
            <sz val="9"/>
            <color indexed="81"/>
            <rFont val="Tahoma"/>
            <family val="2"/>
          </rPr>
          <t xml:space="preserve">Largo: </t>
        </r>
        <r>
          <rPr>
            <sz val="9"/>
            <color indexed="81"/>
            <rFont val="Tahoma"/>
            <family val="2"/>
          </rPr>
          <t>Asesoramiento a las entidades territoriales de la jurisdicción en la formulación e incorporación de acciones de adaptación y mitigación del cambio climático en sus instrumentos de planificación, en ejecución y en concordancia con los 8 PIGCCS o los que se hayan formulados a la fecha</t>
        </r>
      </text>
    </comment>
    <comment ref="H55" authorId="0" shapeId="0" xr:uid="{00000000-0006-0000-0500-0000FE000000}">
      <text>
        <r>
          <rPr>
            <b/>
            <sz val="9"/>
            <color rgb="FF000000"/>
            <rFont val="Tahoma"/>
            <family val="2"/>
          </rPr>
          <t xml:space="preserve">
Nota: 
PND 2018-2022. </t>
        </r>
        <r>
          <rPr>
            <sz val="9"/>
            <color rgb="FF000000"/>
            <rFont val="Tahoma"/>
            <family val="2"/>
          </rPr>
          <t>Porcentaje de departamentos que implementan iniciativas de adaptación al cambio climático orientadas por las autoridades ambientales
Resolución 667 % de entes territoriales asesorados en la incorporación, planificación y ejecución de acciones relacionadas con cambio climático en el marco de los instrumentos de planificación territorial</t>
        </r>
        <r>
          <rPr>
            <b/>
            <sz val="9"/>
            <color rgb="FF000000"/>
            <rFont val="Tahoma"/>
            <family val="2"/>
          </rPr>
          <t xml:space="preserve">
Revisar entiendo que no deben formularlo sino incorporar los regionales</t>
        </r>
      </text>
    </comment>
    <comment ref="L55" authorId="0" shapeId="0" xr:uid="{00000000-0006-0000-0500-0000FF000000}">
      <text>
        <r>
          <rPr>
            <b/>
            <sz val="9"/>
            <color rgb="FF000000"/>
            <rFont val="Tahoma"/>
            <family val="2"/>
          </rPr>
          <t>Recomendación: Hacer mínimo dos por territorial</t>
        </r>
        <r>
          <rPr>
            <sz val="9"/>
            <color rgb="FF000000"/>
            <rFont val="Tahoma"/>
            <family val="2"/>
          </rPr>
          <t xml:space="preserve">
</t>
        </r>
      </text>
    </comment>
    <comment ref="Q55" authorId="0" shapeId="0" xr:uid="{00000000-0006-0000-0500-000000010000}">
      <text>
        <r>
          <rPr>
            <b/>
            <sz val="9"/>
            <color rgb="FF000000"/>
            <rFont val="Tahoma"/>
            <family val="2"/>
          </rPr>
          <t>PND 2018-2022:</t>
        </r>
        <r>
          <rPr>
            <sz val="9"/>
            <color rgb="FF000000"/>
            <rFont val="Tahoma"/>
            <family val="2"/>
          </rPr>
          <t xml:space="preserve"> Porcentaje de departamentos que implementan iniciativas de adaptación al cambio climático orientadas por las autoridades ambientales
</t>
        </r>
      </text>
    </comment>
    <comment ref="Z55" authorId="4" shapeId="0" xr:uid="{00000000-0006-0000-0500-000001010000}">
      <text>
        <r>
          <rPr>
            <b/>
            <sz val="9"/>
            <color rgb="FF000000"/>
            <rFont val="Tahoma"/>
            <family val="2"/>
          </rPr>
          <t>Usuario:</t>
        </r>
        <r>
          <rPr>
            <sz val="9"/>
            <color rgb="FF000000"/>
            <rFont val="Tahoma"/>
            <family val="2"/>
          </rPr>
          <t xml:space="preserve">
</t>
        </r>
        <r>
          <rPr>
            <sz val="9"/>
            <color rgb="FF000000"/>
            <rFont val="Tahoma"/>
            <family val="2"/>
          </rPr>
          <t xml:space="preserve">Incluye Inversiones por 398 millones y viaticos por 6.876.000
</t>
        </r>
      </text>
    </comment>
    <comment ref="AA55" authorId="4" shapeId="0" xr:uid="{00000000-0006-0000-0500-000002010000}">
      <text>
        <r>
          <rPr>
            <b/>
            <sz val="9"/>
            <color indexed="81"/>
            <rFont val="Tahoma"/>
            <family val="2"/>
          </rPr>
          <t>Usuario:</t>
        </r>
        <r>
          <rPr>
            <sz val="9"/>
            <color indexed="81"/>
            <rFont val="Tahoma"/>
            <family val="2"/>
          </rPr>
          <t xml:space="preserve">
Incluye inversiones por 1000 millones y viaticos por 9.752.000</t>
        </r>
      </text>
    </comment>
    <comment ref="AB55" authorId="4" shapeId="0" xr:uid="{00000000-0006-0000-0500-000003010000}">
      <text>
        <r>
          <rPr>
            <b/>
            <sz val="9"/>
            <color indexed="81"/>
            <rFont val="Tahoma"/>
            <family val="2"/>
          </rPr>
          <t>Usuario:</t>
        </r>
        <r>
          <rPr>
            <sz val="9"/>
            <color indexed="81"/>
            <rFont val="Tahoma"/>
            <family val="2"/>
          </rPr>
          <t xml:space="preserve">
Incluye inversiones por 1200 millones y viaticos por 11 millones</t>
        </r>
      </text>
    </comment>
    <comment ref="AC55" authorId="4" shapeId="0" xr:uid="{00000000-0006-0000-0500-000004010000}">
      <text>
        <r>
          <rPr>
            <b/>
            <sz val="9"/>
            <color indexed="81"/>
            <rFont val="Tahoma"/>
            <family val="2"/>
          </rPr>
          <t>Usuario:</t>
        </r>
        <r>
          <rPr>
            <sz val="9"/>
            <color indexed="81"/>
            <rFont val="Tahoma"/>
            <family val="2"/>
          </rPr>
          <t xml:space="preserve">
Incluye inversion por 1320 millones + viaticos por 11.500.000</t>
        </r>
      </text>
    </comment>
    <comment ref="AG55" authorId="4" shapeId="0" xr:uid="{00000000-0006-0000-0500-000005010000}">
      <text>
        <r>
          <rPr>
            <b/>
            <sz val="9"/>
            <color indexed="81"/>
            <rFont val="Tahoma"/>
            <family val="2"/>
          </rPr>
          <t>Usuario:</t>
        </r>
        <r>
          <rPr>
            <sz val="9"/>
            <color indexed="81"/>
            <rFont val="Tahoma"/>
            <family val="2"/>
          </rPr>
          <t xml:space="preserve">
Ines</t>
        </r>
      </text>
    </comment>
    <comment ref="AX55" authorId="0" shapeId="0" xr:uid="{00000000-0006-0000-0500-000006010000}">
      <text>
        <r>
          <rPr>
            <b/>
            <sz val="9"/>
            <color rgb="FF000000"/>
            <rFont val="Tahoma"/>
            <family val="2"/>
          </rPr>
          <t>PND 2018-2022:</t>
        </r>
        <r>
          <rPr>
            <sz val="9"/>
            <color rgb="FF000000"/>
            <rFont val="Tahoma"/>
            <family val="2"/>
          </rPr>
          <t xml:space="preserve"> Porcentaje de departamentos que implementan iniciativas de adaptación al cambio climático orientadas por las autoridades ambientales
</t>
        </r>
      </text>
    </comment>
    <comment ref="Z56" authorId="4" shapeId="0" xr:uid="{00000000-0006-0000-0500-000007010000}">
      <text>
        <r>
          <rPr>
            <sz val="9"/>
            <color indexed="81"/>
            <rFont val="Tahoma"/>
            <family val="2"/>
          </rPr>
          <t xml:space="preserve">Usuario: 748493009,00945 para inversiones, dentro de los cuales se incluyeron 57.000.000 para comunicaciones </t>
        </r>
        <r>
          <rPr>
            <b/>
            <sz val="9"/>
            <color indexed="81"/>
            <rFont val="Tahoma"/>
            <family val="2"/>
          </rPr>
          <t xml:space="preserve">+ </t>
        </r>
        <r>
          <rPr>
            <sz val="9"/>
            <color indexed="81"/>
            <rFont val="Tahoma"/>
            <family val="2"/>
          </rPr>
          <t xml:space="preserve">
Incluye viatico por 8.480.000 +  Gastos financieros por valor de 4246045</t>
        </r>
      </text>
    </comment>
    <comment ref="AA56" authorId="4" shapeId="0" xr:uid="{00000000-0006-0000-0500-000008010000}">
      <text>
        <r>
          <rPr>
            <b/>
            <sz val="9"/>
            <color indexed="81"/>
            <rFont val="Tahoma"/>
            <family val="2"/>
          </rPr>
          <t>Usuario:</t>
        </r>
        <r>
          <rPr>
            <sz val="9"/>
            <color indexed="81"/>
            <rFont val="Tahoma"/>
            <family val="2"/>
          </rPr>
          <t xml:space="preserve">
Inversion por valor de 800 millones + viaticos por 7.480.000</t>
        </r>
      </text>
    </comment>
    <comment ref="AB56" authorId="4" shapeId="0" xr:uid="{00000000-0006-0000-0500-000009010000}">
      <text>
        <r>
          <rPr>
            <b/>
            <sz val="9"/>
            <color indexed="81"/>
            <rFont val="Tahoma"/>
            <family val="2"/>
          </rPr>
          <t>Usuario:</t>
        </r>
        <r>
          <rPr>
            <sz val="9"/>
            <color indexed="81"/>
            <rFont val="Tahoma"/>
            <family val="2"/>
          </rPr>
          <t xml:space="preserve">
Incluye 900 millones de inversion + 8.480.000 de viaticos</t>
        </r>
      </text>
    </comment>
    <comment ref="AC56" authorId="4" shapeId="0" xr:uid="{00000000-0006-0000-0500-00000A010000}">
      <text>
        <r>
          <rPr>
            <b/>
            <sz val="9"/>
            <color indexed="81"/>
            <rFont val="Tahoma"/>
            <family val="2"/>
          </rPr>
          <t>Usuario:</t>
        </r>
        <r>
          <rPr>
            <sz val="9"/>
            <color indexed="81"/>
            <rFont val="Tahoma"/>
            <family val="2"/>
          </rPr>
          <t xml:space="preserve">
Incluye inversión por 1.000 millones de pesos + viaticos por 9 millones</t>
        </r>
      </text>
    </comment>
    <comment ref="AG56" authorId="4" shapeId="0" xr:uid="{00000000-0006-0000-0500-00000B010000}">
      <text>
        <r>
          <rPr>
            <b/>
            <sz val="9"/>
            <color rgb="FF000000"/>
            <rFont val="Tahoma"/>
            <family val="2"/>
          </rPr>
          <t>Usuario:</t>
        </r>
        <r>
          <rPr>
            <sz val="9"/>
            <color rgb="FF000000"/>
            <rFont val="Tahoma"/>
            <family val="2"/>
          </rPr>
          <t xml:space="preserve">
</t>
        </r>
        <r>
          <rPr>
            <sz val="9"/>
            <color rgb="FF000000"/>
            <rFont val="Tahoma"/>
            <family val="2"/>
          </rPr>
          <t>Jair</t>
        </r>
      </text>
    </comment>
    <comment ref="AL56" authorId="4" shapeId="0" xr:uid="{00000000-0006-0000-0500-00000C010000}">
      <text>
        <r>
          <rPr>
            <b/>
            <sz val="9"/>
            <color rgb="FF000000"/>
            <rFont val="Tahoma"/>
            <family val="2"/>
          </rPr>
          <t>Usuario:</t>
        </r>
        <r>
          <rPr>
            <sz val="9"/>
            <color rgb="FF000000"/>
            <rFont val="Tahoma"/>
            <family val="2"/>
          </rPr>
          <t xml:space="preserve">
</t>
        </r>
        <r>
          <rPr>
            <sz val="9"/>
            <color rgb="FF000000"/>
            <rFont val="Tahoma"/>
            <family val="2"/>
          </rPr>
          <t>Se anexan los sectores productivos  para construir los PIGCCS. y los municipios para realizar  obras de reducción del riesgos. Aportes del 60%</t>
        </r>
      </text>
    </comment>
    <comment ref="D57" authorId="7" shapeId="0" xr:uid="{00000000-0006-0000-0500-00000D01000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el reconocimiento de la memoria adaptativa del territorio y apropiación socio-cultural de herramientas de participación y educación para la adaptación al cambio climático y la gestión del riesgo.</t>
        </r>
      </text>
    </comment>
    <comment ref="F57" authorId="7" shapeId="0" xr:uid="{00000000-0006-0000-0500-00000E01000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el reconocimiento de la memoria adaptativa del territorio y apropiación socio-cultural de herramientas de participación y educación para la adaptación al cambio climático y la gestión del riesgo.</t>
        </r>
      </text>
    </comment>
    <comment ref="H57" authorId="7" shapeId="0" xr:uid="{00000000-0006-0000-0500-00000F01000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que implementan acciones para la adaptación al cambio climático y la gestión del riesgo</t>
        </r>
      </text>
    </comment>
    <comment ref="L57" authorId="7" shapeId="0" xr:uid="{00000000-0006-0000-0500-000010010000}">
      <text>
        <r>
          <rPr>
            <b/>
            <sz val="10"/>
            <color rgb="FF000000"/>
            <rFont val="Tahoma"/>
            <family val="2"/>
          </rPr>
          <t xml:space="preserve">22_03_2020
</t>
        </r>
        <r>
          <rPr>
            <b/>
            <sz val="10"/>
            <color rgb="FF000000"/>
            <rFont val="Tahoma"/>
            <family val="2"/>
          </rPr>
          <t xml:space="preserve">
</t>
        </r>
        <r>
          <rPr>
            <b/>
            <sz val="10"/>
            <color rgb="FF000000"/>
            <rFont val="Tahoma"/>
            <family val="2"/>
          </rPr>
          <t xml:space="preserve">2020-2023: 4
</t>
        </r>
        <r>
          <rPr>
            <b/>
            <sz val="10"/>
            <color rgb="FF000000"/>
            <rFont val="Tahoma"/>
            <family val="2"/>
          </rPr>
          <t xml:space="preserve">
</t>
        </r>
        <r>
          <rPr>
            <b/>
            <sz val="10"/>
            <color rgb="FF000000"/>
            <rFont val="Tahoma"/>
            <family val="2"/>
          </rPr>
          <t xml:space="preserve">0
</t>
        </r>
        <r>
          <rPr>
            <b/>
            <sz val="10"/>
            <color rgb="FF000000"/>
            <rFont val="Tahoma"/>
            <family val="2"/>
          </rPr>
          <t xml:space="preserve">1
</t>
        </r>
        <r>
          <rPr>
            <b/>
            <sz val="10"/>
            <color rgb="FF000000"/>
            <rFont val="Tahoma"/>
            <family val="2"/>
          </rPr>
          <t xml:space="preserve">2
</t>
        </r>
        <r>
          <rPr>
            <b/>
            <sz val="10"/>
            <color rgb="FF000000"/>
            <rFont val="Tahoma"/>
            <family val="2"/>
          </rPr>
          <t>4</t>
        </r>
      </text>
    </comment>
    <comment ref="Z57" authorId="0" shapeId="0" xr:uid="{00000000-0006-0000-0500-000011010000}">
      <text>
        <r>
          <rPr>
            <b/>
            <sz val="9"/>
            <color rgb="FF000000"/>
            <rFont val="Tahoma"/>
            <family val="2"/>
          </rPr>
          <t>Antes 2020-04-14:</t>
        </r>
        <r>
          <rPr>
            <sz val="9"/>
            <color rgb="FF000000"/>
            <rFont val="Tahoma"/>
            <family val="2"/>
          </rPr>
          <t xml:space="preserve"> 300.000.000</t>
        </r>
      </text>
    </comment>
    <comment ref="AA57" authorId="0" shapeId="0" xr:uid="{00000000-0006-0000-0500-000012010000}">
      <text>
        <r>
          <rPr>
            <b/>
            <sz val="9"/>
            <color rgb="FF000000"/>
            <rFont val="Tahoma"/>
            <family val="2"/>
          </rPr>
          <t>Antes 2020-04-14:</t>
        </r>
        <r>
          <rPr>
            <sz val="9"/>
            <color rgb="FF000000"/>
            <rFont val="Tahoma"/>
            <family val="2"/>
          </rPr>
          <t xml:space="preserve"> 350.000.000</t>
        </r>
      </text>
    </comment>
    <comment ref="AB57" authorId="0" shapeId="0" xr:uid="{00000000-0006-0000-0500-000013010000}">
      <text>
        <r>
          <rPr>
            <b/>
            <sz val="9"/>
            <color rgb="FF000000"/>
            <rFont val="Tahoma"/>
            <family val="2"/>
          </rPr>
          <t>Antes 2020-04-14:</t>
        </r>
        <r>
          <rPr>
            <sz val="9"/>
            <color rgb="FF000000"/>
            <rFont val="Tahoma"/>
            <family val="2"/>
          </rPr>
          <t xml:space="preserve"> 390.000.000</t>
        </r>
      </text>
    </comment>
    <comment ref="AC57" authorId="0" shapeId="0" xr:uid="{00000000-0006-0000-0500-000014010000}">
      <text>
        <r>
          <rPr>
            <b/>
            <sz val="9"/>
            <color indexed="81"/>
            <rFont val="Tahoma"/>
            <family val="2"/>
          </rPr>
          <t>Antes 2020-04-14:</t>
        </r>
        <r>
          <rPr>
            <sz val="9"/>
            <color indexed="81"/>
            <rFont val="Tahoma"/>
            <family val="2"/>
          </rPr>
          <t xml:space="preserve"> 450.000.000</t>
        </r>
      </text>
    </comment>
    <comment ref="AD57" authorId="0" shapeId="0" xr:uid="{00000000-0006-0000-0500-000015010000}">
      <text>
        <r>
          <rPr>
            <b/>
            <sz val="9"/>
            <color rgb="FF000000"/>
            <rFont val="Tahoma"/>
            <family val="2"/>
          </rPr>
          <t>Antes 2020-04-14:</t>
        </r>
        <r>
          <rPr>
            <sz val="9"/>
            <color rgb="FF000000"/>
            <rFont val="Tahoma"/>
            <family val="2"/>
          </rPr>
          <t xml:space="preserve"> Se analizó como base el valor de las actividades similares realizadas en el pasado plan de acción y entre año y año se contempla un aumento en los costos de aproximadamente el 10%. 
</t>
        </r>
      </text>
    </comment>
    <comment ref="M58" authorId="9" shapeId="0" xr:uid="{00000000-0006-0000-0500-000016010000}">
      <text>
        <r>
          <rPr>
            <b/>
            <sz val="9"/>
            <color rgb="FF000000"/>
            <rFont val="Tahoma"/>
            <family val="2"/>
          </rPr>
          <t>Jair Mauricio Valencia Monsalve:</t>
        </r>
        <r>
          <rPr>
            <sz val="9"/>
            <color rgb="FF000000"/>
            <rFont val="Tahoma"/>
            <family val="2"/>
          </rPr>
          <t xml:space="preserve">
</t>
        </r>
        <r>
          <rPr>
            <sz val="9"/>
            <color rgb="FF000000"/>
            <rFont val="Tahoma"/>
            <family val="2"/>
          </rPr>
          <t>Se termino el año 2019 con un porcentaje de implementación del 30%, por eso propongo partir con ese acumilado e inplementar en este año 2020 el 10%.</t>
        </r>
      </text>
    </comment>
    <comment ref="H59" authorId="0" shapeId="0" xr:uid="{00000000-0006-0000-0500-000017010000}">
      <text>
        <r>
          <rPr>
            <b/>
            <sz val="9"/>
            <color indexed="81"/>
            <rFont val="Tahoma"/>
            <family val="2"/>
          </rPr>
          <t xml:space="preserve">Nota: </t>
        </r>
        <r>
          <rPr>
            <sz val="9"/>
            <color indexed="81"/>
            <rFont val="Tahoma"/>
            <family val="2"/>
          </rPr>
          <t xml:space="preserve">incluye la adaptación al cambio climático.
</t>
        </r>
      </text>
    </comment>
    <comment ref="M59" authorId="0" shapeId="0" xr:uid="{00000000-0006-0000-0500-000018010000}">
      <text>
        <r>
          <rPr>
            <b/>
            <sz val="9"/>
            <color rgb="FF000000"/>
            <rFont val="Tahoma"/>
            <family val="2"/>
          </rPr>
          <t>El 100% de las medidas planificadas para el año evaluado</t>
        </r>
      </text>
    </comment>
    <comment ref="N59" authorId="0" shapeId="0" xr:uid="{00000000-0006-0000-0500-000019010000}">
      <text>
        <r>
          <rPr>
            <b/>
            <sz val="9"/>
            <color indexed="81"/>
            <rFont val="Tahoma"/>
            <family val="2"/>
          </rPr>
          <t>El 100% de las medidas planificadas para el año evaluado</t>
        </r>
      </text>
    </comment>
    <comment ref="O59" authorId="0" shapeId="0" xr:uid="{00000000-0006-0000-0500-00001A010000}">
      <text>
        <r>
          <rPr>
            <b/>
            <sz val="9"/>
            <color rgb="FF000000"/>
            <rFont val="Tahoma"/>
            <family val="2"/>
          </rPr>
          <t>El 100% de las medidas planificadas para el año evaluado</t>
        </r>
      </text>
    </comment>
    <comment ref="P59" authorId="0" shapeId="0" xr:uid="{00000000-0006-0000-0500-00001B010000}">
      <text>
        <r>
          <rPr>
            <b/>
            <sz val="9"/>
            <color rgb="FF000000"/>
            <rFont val="Tahoma"/>
            <family val="2"/>
          </rPr>
          <t>2020-04-14:</t>
        </r>
        <r>
          <rPr>
            <sz val="9"/>
            <color rgb="FF000000"/>
            <rFont val="Tahoma"/>
            <family val="2"/>
          </rPr>
          <t xml:space="preserve"> Se incorporó la meta de forma que fuese coherente con la valoración de este año.
</t>
        </r>
      </text>
    </comment>
    <comment ref="Z59" authorId="4" shapeId="0" xr:uid="{00000000-0006-0000-0500-00001C010000}">
      <text>
        <r>
          <rPr>
            <b/>
            <sz val="9"/>
            <color rgb="FF000000"/>
            <rFont val="Tahoma"/>
            <family val="2"/>
          </rPr>
          <t>Usuario:</t>
        </r>
        <r>
          <rPr>
            <sz val="9"/>
            <color rgb="FF000000"/>
            <rFont val="Tahoma"/>
            <family val="2"/>
          </rPr>
          <t xml:space="preserve">
</t>
        </r>
        <r>
          <rPr>
            <sz val="9"/>
            <color rgb="FF000000"/>
            <rFont val="Tahoma"/>
            <family val="2"/>
          </rPr>
          <t xml:space="preserve">Incluye inversión por 496304796,17945 +  viaticos por 2.544.000+ gastos financieros por 2.000.000
</t>
        </r>
      </text>
    </comment>
    <comment ref="AA59" authorId="4" shapeId="0" xr:uid="{00000000-0006-0000-0500-00001D010000}">
      <text>
        <r>
          <rPr>
            <b/>
            <sz val="9"/>
            <color rgb="FF000000"/>
            <rFont val="Tahoma"/>
            <family val="2"/>
          </rPr>
          <t>Usuario:</t>
        </r>
        <r>
          <rPr>
            <sz val="9"/>
            <color rgb="FF000000"/>
            <rFont val="Tahoma"/>
            <family val="2"/>
          </rPr>
          <t xml:space="preserve">
</t>
        </r>
        <r>
          <rPr>
            <sz val="9"/>
            <color rgb="FF000000"/>
            <rFont val="Tahoma"/>
            <family val="2"/>
          </rPr>
          <t>Incluye inversion por 550 millones + viaticos por 3 millones</t>
        </r>
      </text>
    </comment>
    <comment ref="AB59" authorId="4" shapeId="0" xr:uid="{00000000-0006-0000-0500-00001E010000}">
      <text>
        <r>
          <rPr>
            <b/>
            <sz val="9"/>
            <color indexed="81"/>
            <rFont val="Tahoma"/>
            <family val="2"/>
          </rPr>
          <t>Usuario:</t>
        </r>
        <r>
          <rPr>
            <sz val="9"/>
            <color indexed="81"/>
            <rFont val="Tahoma"/>
            <family val="2"/>
          </rPr>
          <t xml:space="preserve">
Incluye inversiones por 610 millones y viaticos por valor de 3.500.000</t>
        </r>
      </text>
    </comment>
    <comment ref="AC59" authorId="4" shapeId="0" xr:uid="{00000000-0006-0000-0500-00001F010000}">
      <text>
        <r>
          <rPr>
            <b/>
            <sz val="9"/>
            <color rgb="FF000000"/>
            <rFont val="Tahoma"/>
            <family val="2"/>
          </rPr>
          <t>Usuario:</t>
        </r>
        <r>
          <rPr>
            <sz val="9"/>
            <color rgb="FF000000"/>
            <rFont val="Tahoma"/>
            <family val="2"/>
          </rPr>
          <t xml:space="preserve">
</t>
        </r>
        <r>
          <rPr>
            <sz val="9"/>
            <color rgb="FF000000"/>
            <rFont val="Tahoma"/>
            <family val="2"/>
          </rPr>
          <t>Incluye inversiones por 670 millones de pesos + viaticos por 4 millones</t>
        </r>
      </text>
    </comment>
    <comment ref="D60" authorId="3" shapeId="0" xr:uid="{00000000-0006-0000-0500-000020010000}">
      <text>
        <r>
          <rPr>
            <sz val="9"/>
            <color rgb="FF000000"/>
            <rFont val="Tahoma"/>
            <family val="2"/>
          </rPr>
          <t xml:space="preserve">Incluye:
</t>
        </r>
        <r>
          <rPr>
            <sz val="9"/>
            <color rgb="FF000000"/>
            <rFont val="Tahoma"/>
            <family val="2"/>
          </rPr>
          <t xml:space="preserve">Definición de línea base del Fortalecimiento de la sostenibilidad en áreas de producción en:
</t>
        </r>
        <r>
          <rPr>
            <sz val="9"/>
            <color rgb="FF000000"/>
            <rFont val="Tahoma"/>
            <family val="2"/>
          </rPr>
          <t xml:space="preserve">- Agricultura familiar
</t>
        </r>
        <r>
          <rPr>
            <sz val="9"/>
            <color rgb="FF000000"/>
            <rFont val="Tahoma"/>
            <family val="2"/>
          </rPr>
          <t xml:space="preserve">-Territorios étnicos
</t>
        </r>
        <r>
          <rPr>
            <sz val="9"/>
            <color rgb="FF000000"/>
            <rFont val="Tahoma"/>
            <family val="2"/>
          </rPr>
          <t xml:space="preserve">Definición de línea base ingreso anual de las empresas códigos CIIU asociados a negocios verdes y bioeconomía.
</t>
        </r>
        <r>
          <rPr>
            <sz val="9"/>
            <color rgb="FF000000"/>
            <rFont val="Tahoma"/>
            <family val="2"/>
          </rPr>
          <t xml:space="preserve">Definición de línea base sostenibilidad de socioecosistemas
</t>
        </r>
        <r>
          <rPr>
            <sz val="9"/>
            <color rgb="FF000000"/>
            <rFont val="Tahoma"/>
            <family val="2"/>
          </rPr>
          <t xml:space="preserve">* Definición de línea base de Capacidad instalada de generación de energía eléctrica que corresponde a fuentes renovable
</t>
        </r>
        <r>
          <rPr>
            <sz val="9"/>
            <color rgb="FF000000"/>
            <rFont val="Tahoma"/>
            <family val="2"/>
          </rPr>
          <t xml:space="preserve">* Definición de línea base de empresas con plan de movilidad en  ejecución
</t>
        </r>
        <r>
          <rPr>
            <sz val="9"/>
            <color rgb="FF000000"/>
            <rFont val="Tahoma"/>
            <family val="2"/>
          </rPr>
          <t xml:space="preserve">
</t>
        </r>
        <r>
          <rPr>
            <b/>
            <sz val="9"/>
            <color rgb="FF000000"/>
            <rFont val="Tahoma"/>
            <family val="2"/>
          </rPr>
          <t>Hasta 2020-03-30:</t>
        </r>
        <r>
          <rPr>
            <sz val="9"/>
            <color rgb="FF000000"/>
            <rFont val="Tahoma"/>
            <family val="2"/>
          </rPr>
          <t xml:space="preserve"> Transformar sectores productivos y economías locales hacia prácticas sostenibles, con corresponsabilidad de los actores</t>
        </r>
      </text>
    </comment>
    <comment ref="L60" authorId="0" shapeId="0" xr:uid="{00000000-0006-0000-0500-000021010000}">
      <text>
        <r>
          <rPr>
            <b/>
            <sz val="9"/>
            <color indexed="81"/>
            <rFont val="Tahoma"/>
            <family val="2"/>
          </rPr>
          <t>En articulación con Ministerio de Comercio y Turismo</t>
        </r>
        <r>
          <rPr>
            <sz val="9"/>
            <color indexed="81"/>
            <rFont val="Tahoma"/>
            <family val="2"/>
          </rPr>
          <t xml:space="preserve">
</t>
        </r>
      </text>
    </comment>
    <comment ref="T60" authorId="0" shapeId="0" xr:uid="{00000000-0006-0000-0500-000022010000}">
      <text>
        <r>
          <rPr>
            <b/>
            <sz val="9"/>
            <color indexed="81"/>
            <rFont val="Tahoma"/>
            <family val="2"/>
          </rPr>
          <t>Apoyo:</t>
        </r>
        <r>
          <rPr>
            <sz val="9"/>
            <color indexed="81"/>
            <rFont val="Tahoma"/>
            <family val="2"/>
          </rPr>
          <t xml:space="preserve"> Subdirección de Gestión Ambiental
</t>
        </r>
      </text>
    </comment>
    <comment ref="D61" authorId="3" shapeId="0" xr:uid="{00000000-0006-0000-0500-000023010000}">
      <text>
        <r>
          <rPr>
            <sz val="9"/>
            <color rgb="FF000000"/>
            <rFont val="Tahoma"/>
            <family val="2"/>
          </rPr>
          <t xml:space="preserve">Incluye:
</t>
        </r>
        <r>
          <rPr>
            <sz val="9"/>
            <color rgb="FF000000"/>
            <rFont val="Tahoma"/>
            <family val="2"/>
          </rPr>
          <t xml:space="preserve">Definición de línea base del Fortalecimiento de la sostenibilidad en áreas de producción en:
</t>
        </r>
        <r>
          <rPr>
            <sz val="9"/>
            <color rgb="FF000000"/>
            <rFont val="Tahoma"/>
            <family val="2"/>
          </rPr>
          <t xml:space="preserve">- Agricultura familiar
</t>
        </r>
        <r>
          <rPr>
            <sz val="9"/>
            <color rgb="FF000000"/>
            <rFont val="Tahoma"/>
            <family val="2"/>
          </rPr>
          <t xml:space="preserve">-Territorios étnicos
</t>
        </r>
        <r>
          <rPr>
            <sz val="9"/>
            <color rgb="FF000000"/>
            <rFont val="Tahoma"/>
            <family val="2"/>
          </rPr>
          <t xml:space="preserve">Definición de línea base ingreso anual de las empresas códigos CIIU asociados a negocios verdes y bioeconomía.
</t>
        </r>
        <r>
          <rPr>
            <sz val="9"/>
            <color rgb="FF000000"/>
            <rFont val="Tahoma"/>
            <family val="2"/>
          </rPr>
          <t xml:space="preserve">Definición de línea base sostenibilidad de socioecosistemas
</t>
        </r>
        <r>
          <rPr>
            <sz val="9"/>
            <color rgb="FF000000"/>
            <rFont val="Tahoma"/>
            <family val="2"/>
          </rPr>
          <t xml:space="preserve">* Definición de línea base de Capacidad instalada de generación de energía eléctrica que corresponde a fuentes renovable
</t>
        </r>
        <r>
          <rPr>
            <sz val="9"/>
            <color rgb="FF000000"/>
            <rFont val="Tahoma"/>
            <family val="2"/>
          </rPr>
          <t>* Definición de línea base de empresas con plan de movilidad en  ejecución</t>
        </r>
      </text>
    </comment>
    <comment ref="H61" authorId="0" shapeId="0" xr:uid="{00000000-0006-0000-0500-000024010000}">
      <text>
        <r>
          <rPr>
            <b/>
            <sz val="9"/>
            <color rgb="FF000000"/>
            <rFont val="Tahoma"/>
            <family val="2"/>
          </rPr>
          <t>Tener presente que no tienen autonomía al acceso libre de la Biodiversidad</t>
        </r>
      </text>
    </comment>
    <comment ref="T61" authorId="0" shapeId="0" xr:uid="{00000000-0006-0000-0500-000025010000}">
      <text>
        <r>
          <rPr>
            <b/>
            <sz val="9"/>
            <color indexed="81"/>
            <rFont val="Tahoma"/>
            <family val="2"/>
          </rPr>
          <t>- Subdirección de Cultura Ambiental</t>
        </r>
      </text>
    </comment>
    <comment ref="D62" authorId="3" shapeId="0" xr:uid="{00000000-0006-0000-0500-000026010000}">
      <text>
        <r>
          <rPr>
            <sz val="9"/>
            <color rgb="FF000000"/>
            <rFont val="Tahoma"/>
            <family val="2"/>
          </rPr>
          <t xml:space="preserve">Incluye:
</t>
        </r>
        <r>
          <rPr>
            <sz val="9"/>
            <color rgb="FF000000"/>
            <rFont val="Tahoma"/>
            <family val="2"/>
          </rPr>
          <t xml:space="preserve">Definición de línea base del Fortalecimiento de la sostenibilidad en áreas de producción en:
</t>
        </r>
        <r>
          <rPr>
            <sz val="9"/>
            <color rgb="FF000000"/>
            <rFont val="Tahoma"/>
            <family val="2"/>
          </rPr>
          <t xml:space="preserve">- Agricultura familiar
</t>
        </r>
        <r>
          <rPr>
            <sz val="9"/>
            <color rgb="FF000000"/>
            <rFont val="Tahoma"/>
            <family val="2"/>
          </rPr>
          <t xml:space="preserve">-Territorios étnicos
</t>
        </r>
        <r>
          <rPr>
            <sz val="9"/>
            <color rgb="FF000000"/>
            <rFont val="Tahoma"/>
            <family val="2"/>
          </rPr>
          <t xml:space="preserve">Definición de línea base ingreso anual de las empresas códigos CIIU asociados a negocios verdes y bioeconomía.
</t>
        </r>
        <r>
          <rPr>
            <sz val="9"/>
            <color rgb="FF000000"/>
            <rFont val="Tahoma"/>
            <family val="2"/>
          </rPr>
          <t xml:space="preserve">Definición de línea base sostenibilidad de socioecosistemas
</t>
        </r>
        <r>
          <rPr>
            <sz val="9"/>
            <color rgb="FF000000"/>
            <rFont val="Tahoma"/>
            <family val="2"/>
          </rPr>
          <t xml:space="preserve">* Definición de línea base de Capacidad instalada de generación de energía eléctrica que corresponde a fuentes renovable
</t>
        </r>
        <r>
          <rPr>
            <sz val="9"/>
            <color rgb="FF000000"/>
            <rFont val="Tahoma"/>
            <family val="2"/>
          </rPr>
          <t>* Definición de línea base de empresas con plan de movilidad en  ejecución</t>
        </r>
      </text>
    </comment>
    <comment ref="P62" authorId="0" shapeId="0" xr:uid="{00000000-0006-0000-0500-000027010000}">
      <text>
        <r>
          <rPr>
            <b/>
            <sz val="9"/>
            <color indexed="81"/>
            <rFont val="Tahoma"/>
            <family val="2"/>
          </rPr>
          <t>Silvopastoril
Etno Ecoturismo Afro</t>
        </r>
      </text>
    </comment>
    <comment ref="T62" authorId="0" shapeId="0" xr:uid="{00000000-0006-0000-0500-000028010000}">
      <text>
        <r>
          <rPr>
            <b/>
            <sz val="9"/>
            <color indexed="81"/>
            <rFont val="Tahoma"/>
            <family val="2"/>
          </rPr>
          <t>Apoyo:</t>
        </r>
        <r>
          <rPr>
            <sz val="9"/>
            <color indexed="81"/>
            <rFont val="Tahoma"/>
            <family val="2"/>
          </rPr>
          <t xml:space="preserve"> Subdirección de Cultura Ambiental
</t>
        </r>
      </text>
    </comment>
    <comment ref="D63" authorId="3" shapeId="0" xr:uid="{00000000-0006-0000-0500-000029010000}">
      <text>
        <r>
          <rPr>
            <sz val="9"/>
            <color rgb="FF000000"/>
            <rFont val="Tahoma"/>
            <family val="2"/>
          </rPr>
          <t xml:space="preserve">Incluye:
</t>
        </r>
        <r>
          <rPr>
            <sz val="9"/>
            <color rgb="FF000000"/>
            <rFont val="Tahoma"/>
            <family val="2"/>
          </rPr>
          <t xml:space="preserve">Definición de línea base del Fortalecimiento de la sostenibilidad en áreas de producción en:
</t>
        </r>
        <r>
          <rPr>
            <sz val="9"/>
            <color rgb="FF000000"/>
            <rFont val="Tahoma"/>
            <family val="2"/>
          </rPr>
          <t xml:space="preserve">- Agricultura familiar
</t>
        </r>
        <r>
          <rPr>
            <sz val="9"/>
            <color rgb="FF000000"/>
            <rFont val="Tahoma"/>
            <family val="2"/>
          </rPr>
          <t xml:space="preserve">-Territorios étnicos
</t>
        </r>
        <r>
          <rPr>
            <sz val="9"/>
            <color rgb="FF000000"/>
            <rFont val="Tahoma"/>
            <family val="2"/>
          </rPr>
          <t xml:space="preserve">Definición de línea base ingreso anual de las empresas códigos CIIU asociados a negocios verdes y bioeconomía.
</t>
        </r>
        <r>
          <rPr>
            <sz val="9"/>
            <color rgb="FF000000"/>
            <rFont val="Tahoma"/>
            <family val="2"/>
          </rPr>
          <t xml:space="preserve">Definición de línea base sostenibilidad de socioecosistemas
</t>
        </r>
        <r>
          <rPr>
            <sz val="9"/>
            <color rgb="FF000000"/>
            <rFont val="Tahoma"/>
            <family val="2"/>
          </rPr>
          <t xml:space="preserve">* Definición de línea base de Capacidad instalada de generación de energía eléctrica que corresponde a fuentes renovable
</t>
        </r>
        <r>
          <rPr>
            <sz val="9"/>
            <color rgb="FF000000"/>
            <rFont val="Tahoma"/>
            <family val="2"/>
          </rPr>
          <t>* Definición de línea base de empresas con plan de movilidad en  ejecución</t>
        </r>
      </text>
    </comment>
    <comment ref="H63" authorId="3" shapeId="0" xr:uid="{00000000-0006-0000-0500-00002A010000}">
      <text>
        <r>
          <rPr>
            <b/>
            <sz val="9"/>
            <color rgb="FF000000"/>
            <rFont val="Tahoma"/>
            <family val="2"/>
          </rPr>
          <t xml:space="preserve">Público
</t>
        </r>
        <r>
          <rPr>
            <b/>
            <sz val="9"/>
            <color rgb="FF000000"/>
            <rFont val="Tahoma"/>
            <family val="2"/>
          </rPr>
          <t xml:space="preserve">Construcción
</t>
        </r>
        <r>
          <rPr>
            <b/>
            <sz val="9"/>
            <color rgb="FF000000"/>
            <rFont val="Tahoma"/>
            <family val="2"/>
          </rPr>
          <t xml:space="preserve">Manufacturero
</t>
        </r>
        <r>
          <rPr>
            <b/>
            <sz val="9"/>
            <color rgb="FF000000"/>
            <rFont val="Tahoma"/>
            <family val="2"/>
          </rPr>
          <t xml:space="preserve">Agroindustria
</t>
        </r>
        <r>
          <rPr>
            <b/>
            <sz val="9"/>
            <color rgb="FF000000"/>
            <rFont val="Tahoma"/>
            <family val="2"/>
          </rPr>
          <t xml:space="preserve">Turismo
</t>
        </r>
        <r>
          <rPr>
            <b/>
            <sz val="9"/>
            <color rgb="FF000000"/>
            <rFont val="Tahoma"/>
            <family val="2"/>
          </rPr>
          <t>Alimentos ecológicos</t>
        </r>
        <r>
          <rPr>
            <sz val="9"/>
            <color rgb="FF000000"/>
            <rFont val="Tahoma"/>
            <family val="2"/>
          </rPr>
          <t xml:space="preserve">
</t>
        </r>
        <r>
          <rPr>
            <sz val="9"/>
            <color rgb="FF000000"/>
            <rFont val="Tahoma"/>
            <family val="2"/>
          </rPr>
          <t xml:space="preserve">
</t>
        </r>
        <r>
          <rPr>
            <sz val="9"/>
            <color rgb="FF000000"/>
            <rFont val="Tahoma"/>
            <family val="2"/>
          </rPr>
          <t xml:space="preserve">Considerar compras sostenibles
</t>
        </r>
        <r>
          <rPr>
            <sz val="9"/>
            <color rgb="FF000000"/>
            <rFont val="Tahoma"/>
            <family val="2"/>
          </rPr>
          <t xml:space="preserve">Disposición de residuos
</t>
        </r>
        <r>
          <rPr>
            <sz val="9"/>
            <color rgb="FF000000"/>
            <rFont val="Tahoma"/>
            <family val="2"/>
          </rPr>
          <t>Reúso</t>
        </r>
      </text>
    </comment>
    <comment ref="L63" authorId="3" shapeId="0" xr:uid="{00000000-0006-0000-0500-00002B010000}">
      <text>
        <r>
          <rPr>
            <b/>
            <sz val="9"/>
            <color rgb="FF000000"/>
            <rFont val="Tahoma"/>
            <family val="2"/>
          </rPr>
          <t>Línea base:</t>
        </r>
        <r>
          <rPr>
            <sz val="9"/>
            <color rgb="FF000000"/>
            <rFont val="Tahoma"/>
            <family val="2"/>
          </rPr>
          <t xml:space="preserve"> 100%. Se realiza la asistencia y asesoramiento a los sectores de la Construcción, Minero, Turístico, agropecuario,  Manufacturero y agroindustrial </t>
        </r>
      </text>
    </comment>
    <comment ref="T63" authorId="0" shapeId="0" xr:uid="{00000000-0006-0000-0500-00002C010000}">
      <text>
        <r>
          <rPr>
            <b/>
            <sz val="9"/>
            <color indexed="81"/>
            <rFont val="Tahoma"/>
            <family val="2"/>
          </rPr>
          <t>Apoyo:</t>
        </r>
        <r>
          <rPr>
            <sz val="9"/>
            <color indexed="81"/>
            <rFont val="Tahoma"/>
            <family val="2"/>
          </rPr>
          <t xml:space="preserve"> Subdirección de Regionalización
</t>
        </r>
      </text>
    </comment>
    <comment ref="AG63" authorId="6" shapeId="0" xr:uid="{00000000-0006-0000-0500-00002D010000}">
      <text>
        <r>
          <rPr>
            <b/>
            <sz val="14"/>
            <color indexed="81"/>
            <rFont val="Tahoma"/>
            <family val="2"/>
          </rPr>
          <t>Jhoanna Paola Restrepo Cojo:</t>
        </r>
        <r>
          <rPr>
            <sz val="14"/>
            <color indexed="81"/>
            <rFont val="Tahoma"/>
            <family val="2"/>
          </rPr>
          <t xml:space="preserve">
3 Profesional Universitario Grado MANUELA, CRISTIAN Y EDGAR
</t>
        </r>
      </text>
    </comment>
    <comment ref="D64" authorId="3" shapeId="0" xr:uid="{00000000-0006-0000-0500-00002E010000}">
      <text>
        <r>
          <rPr>
            <sz val="9"/>
            <color rgb="FF000000"/>
            <rFont val="Tahoma"/>
            <family val="2"/>
          </rPr>
          <t xml:space="preserve">Incluye:
</t>
        </r>
        <r>
          <rPr>
            <sz val="9"/>
            <color rgb="FF000000"/>
            <rFont val="Tahoma"/>
            <family val="2"/>
          </rPr>
          <t xml:space="preserve">Definición de línea base del Fortalecimiento de la sostenibilidad en áreas de producción en:
</t>
        </r>
        <r>
          <rPr>
            <sz val="9"/>
            <color rgb="FF000000"/>
            <rFont val="Tahoma"/>
            <family val="2"/>
          </rPr>
          <t xml:space="preserve">- Agricultura familiar
</t>
        </r>
        <r>
          <rPr>
            <sz val="9"/>
            <color rgb="FF000000"/>
            <rFont val="Tahoma"/>
            <family val="2"/>
          </rPr>
          <t xml:space="preserve">-Territorios étnicos
</t>
        </r>
        <r>
          <rPr>
            <sz val="9"/>
            <color rgb="FF000000"/>
            <rFont val="Tahoma"/>
            <family val="2"/>
          </rPr>
          <t xml:space="preserve">Definición de línea base ingreso anual de las empresas códigos CIIU asociados a negocios verdes y bioeconomía.
</t>
        </r>
        <r>
          <rPr>
            <sz val="9"/>
            <color rgb="FF000000"/>
            <rFont val="Tahoma"/>
            <family val="2"/>
          </rPr>
          <t xml:space="preserve">Definición de línea base sostenibilidad de socioecosistemas
</t>
        </r>
        <r>
          <rPr>
            <sz val="9"/>
            <color rgb="FF000000"/>
            <rFont val="Tahoma"/>
            <family val="2"/>
          </rPr>
          <t xml:space="preserve">* Definición de línea base de Capacidad instalada de generación de energía eléctrica que corresponde a fuentes renovable
</t>
        </r>
        <r>
          <rPr>
            <sz val="9"/>
            <color rgb="FF000000"/>
            <rFont val="Tahoma"/>
            <family val="2"/>
          </rPr>
          <t>* Definición de línea base de empresas con plan de movilidad en  ejecución</t>
        </r>
      </text>
    </comment>
    <comment ref="H64" authorId="0" shapeId="0" xr:uid="{00000000-0006-0000-0500-00002F010000}">
      <text>
        <r>
          <rPr>
            <b/>
            <sz val="9"/>
            <color indexed="81"/>
            <rFont val="Tahoma"/>
            <family val="2"/>
          </rPr>
          <t xml:space="preserve">Nota:
</t>
        </r>
        <r>
          <rPr>
            <sz val="9"/>
            <color indexed="81"/>
            <rFont val="Tahoma"/>
            <family val="2"/>
          </rPr>
          <t xml:space="preserve">▪ PND 2018-2022: Negocios verdes verificados
</t>
        </r>
      </text>
    </comment>
    <comment ref="AG64" authorId="0" shapeId="0" xr:uid="{00000000-0006-0000-0500-000030010000}">
      <text>
        <r>
          <rPr>
            <b/>
            <sz val="9"/>
            <color indexed="81"/>
            <rFont val="Tahoma"/>
            <family val="2"/>
          </rPr>
          <t>Los mismos personal ya valorado celda 62</t>
        </r>
      </text>
    </comment>
    <comment ref="D65" authorId="3" shapeId="0" xr:uid="{00000000-0006-0000-0500-000031010000}">
      <text>
        <r>
          <rPr>
            <sz val="9"/>
            <color indexed="81"/>
            <rFont val="Tahoma"/>
            <family val="2"/>
          </rPr>
          <t>Incluye:
Definición de línea base del Fortalecimiento de la sostenibilidad en áreas de producción en:
- Agricultura familiar
-Territorios étnicos
Definición de línea base ingreso anual de las empresas códigos CIIU asociados a negocios verdes y bioeconomía.
Definición de línea base sostenibilidad de socioecosistemas
* Definición de línea base de Capacidad instalada de generación de energía eléctrica que corresponde a fuentes renovable
* Definición de línea base de empresas con plan de movilidad en  ejecución</t>
        </r>
      </text>
    </comment>
    <comment ref="H65" authorId="3" shapeId="0" xr:uid="{00000000-0006-0000-0500-000032010000}">
      <text>
        <r>
          <rPr>
            <sz val="9"/>
            <color rgb="FF000000"/>
            <rFont val="Tahoma"/>
            <family val="2"/>
          </rPr>
          <t xml:space="preserve">Considerar compras sostenibles
</t>
        </r>
        <r>
          <rPr>
            <sz val="9"/>
            <color rgb="FF000000"/>
            <rFont val="Tahoma"/>
            <family val="2"/>
          </rPr>
          <t xml:space="preserve">Disposición de residuos
</t>
        </r>
        <r>
          <rPr>
            <sz val="9"/>
            <color rgb="FF000000"/>
            <rFont val="Tahoma"/>
            <family val="2"/>
          </rPr>
          <t>reúso</t>
        </r>
      </text>
    </comment>
    <comment ref="L65" authorId="3" shapeId="0" xr:uid="{00000000-0006-0000-0500-000033010000}">
      <text>
        <r>
          <rPr>
            <b/>
            <sz val="9"/>
            <color indexed="81"/>
            <rFont val="Tahoma"/>
            <family val="2"/>
          </rPr>
          <t>Línea base:</t>
        </r>
        <r>
          <rPr>
            <sz val="9"/>
            <color indexed="81"/>
            <rFont val="Tahoma"/>
            <family val="2"/>
          </rPr>
          <t xml:space="preserve"> 100%
El plan ya existe, y se debe continuar su implementación
</t>
        </r>
      </text>
    </comment>
    <comment ref="AG65" authorId="0" shapeId="0" xr:uid="{00000000-0006-0000-0500-000034010000}">
      <text>
        <r>
          <rPr>
            <b/>
            <sz val="9"/>
            <color indexed="81"/>
            <rFont val="Tahoma"/>
            <family val="2"/>
          </rPr>
          <t>Los mismos personal ya valorado celda 62</t>
        </r>
        <r>
          <rPr>
            <sz val="9"/>
            <color indexed="81"/>
            <rFont val="Tahoma"/>
            <family val="2"/>
          </rPr>
          <t xml:space="preserve">
</t>
        </r>
      </text>
    </comment>
    <comment ref="D66" authorId="3" shapeId="0" xr:uid="{00000000-0006-0000-0500-000035010000}">
      <text>
        <r>
          <rPr>
            <sz val="9"/>
            <color rgb="FF000000"/>
            <rFont val="Tahoma"/>
            <family val="2"/>
          </rPr>
          <t xml:space="preserve">Incluye:
</t>
        </r>
        <r>
          <rPr>
            <sz val="9"/>
            <color rgb="FF000000"/>
            <rFont val="Tahoma"/>
            <family val="2"/>
          </rPr>
          <t xml:space="preserve">Definición de línea base del Fortalecimiento de la sostenibilidad en áreas de producción en:
</t>
        </r>
        <r>
          <rPr>
            <sz val="9"/>
            <color rgb="FF000000"/>
            <rFont val="Tahoma"/>
            <family val="2"/>
          </rPr>
          <t xml:space="preserve">- Agricultura familiar
</t>
        </r>
        <r>
          <rPr>
            <sz val="9"/>
            <color rgb="FF000000"/>
            <rFont val="Tahoma"/>
            <family val="2"/>
          </rPr>
          <t xml:space="preserve">-Territorios étnicos
</t>
        </r>
        <r>
          <rPr>
            <sz val="9"/>
            <color rgb="FF000000"/>
            <rFont val="Tahoma"/>
            <family val="2"/>
          </rPr>
          <t xml:space="preserve">Definición de línea base ingreso anual de las empresas códigos CIIU asociados a negocios verdes y bioeconomía.
</t>
        </r>
        <r>
          <rPr>
            <sz val="9"/>
            <color rgb="FF000000"/>
            <rFont val="Tahoma"/>
            <family val="2"/>
          </rPr>
          <t xml:space="preserve">Definición de línea base sostenibilidad de socioecosistemas
</t>
        </r>
        <r>
          <rPr>
            <sz val="9"/>
            <color rgb="FF000000"/>
            <rFont val="Tahoma"/>
            <family val="2"/>
          </rPr>
          <t xml:space="preserve">* Definición de línea base de Capacidad instalada de generación de energía eléctrica que corresponde a fuentes renovable
</t>
        </r>
        <r>
          <rPr>
            <sz val="9"/>
            <color rgb="FF000000"/>
            <rFont val="Tahoma"/>
            <family val="2"/>
          </rPr>
          <t>* Definición de línea base de empresas con plan de movilidad en  ejecución</t>
        </r>
      </text>
    </comment>
    <comment ref="AG66" authorId="0" shapeId="0" xr:uid="{00000000-0006-0000-0500-000036010000}">
      <text>
        <r>
          <rPr>
            <b/>
            <sz val="9"/>
            <color indexed="81"/>
            <rFont val="Tahoma"/>
            <family val="2"/>
          </rPr>
          <t>Los mismos personal ya valorado celda 62</t>
        </r>
        <r>
          <rPr>
            <sz val="9"/>
            <color indexed="81"/>
            <rFont val="Tahoma"/>
            <family val="2"/>
          </rPr>
          <t xml:space="preserve">
</t>
        </r>
      </text>
    </comment>
    <comment ref="D67" authorId="7" shapeId="0" xr:uid="{00000000-0006-0000-0500-000037010000}">
      <text>
        <r>
          <rPr>
            <b/>
            <sz val="10"/>
            <color rgb="FF000000"/>
            <rFont val="Tahoma"/>
            <family val="2"/>
          </rPr>
          <t xml:space="preserve">22_03_2020
</t>
        </r>
        <r>
          <rPr>
            <b/>
            <sz val="10"/>
            <color rgb="FF000000"/>
            <rFont val="Tahoma"/>
            <family val="2"/>
          </rPr>
          <t xml:space="preserve">
</t>
        </r>
        <r>
          <rPr>
            <sz val="10"/>
            <color rgb="FF000000"/>
            <rFont val="Tahoma"/>
            <family val="2"/>
          </rPr>
          <t>Número de sectores acompañados desde lo socio-cultural para consolidar escenarios económicos locales y regionales sostenibles</t>
        </r>
      </text>
    </comment>
    <comment ref="F67" authorId="7" shapeId="0" xr:uid="{00000000-0006-0000-0500-000038010000}">
      <text>
        <r>
          <rPr>
            <b/>
            <sz val="10"/>
            <color rgb="FF000000"/>
            <rFont val="Tahoma"/>
            <family val="2"/>
          </rPr>
          <t xml:space="preserve">22_03_2020
</t>
        </r>
        <r>
          <rPr>
            <b/>
            <sz val="10"/>
            <color rgb="FF000000"/>
            <rFont val="Tahoma"/>
            <family val="2"/>
          </rPr>
          <t xml:space="preserve">
</t>
        </r>
        <r>
          <rPr>
            <sz val="10"/>
            <color rgb="FF000000"/>
            <rFont val="Tahoma"/>
            <family val="2"/>
          </rPr>
          <t>Número de sectores acompañados desde lo socio-cultural para consolidar escenarios económicos locales y regionales sostenibles</t>
        </r>
      </text>
    </comment>
    <comment ref="H67" authorId="7" shapeId="0" xr:uid="{00000000-0006-0000-0500-000039010000}">
      <text>
        <r>
          <rPr>
            <b/>
            <sz val="10"/>
            <color rgb="FF000000"/>
            <rFont val="Tahoma"/>
            <family val="2"/>
          </rPr>
          <t xml:space="preserve">22_03_2020
</t>
        </r>
        <r>
          <rPr>
            <b/>
            <sz val="10"/>
            <color rgb="FF000000"/>
            <rFont val="Tahoma"/>
            <family val="2"/>
          </rPr>
          <t xml:space="preserve">
</t>
        </r>
        <r>
          <rPr>
            <sz val="10"/>
            <color rgb="FF000000"/>
            <rFont val="Tahoma"/>
            <family val="2"/>
          </rPr>
          <t>Número de sectores acompañados desde lo socio-cultural para consolidar escenarios económicos locales y regionales sostenibles</t>
        </r>
      </text>
    </comment>
    <comment ref="L67" authorId="0" shapeId="0" xr:uid="{00000000-0006-0000-0500-00003A010000}">
      <text>
        <r>
          <rPr>
            <b/>
            <sz val="9"/>
            <color rgb="FF000000"/>
            <rFont val="Tahoma"/>
            <family val="2"/>
          </rPr>
          <t>Nota:</t>
        </r>
        <r>
          <rPr>
            <sz val="9"/>
            <color rgb="FF000000"/>
            <rFont val="Tahoma"/>
            <family val="2"/>
          </rPr>
          <t xml:space="preserve"> En el año 2020 se contará con los actores con capacidad de planificación y se mantendrán durante todo el periodo del plan
</t>
        </r>
      </text>
    </comment>
    <comment ref="D68" authorId="3" shapeId="0" xr:uid="{00000000-0006-0000-0500-00003B010000}">
      <text>
        <r>
          <rPr>
            <b/>
            <sz val="9"/>
            <color rgb="FF000000"/>
            <rFont val="Tahoma"/>
            <family val="2"/>
          </rPr>
          <t>(Materias primas, procesos y disminuir residuos)</t>
        </r>
        <r>
          <rPr>
            <sz val="9"/>
            <color rgb="FF000000"/>
            <rFont val="Tahoma"/>
            <family val="2"/>
          </rPr>
          <t xml:space="preserve">
</t>
        </r>
      </text>
    </comment>
    <comment ref="F68" authorId="1" shapeId="0" xr:uid="{00000000-0006-0000-0500-00003C010000}">
      <text>
        <r>
          <rPr>
            <b/>
            <sz val="10"/>
            <color rgb="FF000000"/>
            <rFont val="Tahoma"/>
            <family val="2"/>
          </rPr>
          <t xml:space="preserve">antes 2020-04-15
</t>
        </r>
        <r>
          <rPr>
            <b/>
            <sz val="10"/>
            <color rgb="FF000000"/>
            <rFont val="Tahoma"/>
            <family val="2"/>
          </rPr>
          <t xml:space="preserve">
</t>
        </r>
        <r>
          <rPr>
            <b/>
            <sz val="10"/>
            <color rgb="FF000000"/>
            <rFont val="Tahoma"/>
            <family val="2"/>
          </rPr>
          <t xml:space="preserve">se elimina </t>
        </r>
        <r>
          <rPr>
            <sz val="10"/>
            <color rgb="FF000000"/>
            <rFont val="Tahoma"/>
            <family val="2"/>
          </rPr>
          <t>: "que pueden ser incluidos como condiciones de compra"</t>
        </r>
      </text>
    </comment>
    <comment ref="H68" authorId="1" shapeId="0" xr:uid="{00000000-0006-0000-0500-00003D010000}">
      <text>
        <r>
          <rPr>
            <b/>
            <sz val="10"/>
            <color rgb="FF000000"/>
            <rFont val="Tahoma"/>
            <family val="2"/>
          </rPr>
          <t xml:space="preserve">antes 2020-04-15
</t>
        </r>
        <r>
          <rPr>
            <b/>
            <sz val="10"/>
            <color rgb="FF000000"/>
            <rFont val="Tahoma"/>
            <family val="2"/>
          </rPr>
          <t xml:space="preserve">
</t>
        </r>
        <r>
          <rPr>
            <b/>
            <sz val="10"/>
            <color rgb="FF000000"/>
            <rFont val="Tahoma"/>
            <family val="2"/>
          </rPr>
          <t xml:space="preserve">se elimina </t>
        </r>
        <r>
          <rPr>
            <sz val="10"/>
            <color rgb="FF000000"/>
            <rFont val="Tahoma"/>
            <family val="2"/>
          </rPr>
          <t>: "que pueden ser incluidos como condiciones de compra"</t>
        </r>
      </text>
    </comment>
    <comment ref="T68" authorId="0" shapeId="0" xr:uid="{00000000-0006-0000-0500-00003E010000}">
      <text>
        <r>
          <rPr>
            <b/>
            <sz val="9"/>
            <color rgb="FF000000"/>
            <rFont val="Tahoma"/>
            <family val="2"/>
          </rPr>
          <t>Apoyo:</t>
        </r>
        <r>
          <rPr>
            <sz val="9"/>
            <color rgb="FF000000"/>
            <rFont val="Tahoma"/>
            <family val="2"/>
          </rPr>
          <t xml:space="preserve"> Subdirección de Gestión Ambiental
</t>
        </r>
      </text>
    </comment>
    <comment ref="Z68" authorId="1" shapeId="0" xr:uid="{00000000-0006-0000-0500-00003F010000}">
      <text>
        <r>
          <rPr>
            <sz val="10"/>
            <color rgb="FF000000"/>
            <rFont val="Tahoma"/>
            <family val="2"/>
          </rPr>
          <t xml:space="preserve">Antes2020-04-15
</t>
        </r>
        <r>
          <rPr>
            <sz val="10"/>
            <color rgb="FF000000"/>
            <rFont val="Tahoma"/>
            <family val="2"/>
          </rPr>
          <t xml:space="preserve">
</t>
        </r>
        <r>
          <rPr>
            <sz val="10"/>
            <color rgb="FF000000"/>
            <rFont val="Tahoma"/>
            <family val="2"/>
          </rPr>
          <t>$1.584.040.327</t>
        </r>
      </text>
    </comment>
    <comment ref="AA68" authorId="1" shapeId="0" xr:uid="{00000000-0006-0000-0500-000040010000}">
      <text>
        <r>
          <rPr>
            <b/>
            <sz val="10"/>
            <color rgb="FF000000"/>
            <rFont val="Tahoma"/>
            <family val="2"/>
          </rPr>
          <t xml:space="preserve">Antes 2020-04-15
</t>
        </r>
        <r>
          <rPr>
            <b/>
            <sz val="10"/>
            <color rgb="FF000000"/>
            <rFont val="Tahoma"/>
            <family val="2"/>
          </rPr>
          <t xml:space="preserve">
</t>
        </r>
        <r>
          <rPr>
            <b/>
            <sz val="10"/>
            <color rgb="FF000000"/>
            <rFont val="Tahoma"/>
            <family val="2"/>
          </rPr>
          <t>$2.304.087.607</t>
        </r>
      </text>
    </comment>
    <comment ref="AB68" authorId="1" shapeId="0" xr:uid="{00000000-0006-0000-0500-000041010000}">
      <text>
        <r>
          <rPr>
            <b/>
            <sz val="10"/>
            <color rgb="FF000000"/>
            <rFont val="Tahoma"/>
            <family val="2"/>
          </rPr>
          <t xml:space="preserve">Antes 2020-04-15
</t>
        </r>
        <r>
          <rPr>
            <b/>
            <sz val="10"/>
            <color rgb="FF000000"/>
            <rFont val="Tahoma"/>
            <family val="2"/>
          </rPr>
          <t xml:space="preserve">
</t>
        </r>
        <r>
          <rPr>
            <b/>
            <sz val="10"/>
            <color rgb="FF000000"/>
            <rFont val="Tahoma"/>
            <family val="2"/>
          </rPr>
          <t>$2.369.964.685</t>
        </r>
        <r>
          <rPr>
            <sz val="10"/>
            <color rgb="FF000000"/>
            <rFont val="Tahoma"/>
            <family val="2"/>
          </rPr>
          <t xml:space="preserve">
</t>
        </r>
      </text>
    </comment>
    <comment ref="AC68" authorId="1" shapeId="0" xr:uid="{00000000-0006-0000-0500-000042010000}">
      <text>
        <r>
          <rPr>
            <b/>
            <sz val="10"/>
            <color rgb="FF000000"/>
            <rFont val="Tahoma"/>
            <family val="2"/>
          </rPr>
          <t xml:space="preserve">Antes 2020-04-15
</t>
        </r>
        <r>
          <rPr>
            <b/>
            <sz val="10"/>
            <color rgb="FF000000"/>
            <rFont val="Tahoma"/>
            <family val="2"/>
          </rPr>
          <t xml:space="preserve">
</t>
        </r>
        <r>
          <rPr>
            <b/>
            <sz val="10"/>
            <color rgb="FF000000"/>
            <rFont val="Tahoma"/>
            <family val="2"/>
          </rPr>
          <t>$2.438.496.605</t>
        </r>
        <r>
          <rPr>
            <sz val="10"/>
            <color rgb="FF000000"/>
            <rFont val="Tahoma"/>
            <family val="2"/>
          </rPr>
          <t xml:space="preserve">
</t>
        </r>
      </text>
    </comment>
    <comment ref="D69" authorId="3" shapeId="0" xr:uid="{00000000-0006-0000-0500-000043010000}">
      <text>
        <r>
          <rPr>
            <b/>
            <sz val="9"/>
            <color rgb="FF000000"/>
            <rFont val="Tahoma"/>
            <family val="2"/>
          </rPr>
          <t>(Materias primas, procesos y disminuir residuos)</t>
        </r>
        <r>
          <rPr>
            <sz val="9"/>
            <color rgb="FF000000"/>
            <rFont val="Tahoma"/>
            <family val="2"/>
          </rPr>
          <t xml:space="preserve">
</t>
        </r>
      </text>
    </comment>
    <comment ref="H69" authorId="0" shapeId="0" xr:uid="{00000000-0006-0000-0500-000044010000}">
      <text>
        <r>
          <rPr>
            <b/>
            <sz val="9"/>
            <color indexed="81"/>
            <rFont val="Tahoma"/>
            <family val="2"/>
          </rPr>
          <t xml:space="preserve">
Nota: PND 2018-2022. 
</t>
        </r>
        <r>
          <rPr>
            <sz val="9"/>
            <color indexed="81"/>
            <rFont val="Tahoma"/>
            <family val="2"/>
          </rPr>
          <t>*Acuerdos de cero deforestación para las cadenas productivas del sector agropecuario en implementación.
*Acuerdos y agendas interministeriales y productivos implementados</t>
        </r>
      </text>
    </comment>
    <comment ref="L69" authorId="0" shapeId="0" xr:uid="{00000000-0006-0000-0500-000045010000}">
      <text>
        <r>
          <rPr>
            <b/>
            <sz val="9"/>
            <color indexed="81"/>
            <rFont val="Tahoma"/>
            <family val="2"/>
          </rPr>
          <t>Compras diferenciales a quienes no hayan deforestado</t>
        </r>
        <r>
          <rPr>
            <sz val="9"/>
            <color indexed="81"/>
            <rFont val="Tahoma"/>
            <family val="2"/>
          </rPr>
          <t xml:space="preserve">
</t>
        </r>
      </text>
    </comment>
    <comment ref="Q69" authorId="0" shapeId="0" xr:uid="{00000000-0006-0000-0500-000046010000}">
      <text>
        <r>
          <rPr>
            <b/>
            <sz val="9"/>
            <color indexed="81"/>
            <rFont val="Tahoma"/>
            <family val="2"/>
          </rPr>
          <t xml:space="preserve">PND 2018-2022: </t>
        </r>
        <r>
          <rPr>
            <sz val="9"/>
            <color indexed="81"/>
            <rFont val="Tahoma"/>
            <family val="2"/>
          </rPr>
          <t>Acuerdos y agendas interministeriales y productivos implementados</t>
        </r>
      </text>
    </comment>
    <comment ref="T69" authorId="0" shapeId="0" xr:uid="{00000000-0006-0000-0500-000047010000}">
      <text>
        <r>
          <rPr>
            <b/>
            <sz val="9"/>
            <color rgb="FF000000"/>
            <rFont val="Tahoma"/>
            <family val="2"/>
          </rPr>
          <t>Apoyo:</t>
        </r>
        <r>
          <rPr>
            <sz val="9"/>
            <color rgb="FF000000"/>
            <rFont val="Tahoma"/>
            <family val="2"/>
          </rPr>
          <t xml:space="preserve">  - Subdirección de Regionalización - Subdirección de Ecosistemas
</t>
        </r>
      </text>
    </comment>
    <comment ref="AX69" authorId="0" shapeId="0" xr:uid="{00000000-0006-0000-0500-000048010000}">
      <text>
        <r>
          <rPr>
            <b/>
            <sz val="9"/>
            <color indexed="81"/>
            <rFont val="Tahoma"/>
            <family val="2"/>
          </rPr>
          <t xml:space="preserve">PND 2018-2022: </t>
        </r>
        <r>
          <rPr>
            <sz val="9"/>
            <color indexed="81"/>
            <rFont val="Tahoma"/>
            <family val="2"/>
          </rPr>
          <t>Acuerdos y agendas interministeriales y productivos implementados</t>
        </r>
      </text>
    </comment>
    <comment ref="F70" authorId="3" shapeId="0" xr:uid="{00000000-0006-0000-0500-000049010000}">
      <text>
        <r>
          <rPr>
            <b/>
            <sz val="9"/>
            <color rgb="FF000000"/>
            <rFont val="Tahoma"/>
            <family val="2"/>
          </rPr>
          <t>Diseñar un sistema de información que permita hacer seguimiento y monitoreo a los instrumentos de planificación</t>
        </r>
      </text>
    </comment>
    <comment ref="H70" authorId="3" shapeId="0" xr:uid="{00000000-0006-0000-0500-00004A010000}">
      <text>
        <r>
          <rPr>
            <b/>
            <sz val="9"/>
            <color rgb="FF000000"/>
            <rFont val="Tahoma"/>
            <family val="2"/>
          </rPr>
          <t>Diseñar un sistema de información que permita hacer seguimiento y monitoreo a los instrumentos de planificación</t>
        </r>
      </text>
    </comment>
    <comment ref="T70" authorId="0" shapeId="0" xr:uid="{00000000-0006-0000-0500-00004B010000}">
      <text>
        <r>
          <rPr>
            <b/>
            <sz val="9"/>
            <color indexed="81"/>
            <rFont val="Tahoma"/>
            <family val="2"/>
          </rPr>
          <t>Apoyo:</t>
        </r>
        <r>
          <rPr>
            <sz val="9"/>
            <color indexed="81"/>
            <rFont val="Tahoma"/>
            <family val="2"/>
          </rPr>
          <t xml:space="preserve"> Subdirección de Regionalización
</t>
        </r>
      </text>
    </comment>
    <comment ref="F71" authorId="0" shapeId="0" xr:uid="{00000000-0006-0000-0500-00004C010000}">
      <text>
        <r>
          <rPr>
            <b/>
            <sz val="9"/>
            <color indexed="81"/>
            <rFont val="Tahoma"/>
            <family val="2"/>
          </rPr>
          <t>Se quitó el y/o</t>
        </r>
      </text>
    </comment>
    <comment ref="F72" authorId="3" shapeId="0" xr:uid="{00000000-0006-0000-0500-00004D010000}">
      <text>
        <r>
          <rPr>
            <b/>
            <sz val="9"/>
            <color rgb="FF000000"/>
            <rFont val="Tahoma"/>
            <family val="2"/>
          </rPr>
          <t xml:space="preserve">Hasta 2020-04-07: </t>
        </r>
        <r>
          <rPr>
            <sz val="9"/>
            <color rgb="FF000000"/>
            <rFont val="Tahoma"/>
            <family val="2"/>
          </rPr>
          <t xml:space="preserve">Municipios intervenidos con elementos naturales del espacio público verde
</t>
        </r>
        <r>
          <rPr>
            <sz val="9"/>
            <color rgb="FF000000"/>
            <rFont val="Tahoma"/>
            <family val="2"/>
          </rPr>
          <t xml:space="preserve">
</t>
        </r>
        <r>
          <rPr>
            <b/>
            <sz val="9"/>
            <color rgb="FF000000"/>
            <rFont val="Tahoma"/>
            <family val="2"/>
          </rPr>
          <t xml:space="preserve">
</t>
        </r>
        <r>
          <rPr>
            <b/>
            <sz val="9"/>
            <color rgb="FF000000"/>
            <rFont val="Tahoma"/>
            <family val="2"/>
          </rPr>
          <t xml:space="preserve">Se argumenta que no es pertinente para este proyecto:
</t>
        </r>
        <r>
          <rPr>
            <b/>
            <sz val="9"/>
            <color rgb="FF000000"/>
            <rFont val="Tahoma"/>
            <family val="2"/>
          </rPr>
          <t xml:space="preserve">Es un punto en la red de conectividad
</t>
        </r>
        <r>
          <rPr>
            <b/>
            <sz val="9"/>
            <color rgb="FF000000"/>
            <rFont val="Tahoma"/>
            <family val="2"/>
          </rPr>
          <t xml:space="preserve">Es muy costoso
</t>
        </r>
        <r>
          <rPr>
            <b/>
            <sz val="9"/>
            <color rgb="FF000000"/>
            <rFont val="Tahoma"/>
            <family val="2"/>
          </rPr>
          <t>Es un riesgo por las especies invasoras</t>
        </r>
        <r>
          <rPr>
            <sz val="9"/>
            <color rgb="FF000000"/>
            <rFont val="Tahoma"/>
            <family val="2"/>
          </rPr>
          <t xml:space="preserve">
</t>
        </r>
      </text>
    </comment>
    <comment ref="H72" authorId="3" shapeId="0" xr:uid="{00000000-0006-0000-0500-00004E010000}">
      <text>
        <r>
          <rPr>
            <b/>
            <sz val="9"/>
            <color rgb="FF000000"/>
            <rFont val="Tahoma"/>
            <family val="2"/>
          </rPr>
          <t xml:space="preserve">Hasta 2020-04-07: </t>
        </r>
        <r>
          <rPr>
            <sz val="9"/>
            <color rgb="FF000000"/>
            <rFont val="Tahoma"/>
            <family val="2"/>
          </rPr>
          <t xml:space="preserve">Municipios intervenidos con elementos naturales del espacio público verde
</t>
        </r>
        <r>
          <rPr>
            <sz val="9"/>
            <color rgb="FF000000"/>
            <rFont val="Tahoma"/>
            <family val="2"/>
          </rPr>
          <t xml:space="preserve">
</t>
        </r>
        <r>
          <rPr>
            <b/>
            <sz val="9"/>
            <color rgb="FF000000"/>
            <rFont val="Tahoma"/>
            <family val="2"/>
          </rPr>
          <t xml:space="preserve">
</t>
        </r>
        <r>
          <rPr>
            <b/>
            <sz val="9"/>
            <color rgb="FF000000"/>
            <rFont val="Tahoma"/>
            <family val="2"/>
          </rPr>
          <t xml:space="preserve">Se argumenta que no es pertinente para este proyecto:
</t>
        </r>
        <r>
          <rPr>
            <b/>
            <sz val="9"/>
            <color rgb="FF000000"/>
            <rFont val="Tahoma"/>
            <family val="2"/>
          </rPr>
          <t xml:space="preserve">Es un punto en la red de conectividad
</t>
        </r>
        <r>
          <rPr>
            <b/>
            <sz val="9"/>
            <color rgb="FF000000"/>
            <rFont val="Tahoma"/>
            <family val="2"/>
          </rPr>
          <t xml:space="preserve">Es muy costoso
</t>
        </r>
        <r>
          <rPr>
            <b/>
            <sz val="9"/>
            <color rgb="FF000000"/>
            <rFont val="Tahoma"/>
            <family val="2"/>
          </rPr>
          <t>Es un riesgo por las especies invasoras</t>
        </r>
        <r>
          <rPr>
            <sz val="9"/>
            <color rgb="FF000000"/>
            <rFont val="Tahoma"/>
            <family val="2"/>
          </rPr>
          <t xml:space="preserve">
</t>
        </r>
      </text>
    </comment>
    <comment ref="Z72" authorId="4" shapeId="0" xr:uid="{00000000-0006-0000-0500-00004F010000}">
      <text>
        <r>
          <rPr>
            <b/>
            <sz val="9"/>
            <color rgb="FF000000"/>
            <rFont val="Tahoma"/>
            <family val="2"/>
          </rPr>
          <t>Usuario:</t>
        </r>
        <r>
          <rPr>
            <sz val="9"/>
            <color rgb="FF000000"/>
            <rFont val="Tahoma"/>
            <family val="2"/>
          </rPr>
          <t xml:space="preserve">
</t>
        </r>
        <r>
          <rPr>
            <sz val="9"/>
            <color rgb="FF000000"/>
            <rFont val="Tahoma"/>
            <family val="2"/>
          </rPr>
          <t>Inversion por valor de 1.784.000.00 + Gastos financieros por  10.198.677 +  contratacion de personal 319650000</t>
        </r>
      </text>
    </comment>
    <comment ref="AA72" authorId="1" shapeId="0" xr:uid="{00000000-0006-0000-0500-000050010000}">
      <text>
        <r>
          <rPr>
            <b/>
            <sz val="9"/>
            <color rgb="FF000000"/>
            <rFont val="Calibri"/>
            <family val="2"/>
          </rPr>
          <t>Antes 2020-04-15</t>
        </r>
        <r>
          <rPr>
            <sz val="3"/>
            <color rgb="FF000000"/>
            <rFont val="Calibri"/>
            <family val="2"/>
          </rPr>
          <t xml:space="preserve">
</t>
        </r>
        <r>
          <rPr>
            <b/>
            <sz val="9"/>
            <color rgb="FF000000"/>
            <rFont val="Calibri"/>
            <family val="2"/>
          </rPr>
          <t>$1.500.000.000</t>
        </r>
        <r>
          <rPr>
            <sz val="3"/>
            <color rgb="FF000000"/>
            <rFont val="Calibri"/>
            <family val="2"/>
          </rPr>
          <t xml:space="preserve">
</t>
        </r>
      </text>
    </comment>
    <comment ref="AB72" authorId="1" shapeId="0" xr:uid="{00000000-0006-0000-0500-000051010000}">
      <text>
        <r>
          <rPr>
            <b/>
            <sz val="18"/>
            <color rgb="FF000000"/>
            <rFont val="Calibri"/>
            <family val="2"/>
          </rPr>
          <t>Antes 2020-04-15</t>
        </r>
        <r>
          <rPr>
            <sz val="10"/>
            <color rgb="FF000000"/>
            <rFont val="Calibri"/>
            <family val="2"/>
          </rPr>
          <t xml:space="preserve">
</t>
        </r>
        <r>
          <rPr>
            <b/>
            <sz val="18"/>
            <color rgb="FF000000"/>
            <rFont val="Calibri"/>
            <family val="2"/>
          </rPr>
          <t>$1.500.000.000</t>
        </r>
        <r>
          <rPr>
            <sz val="10"/>
            <color rgb="FF000000"/>
            <rFont val="Calibri"/>
            <family val="2"/>
          </rPr>
          <t xml:space="preserve">
</t>
        </r>
      </text>
    </comment>
    <comment ref="AC72" authorId="1" shapeId="0" xr:uid="{00000000-0006-0000-0500-000052010000}">
      <text>
        <r>
          <rPr>
            <b/>
            <sz val="11"/>
            <color rgb="FF000000"/>
            <rFont val="Calibri"/>
            <family val="2"/>
          </rPr>
          <t>Antes 2020-04-15</t>
        </r>
        <r>
          <rPr>
            <sz val="6"/>
            <color rgb="FF000000"/>
            <rFont val="Calibri"/>
            <family val="2"/>
          </rPr>
          <t xml:space="preserve">
</t>
        </r>
        <r>
          <rPr>
            <b/>
            <sz val="11"/>
            <color rgb="FF000000"/>
            <rFont val="Calibri"/>
            <family val="2"/>
          </rPr>
          <t>$1.500.000.000</t>
        </r>
        <r>
          <rPr>
            <sz val="6"/>
            <color rgb="FF000000"/>
            <rFont val="Calibri"/>
            <family val="2"/>
          </rPr>
          <t xml:space="preserve">
</t>
        </r>
      </text>
    </comment>
    <comment ref="AL72" authorId="4" shapeId="0" xr:uid="{00000000-0006-0000-0500-000053010000}">
      <text>
        <r>
          <rPr>
            <b/>
            <sz val="9"/>
            <color rgb="FF000000"/>
            <rFont val="Tahoma"/>
            <family val="2"/>
          </rPr>
          <t>Usuario:</t>
        </r>
        <r>
          <rPr>
            <sz val="9"/>
            <color rgb="FF000000"/>
            <rFont val="Tahoma"/>
            <family val="2"/>
          </rPr>
          <t xml:space="preserve">
</t>
        </r>
        <r>
          <rPr>
            <sz val="9"/>
            <color rgb="FF000000"/>
            <rFont val="Tahoma"/>
            <family val="2"/>
          </rPr>
          <t>Se REquiere definir criterios dede proyección para años siguientes al 2020</t>
        </r>
      </text>
    </comment>
    <comment ref="D73" authorId="3" shapeId="0" xr:uid="{00000000-0006-0000-0500-000054010000}">
      <text>
        <r>
          <rPr>
            <b/>
            <sz val="9"/>
            <color rgb="FF000000"/>
            <rFont val="Tahoma"/>
            <family val="2"/>
          </rPr>
          <t xml:space="preserve">Plan estratégico para la gestión de la calidad del aire en la jurisdicción </t>
        </r>
        <r>
          <rPr>
            <sz val="9"/>
            <color rgb="FF000000"/>
            <rFont val="Tahoma"/>
            <family val="2"/>
          </rPr>
          <t xml:space="preserve">
</t>
        </r>
      </text>
    </comment>
    <comment ref="F73" authorId="3" shapeId="0" xr:uid="{00000000-0006-0000-0500-000055010000}">
      <text>
        <r>
          <rPr>
            <b/>
            <sz val="9"/>
            <color rgb="FF000000"/>
            <rFont val="Tahoma"/>
            <family val="2"/>
          </rPr>
          <t xml:space="preserve">Plan estratégico para la gestión de la calidad del aire en la jurisdicción </t>
        </r>
        <r>
          <rPr>
            <sz val="9"/>
            <color rgb="FF000000"/>
            <rFont val="Tahoma"/>
            <family val="2"/>
          </rPr>
          <t xml:space="preserve">
</t>
        </r>
      </text>
    </comment>
    <comment ref="D74" authorId="3" shapeId="0" xr:uid="{00000000-0006-0000-0500-000056010000}">
      <text>
        <r>
          <rPr>
            <b/>
            <sz val="9"/>
            <color rgb="FF000000"/>
            <rFont val="Tahoma"/>
            <family val="2"/>
          </rPr>
          <t xml:space="preserve">Plan estratégico para la gestión de la calidad del aire en la jurisdicción </t>
        </r>
        <r>
          <rPr>
            <sz val="9"/>
            <color rgb="FF000000"/>
            <rFont val="Tahoma"/>
            <family val="2"/>
          </rPr>
          <t xml:space="preserve">
</t>
        </r>
      </text>
    </comment>
    <comment ref="T74" authorId="0" shapeId="0" xr:uid="{00000000-0006-0000-0500-000057010000}">
      <text>
        <r>
          <rPr>
            <b/>
            <sz val="9"/>
            <color rgb="FF000000"/>
            <rFont val="Tahoma"/>
            <family val="2"/>
          </rPr>
          <t>Apoyo:</t>
        </r>
        <r>
          <rPr>
            <sz val="9"/>
            <color rgb="FF000000"/>
            <rFont val="Tahoma"/>
            <family val="2"/>
          </rPr>
          <t xml:space="preserve"> Subdirección Administrativa
</t>
        </r>
      </text>
    </comment>
    <comment ref="D75" authorId="3" shapeId="0" xr:uid="{00000000-0006-0000-0500-000058010000}">
      <text>
        <r>
          <rPr>
            <b/>
            <sz val="9"/>
            <color rgb="FF000000"/>
            <rFont val="Tahoma"/>
            <family val="2"/>
          </rPr>
          <t>Promover la investigación y apropiación de prácticas de recolección y manejo de residuos selectivas (recolección urbana, centros poblados con modelos de autogestión de residuos y programas de aprovechamiento, fortalecer la cadena de valor, logística de transporte, ejecución de los PGIR, recambio de vehículos recolectores compactadores)</t>
        </r>
        <r>
          <rPr>
            <sz val="9"/>
            <color rgb="FF000000"/>
            <rFont val="Tahoma"/>
            <family val="2"/>
          </rPr>
          <t xml:space="preserve">
</t>
        </r>
        <r>
          <rPr>
            <sz val="9"/>
            <color rgb="FF000000"/>
            <rFont val="Tahoma"/>
            <family val="2"/>
          </rPr>
          <t xml:space="preserve">
</t>
        </r>
        <r>
          <rPr>
            <sz val="9"/>
            <color rgb="FF000000"/>
            <rFont val="Tahoma"/>
            <family val="2"/>
          </rPr>
          <t>Incluye: Articular la gestión con otras instituciones para la promoción de un hábitat sostenible (municipios, gestores y recicladores)</t>
        </r>
      </text>
    </comment>
    <comment ref="F75" authorId="0" shapeId="0" xr:uid="{00000000-0006-0000-0500-000059010000}">
      <text>
        <r>
          <rPr>
            <b/>
            <sz val="9"/>
            <color indexed="81"/>
            <rFont val="Tahoma"/>
            <family val="2"/>
          </rPr>
          <t>PGIRS</t>
        </r>
        <r>
          <rPr>
            <sz val="9"/>
            <color indexed="81"/>
            <rFont val="Tahoma"/>
            <family val="2"/>
          </rPr>
          <t xml:space="preserve">
</t>
        </r>
      </text>
    </comment>
    <comment ref="H75" authorId="0" shapeId="0" xr:uid="{00000000-0006-0000-0500-00005A010000}">
      <text>
        <r>
          <rPr>
            <b/>
            <sz val="9"/>
            <color indexed="81"/>
            <rFont val="Tahoma"/>
            <family val="2"/>
          </rPr>
          <t>PGIRS</t>
        </r>
      </text>
    </comment>
    <comment ref="L75" authorId="3" shapeId="0" xr:uid="{00000000-0006-0000-0500-00005B010000}">
      <text>
        <r>
          <rPr>
            <b/>
            <sz val="9"/>
            <color rgb="FF000000"/>
            <rFont val="Tahoma"/>
            <family val="2"/>
          </rPr>
          <t>Línea base:</t>
        </r>
        <r>
          <rPr>
            <sz val="9"/>
            <color rgb="FF000000"/>
            <rFont val="Tahoma"/>
            <family val="2"/>
          </rPr>
          <t xml:space="preserve"> 100%. 80 PGIRS con seguimiento de 80 programados</t>
        </r>
      </text>
    </comment>
    <comment ref="AG75" authorId="6" shapeId="0" xr:uid="{00000000-0006-0000-0500-00005C010000}">
      <text>
        <r>
          <rPr>
            <b/>
            <sz val="14"/>
            <color indexed="81"/>
            <rFont val="Tahoma"/>
            <family val="2"/>
          </rPr>
          <t>Jhoanna Paola Restrepo Cojo:</t>
        </r>
        <r>
          <rPr>
            <sz val="14"/>
            <color indexed="81"/>
            <rFont val="Tahoma"/>
            <family val="2"/>
          </rPr>
          <t xml:space="preserve">
3 Profesional Universitario Grado 11- MELISA, JAIRO, ANTONIO
1 Profesional Universitario Grado 19 ANDRES MART</t>
        </r>
      </text>
    </comment>
    <comment ref="D76" authorId="3" shapeId="0" xr:uid="{00000000-0006-0000-0500-00005D010000}">
      <text>
        <r>
          <rPr>
            <b/>
            <sz val="9"/>
            <color rgb="FF000000"/>
            <rFont val="Tahoma"/>
            <family val="2"/>
          </rPr>
          <t>Promover la investigación y apropiación de prácticas de recolección y manejo de residuos selectivas (recolección urbana, centros poblados con modelos de autogestión de residuos y programas de aprovechamiento, fortalecer la cadena de valor, logística de transporte, ejecución de los PGIR, recambio de vehículos recolectores compactadores)</t>
        </r>
        <r>
          <rPr>
            <sz val="9"/>
            <color rgb="FF000000"/>
            <rFont val="Tahoma"/>
            <family val="2"/>
          </rPr>
          <t xml:space="preserve">
</t>
        </r>
        <r>
          <rPr>
            <sz val="9"/>
            <color rgb="FF000000"/>
            <rFont val="Tahoma"/>
            <family val="2"/>
          </rPr>
          <t xml:space="preserve">
</t>
        </r>
        <r>
          <rPr>
            <sz val="9"/>
            <color rgb="FF000000"/>
            <rFont val="Tahoma"/>
            <family val="2"/>
          </rPr>
          <t>Incluye: Articular la gestión con otras instituciones para la promoción de un hábitat sostenible (municipios, gestores y recicladores)</t>
        </r>
      </text>
    </comment>
    <comment ref="F76" authorId="3" shapeId="0" xr:uid="{00000000-0006-0000-0500-00005E010000}">
      <text>
        <r>
          <rPr>
            <b/>
            <sz val="9"/>
            <color rgb="FF000000"/>
            <rFont val="Tahoma"/>
            <family val="2"/>
          </rPr>
          <t>Promover la investigación y apropiación de prácticas de recolección y manejo de residuos selectivas (recolección urbana, centros poblados con modelos de autogestión de residuos y programas de aprovechamiento, fortalecer la cadena de valor, logística de transporte, ejecución de los PGIR, recambio de vehículos recolectores compactadores)</t>
        </r>
        <r>
          <rPr>
            <sz val="9"/>
            <color rgb="FF000000"/>
            <rFont val="Tahoma"/>
            <family val="2"/>
          </rPr>
          <t xml:space="preserve">
</t>
        </r>
        <r>
          <rPr>
            <sz val="9"/>
            <color rgb="FF000000"/>
            <rFont val="Tahoma"/>
            <family val="2"/>
          </rPr>
          <t xml:space="preserve">
</t>
        </r>
        <r>
          <rPr>
            <sz val="9"/>
            <color rgb="FF000000"/>
            <rFont val="Tahoma"/>
            <family val="2"/>
          </rPr>
          <t>Incluye: Articular la gestión con otras instituciones para la promoción de un hábitat sostenible (municipios, gestores y recicladores)</t>
        </r>
      </text>
    </comment>
    <comment ref="AG76" authorId="0" shapeId="0" xr:uid="{00000000-0006-0000-0500-00005F010000}">
      <text>
        <r>
          <rPr>
            <b/>
            <sz val="9"/>
            <color indexed="81"/>
            <rFont val="Tahoma"/>
            <family val="2"/>
          </rPr>
          <t>Los mismos personal ya valorado celda 74</t>
        </r>
      </text>
    </comment>
    <comment ref="D77" authorId="3" shapeId="0" xr:uid="{00000000-0006-0000-0500-000060010000}">
      <text>
        <r>
          <rPr>
            <b/>
            <sz val="9"/>
            <color indexed="81"/>
            <rFont val="Tahoma"/>
            <family val="2"/>
          </rPr>
          <t>Promover la investigación y apropiación de prácticas de recolección y manejo de residuos selectivas (recolección urbana, centros poblados con modelos de autogestión de residuos y programas de aprovechamiento, fortalecer la cadena de valor, logística de transporte, ejecución de los PGIR, recambio de vehículos recolectores compactadores)</t>
        </r>
        <r>
          <rPr>
            <sz val="9"/>
            <color indexed="81"/>
            <rFont val="Tahoma"/>
            <family val="2"/>
          </rPr>
          <t xml:space="preserve">
Incluye: Articular la gestión con otras instituciones para la promoción de un hábitat sostenible (municipios, gestores y recicladores)</t>
        </r>
      </text>
    </comment>
    <comment ref="AG77" authorId="0" shapeId="0" xr:uid="{00000000-0006-0000-0500-000061010000}">
      <text>
        <r>
          <rPr>
            <b/>
            <sz val="9"/>
            <color indexed="81"/>
            <rFont val="Tahoma"/>
            <family val="2"/>
          </rPr>
          <t>Los mismos personal ya valorado celda 74</t>
        </r>
      </text>
    </comment>
    <comment ref="T78" authorId="0" shapeId="0" xr:uid="{00000000-0006-0000-0500-000062010000}">
      <text>
        <r>
          <rPr>
            <b/>
            <sz val="9"/>
            <color indexed="81"/>
            <rFont val="Tahoma"/>
            <family val="2"/>
          </rPr>
          <t>Apoyo:</t>
        </r>
        <r>
          <rPr>
            <sz val="9"/>
            <color indexed="81"/>
            <rFont val="Tahoma"/>
            <family val="2"/>
          </rPr>
          <t xml:space="preserve"> Subdirección de Gestión Ambiental 
</t>
        </r>
      </text>
    </comment>
    <comment ref="Z78" authorId="0" shapeId="0" xr:uid="{00000000-0006-0000-0500-000063010000}">
      <text>
        <r>
          <rPr>
            <b/>
            <sz val="9"/>
            <color rgb="FF000000"/>
            <rFont val="Tahoma"/>
            <family val="2"/>
          </rPr>
          <t>Antes de 2020-04-14:</t>
        </r>
        <r>
          <rPr>
            <sz val="9"/>
            <color rgb="FF000000"/>
            <rFont val="Tahoma"/>
            <family val="2"/>
          </rPr>
          <t xml:space="preserve"> $ 600.000.000
</t>
        </r>
      </text>
    </comment>
    <comment ref="AA78" authorId="0" shapeId="0" xr:uid="{00000000-0006-0000-0500-000064010000}">
      <text>
        <r>
          <rPr>
            <b/>
            <sz val="9"/>
            <color rgb="FF000000"/>
            <rFont val="Tahoma"/>
            <family val="2"/>
          </rPr>
          <t>Antes de 2020-04-14:</t>
        </r>
        <r>
          <rPr>
            <sz val="9"/>
            <color rgb="FF000000"/>
            <rFont val="Tahoma"/>
            <family val="2"/>
          </rPr>
          <t xml:space="preserve"> $ 700.000.000
</t>
        </r>
      </text>
    </comment>
    <comment ref="AB78" authorId="0" shapeId="0" xr:uid="{00000000-0006-0000-0500-000065010000}">
      <text>
        <r>
          <rPr>
            <b/>
            <sz val="9"/>
            <color rgb="FF000000"/>
            <rFont val="Tahoma"/>
            <family val="2"/>
          </rPr>
          <t>Antes de 2020-04-14:</t>
        </r>
        <r>
          <rPr>
            <sz val="9"/>
            <color rgb="FF000000"/>
            <rFont val="Tahoma"/>
            <family val="2"/>
          </rPr>
          <t xml:space="preserve"> $ 700.000.000
</t>
        </r>
      </text>
    </comment>
    <comment ref="AC78" authorId="0" shapeId="0" xr:uid="{00000000-0006-0000-0500-000066010000}">
      <text>
        <r>
          <rPr>
            <b/>
            <sz val="9"/>
            <color indexed="81"/>
            <rFont val="Tahoma"/>
            <family val="2"/>
          </rPr>
          <t>Antes de 2020-04-14:</t>
        </r>
        <r>
          <rPr>
            <sz val="9"/>
            <color indexed="81"/>
            <rFont val="Tahoma"/>
            <family val="2"/>
          </rPr>
          <t xml:space="preserve"> $ 800.000.000
</t>
        </r>
      </text>
    </comment>
    <comment ref="AD78" authorId="0" shapeId="0" xr:uid="{00000000-0006-0000-0500-000067010000}">
      <text>
        <r>
          <rPr>
            <b/>
            <sz val="9"/>
            <color indexed="81"/>
            <rFont val="Tahoma"/>
            <family val="2"/>
          </rPr>
          <t>Antes 2020-04-14:</t>
        </r>
        <r>
          <rPr>
            <sz val="9"/>
            <color indexed="81"/>
            <rFont val="Tahoma"/>
            <family val="2"/>
          </rPr>
          <t xml:space="preserve"> Contratos y/o convenios
</t>
        </r>
      </text>
    </comment>
    <comment ref="M79" authorId="0" shapeId="0" xr:uid="{00000000-0006-0000-0500-000068010000}">
      <text>
        <r>
          <rPr>
            <b/>
            <sz val="9"/>
            <color rgb="FF000000"/>
            <rFont val="Tahoma"/>
            <family val="2"/>
          </rPr>
          <t>Antes 2020-04-14:</t>
        </r>
        <r>
          <rPr>
            <sz val="9"/>
            <color rgb="FF000000"/>
            <rFont val="Tahoma"/>
            <family val="2"/>
          </rPr>
          <t xml:space="preserve"> 400
</t>
        </r>
      </text>
    </comment>
    <comment ref="N79" authorId="0" shapeId="0" xr:uid="{00000000-0006-0000-0500-000069010000}">
      <text>
        <r>
          <rPr>
            <b/>
            <sz val="9"/>
            <color rgb="FF000000"/>
            <rFont val="Tahoma"/>
            <family val="2"/>
          </rPr>
          <t>Antes 2020-04-14:</t>
        </r>
        <r>
          <rPr>
            <sz val="9"/>
            <color rgb="FF000000"/>
            <rFont val="Tahoma"/>
            <family val="2"/>
          </rPr>
          <t xml:space="preserve"> 1000
</t>
        </r>
        <r>
          <rPr>
            <sz val="9"/>
            <color rgb="FF000000"/>
            <rFont val="Tahoma"/>
            <family val="2"/>
          </rPr>
          <t>Antes 2020-04-15: 800</t>
        </r>
      </text>
    </comment>
    <comment ref="O79" authorId="0" shapeId="0" xr:uid="{00000000-0006-0000-0500-00006A010000}">
      <text>
        <r>
          <rPr>
            <b/>
            <sz val="9"/>
            <color rgb="FF000000"/>
            <rFont val="Tahoma"/>
            <family val="2"/>
          </rPr>
          <t>Antes 2020-04-14:</t>
        </r>
        <r>
          <rPr>
            <sz val="9"/>
            <color rgb="FF000000"/>
            <rFont val="Tahoma"/>
            <family val="2"/>
          </rPr>
          <t xml:space="preserve"> 1000
</t>
        </r>
        <r>
          <rPr>
            <sz val="10"/>
            <color rgb="FF000000"/>
            <rFont val="Calibri"/>
            <family val="2"/>
            <scheme val="minor"/>
          </rPr>
          <t>Antes 2020-04-15: 800</t>
        </r>
        <r>
          <rPr>
            <sz val="9"/>
            <color rgb="FF000000"/>
            <rFont val="Calibri"/>
            <family val="2"/>
            <scheme val="minor"/>
          </rPr>
          <t xml:space="preserve">
</t>
        </r>
      </text>
    </comment>
    <comment ref="P79" authorId="0" shapeId="0" xr:uid="{00000000-0006-0000-0500-00006B010000}">
      <text>
        <r>
          <rPr>
            <b/>
            <sz val="9"/>
            <color rgb="FF000000"/>
            <rFont val="Tahoma"/>
            <family val="2"/>
          </rPr>
          <t>Antes 2020-04-14:</t>
        </r>
        <r>
          <rPr>
            <sz val="9"/>
            <color rgb="FF000000"/>
            <rFont val="Tahoma"/>
            <family val="2"/>
          </rPr>
          <t xml:space="preserve"> 800
</t>
        </r>
      </text>
    </comment>
    <comment ref="Z79" authorId="1" shapeId="0" xr:uid="{00000000-0006-0000-0500-00006C010000}">
      <text>
        <r>
          <rPr>
            <b/>
            <sz val="10"/>
            <color rgb="FF000000"/>
            <rFont val="Tahoma"/>
            <family val="2"/>
          </rPr>
          <t>Antes 2020-04-15:</t>
        </r>
        <r>
          <rPr>
            <sz val="10"/>
            <color rgb="FF000000"/>
            <rFont val="Tahoma"/>
            <family val="2"/>
          </rPr>
          <t xml:space="preserve"> $1.190.649.465,22132</t>
        </r>
      </text>
    </comment>
    <comment ref="AA79" authorId="1" shapeId="0" xr:uid="{00000000-0006-0000-0500-00006D010000}">
      <text>
        <r>
          <rPr>
            <b/>
            <sz val="10"/>
            <color rgb="FF000000"/>
            <rFont val="Calibri"/>
            <family val="2"/>
            <scheme val="minor"/>
          </rPr>
          <t>Antes 2020-04-15</t>
        </r>
        <r>
          <rPr>
            <sz val="10"/>
            <color rgb="FF000000"/>
            <rFont val="Calibri"/>
            <family val="2"/>
            <scheme val="minor"/>
          </rPr>
          <t xml:space="preserve">:
</t>
        </r>
        <r>
          <rPr>
            <sz val="10"/>
            <color rgb="FF000000"/>
            <rFont val="Tahoma"/>
            <family val="2"/>
          </rPr>
          <t>$2.755.040.422</t>
        </r>
      </text>
    </comment>
    <comment ref="AB79" authorId="1" shapeId="0" xr:uid="{00000000-0006-0000-0500-00006E010000}">
      <text>
        <r>
          <rPr>
            <b/>
            <sz val="10"/>
            <color rgb="FF000000"/>
            <rFont val="Calibri"/>
            <family val="2"/>
          </rPr>
          <t>Antes 2020-04-15</t>
        </r>
        <r>
          <rPr>
            <sz val="10"/>
            <color rgb="FF000000"/>
            <rFont val="Calibri"/>
            <family val="2"/>
          </rPr>
          <t xml:space="preserve">:
</t>
        </r>
        <r>
          <rPr>
            <sz val="10"/>
            <color rgb="FF000000"/>
            <rFont val="Tahoma"/>
            <family val="2"/>
          </rPr>
          <t>$2.93.583.263</t>
        </r>
      </text>
    </comment>
    <comment ref="AC79" authorId="1" shapeId="0" xr:uid="{00000000-0006-0000-0500-00006F010000}">
      <text>
        <r>
          <rPr>
            <b/>
            <sz val="10"/>
            <color rgb="FF000000"/>
            <rFont val="Calibri"/>
            <family val="2"/>
            <scheme val="minor"/>
          </rPr>
          <t>Antes 2020-04-15</t>
        </r>
        <r>
          <rPr>
            <sz val="10"/>
            <color rgb="FF000000"/>
            <rFont val="Calibri"/>
            <family val="2"/>
            <scheme val="minor"/>
          </rPr>
          <t xml:space="preserve">:
</t>
        </r>
        <r>
          <rPr>
            <sz val="10"/>
            <color rgb="FF000000"/>
            <rFont val="Tahoma"/>
            <family val="2"/>
          </rPr>
          <t>3.018.425.540</t>
        </r>
      </text>
    </comment>
    <comment ref="H80" authorId="10" shapeId="0" xr:uid="{00000000-0006-0000-0500-000070010000}">
      <text>
        <r>
          <rPr>
            <b/>
            <sz val="9"/>
            <color rgb="FF000000"/>
            <rFont val="Tahoma"/>
            <family val="2"/>
          </rPr>
          <t xml:space="preserve">
Nota: </t>
        </r>
        <r>
          <rPr>
            <sz val="9"/>
            <color rgb="FF000000"/>
            <rFont val="Tahoma"/>
            <family val="2"/>
          </rPr>
          <t>Resolución 667 de 2016</t>
        </r>
        <r>
          <rPr>
            <b/>
            <sz val="9"/>
            <color rgb="FF000000"/>
            <rFont val="Tahoma"/>
            <family val="2"/>
          </rPr>
          <t xml:space="preserve">
Jorge Ignacio Gaviria:</t>
        </r>
        <r>
          <rPr>
            <sz val="9"/>
            <color rgb="FF000000"/>
            <rFont val="Tahoma"/>
            <family val="2"/>
          </rPr>
          <t xml:space="preserve">
A la fecha no se tiene red ni estaciones en residuos y suelo</t>
        </r>
      </text>
    </comment>
    <comment ref="L80" authorId="3" shapeId="0" xr:uid="{00000000-0006-0000-0500-000071010000}">
      <text>
        <r>
          <rPr>
            <b/>
            <sz val="9"/>
            <color rgb="FF000000"/>
            <rFont val="Tahoma"/>
            <family val="2"/>
          </rPr>
          <t>PGAR:</t>
        </r>
        <r>
          <rPr>
            <sz val="9"/>
            <color rgb="FF000000"/>
            <rFont val="Tahoma"/>
            <family val="2"/>
          </rPr>
          <t xml:space="preserve"> &gt;90%. (122 estaciones operativas/136 estaciones (PGAR)
</t>
        </r>
        <r>
          <rPr>
            <b/>
            <sz val="9"/>
            <color rgb="FF000000"/>
            <rFont val="Tahoma"/>
            <family val="2"/>
          </rPr>
          <t xml:space="preserve">Línea base: </t>
        </r>
        <r>
          <rPr>
            <sz val="9"/>
            <color rgb="FF000000"/>
            <rFont val="Tahoma"/>
            <family val="2"/>
          </rPr>
          <t xml:space="preserve">132 redes hidrometeorológicas en operación de 139 instaladas
</t>
        </r>
        <r>
          <rPr>
            <sz val="9"/>
            <color rgb="FF000000"/>
            <rFont val="Tahoma"/>
            <family val="2"/>
          </rPr>
          <t>2 redes de aire en funcionamiento con representatividad de los datos.</t>
        </r>
      </text>
    </comment>
    <comment ref="AG80" authorId="6" shapeId="0" xr:uid="{00000000-0006-0000-0500-000072010000}">
      <text>
        <r>
          <rPr>
            <b/>
            <sz val="14"/>
            <color indexed="81"/>
            <rFont val="Tahoma"/>
            <family val="2"/>
          </rPr>
          <t>Jhoanna Paola Restrepo Cojo:</t>
        </r>
        <r>
          <rPr>
            <sz val="14"/>
            <color indexed="81"/>
            <rFont val="Tahoma"/>
            <family val="2"/>
          </rPr>
          <t xml:space="preserve">
Tecnico Opertivo Grado 18 CARLOS
1 Profesional especializado Grado 17 - ISABEL
1 Profesional universitario Grado 11 - LUISA
1 prestación de servicios por 12 meses - JHOANNA</t>
        </r>
      </text>
    </comment>
    <comment ref="A81" authorId="0" shapeId="0" xr:uid="{00000000-0006-0000-0500-000073010000}">
      <text>
        <r>
          <rPr>
            <b/>
            <sz val="9"/>
            <color indexed="81"/>
            <rFont val="Tahoma"/>
            <family val="2"/>
          </rPr>
          <t>Hasta 2020-02-27:</t>
        </r>
        <r>
          <rPr>
            <sz val="9"/>
            <color indexed="81"/>
            <rFont val="Tahoma"/>
            <family val="2"/>
          </rPr>
          <t xml:space="preserve"> Juntos por el ambiente
</t>
        </r>
      </text>
    </comment>
    <comment ref="B81" authorId="0" shapeId="0" xr:uid="{00000000-0006-0000-0500-000074010000}">
      <text>
        <r>
          <rPr>
            <b/>
            <sz val="9"/>
            <color indexed="81"/>
            <rFont val="Tahoma"/>
            <family val="2"/>
          </rPr>
          <t>Hasta 2020-02-10:</t>
        </r>
        <r>
          <rPr>
            <sz val="9"/>
            <color indexed="81"/>
            <rFont val="Tahoma"/>
            <family val="2"/>
          </rPr>
          <t xml:space="preserve"> Control y seguimiento a la producción sostenible</t>
        </r>
      </text>
    </comment>
    <comment ref="D81" authorId="3" shapeId="0" xr:uid="{00000000-0006-0000-0500-000075010000}">
      <text>
        <r>
          <rPr>
            <sz val="9"/>
            <color rgb="FF000000"/>
            <rFont val="Tahoma"/>
            <family val="2"/>
          </rPr>
          <t xml:space="preserve">Definición de línea base Cero deforestación en cadenas de producción priorizadas 
</t>
        </r>
        <r>
          <rPr>
            <sz val="9"/>
            <color rgb="FF000000"/>
            <rFont val="Tahoma"/>
            <family val="2"/>
          </rPr>
          <t xml:space="preserve">Implementación de los instrumentos de control (SUN-L, Libro de Operaciones).
</t>
        </r>
        <r>
          <rPr>
            <sz val="9"/>
            <color rgb="FF000000"/>
            <rFont val="Tahoma"/>
            <family val="2"/>
          </rPr>
          <t>Definición de línea base Conflictos ambientales con rutas de gestión</t>
        </r>
      </text>
    </comment>
    <comment ref="F81" authorId="3" shapeId="0" xr:uid="{00000000-0006-0000-0500-000076010000}">
      <text>
        <r>
          <rPr>
            <sz val="9"/>
            <color rgb="FF000000"/>
            <rFont val="Tahoma"/>
            <family val="2"/>
          </rPr>
          <t xml:space="preserve">Definición de línea base Cero deforestación en cadenas de producción priorizadas 
</t>
        </r>
        <r>
          <rPr>
            <sz val="9"/>
            <color rgb="FF000000"/>
            <rFont val="Tahoma"/>
            <family val="2"/>
          </rPr>
          <t xml:space="preserve">Implementación de los instrumentos de control (SUN-L, Libro de Operaciones).
</t>
        </r>
        <r>
          <rPr>
            <sz val="9"/>
            <color rgb="FF000000"/>
            <rFont val="Tahoma"/>
            <family val="2"/>
          </rPr>
          <t>Definición de línea base Conflictos ambientales con rutas de gestión</t>
        </r>
      </text>
    </comment>
    <comment ref="H81" authorId="0" shapeId="0" xr:uid="{00000000-0006-0000-0500-000077010000}">
      <text>
        <r>
          <rPr>
            <b/>
            <sz val="9"/>
            <color indexed="81"/>
            <rFont val="Tahoma"/>
            <family val="2"/>
          </rPr>
          <t xml:space="preserve">Nota: </t>
        </r>
        <r>
          <rPr>
            <sz val="9"/>
            <color indexed="81"/>
            <rFont val="Tahoma"/>
            <family val="2"/>
          </rPr>
          <t>PGAR 2020-2031. Modelo de atención con enfoque étnico diferencial en procedimientos de Corantioquia.</t>
        </r>
      </text>
    </comment>
    <comment ref="T81" authorId="3" shapeId="0" xr:uid="{00000000-0006-0000-0500-000078010000}">
      <text>
        <r>
          <rPr>
            <b/>
            <sz val="9"/>
            <color indexed="81"/>
            <rFont val="Tahoma"/>
            <family val="2"/>
          </rPr>
          <t>Apoyo a este proceso: Subdirección de Planeación - Secretaría General - Subdirección de Cultura Ambiental</t>
        </r>
      </text>
    </comment>
    <comment ref="F82" authorId="0" shapeId="0" xr:uid="{00000000-0006-0000-0500-000079010000}">
      <text>
        <r>
          <rPr>
            <b/>
            <sz val="9"/>
            <color rgb="FF000000"/>
            <rFont val="Tahoma"/>
            <family val="2"/>
          </rPr>
          <t>Línea base 0</t>
        </r>
      </text>
    </comment>
    <comment ref="H82" authorId="0" shapeId="0" xr:uid="{00000000-0006-0000-0500-00007A010000}">
      <text>
        <r>
          <rPr>
            <b/>
            <sz val="9"/>
            <color rgb="FF000000"/>
            <rFont val="Tahoma"/>
            <family val="2"/>
          </rPr>
          <t xml:space="preserve">Nota: </t>
        </r>
        <r>
          <rPr>
            <sz val="9"/>
            <color rgb="FF000000"/>
            <rFont val="Tahoma"/>
            <family val="2"/>
          </rPr>
          <t>Indicador PND "Autoridades ambientales que adoptan la Metodología de Evaluación de Daños y Análisis de Necesidades Ambientales"</t>
        </r>
        <r>
          <rPr>
            <b/>
            <sz val="9"/>
            <color rgb="FF000000"/>
            <rFont val="Tahoma"/>
            <family val="2"/>
          </rPr>
          <t xml:space="preserve">
Línea base 0</t>
        </r>
      </text>
    </comment>
    <comment ref="M83" authorId="3" shapeId="0" xr:uid="{00000000-0006-0000-0500-00007B010000}">
      <text>
        <r>
          <rPr>
            <b/>
            <sz val="9"/>
            <color indexed="81"/>
            <rFont val="Tahoma"/>
            <family val="2"/>
          </rPr>
          <t>Definición del mecanismo</t>
        </r>
        <r>
          <rPr>
            <sz val="9"/>
            <color indexed="81"/>
            <rFont val="Tahoma"/>
            <family val="2"/>
          </rPr>
          <t xml:space="preserve">
</t>
        </r>
      </text>
    </comment>
    <comment ref="N83" authorId="3" shapeId="0" xr:uid="{00000000-0006-0000-0500-00007C010000}">
      <text>
        <r>
          <rPr>
            <b/>
            <sz val="9"/>
            <color indexed="81"/>
            <rFont val="Tahoma"/>
            <family val="2"/>
          </rPr>
          <t>Implementación de mecanismos de respuesta</t>
        </r>
      </text>
    </comment>
    <comment ref="T85" authorId="0" shapeId="0" xr:uid="{00000000-0006-0000-0500-00007D010000}">
      <text>
        <r>
          <rPr>
            <b/>
            <sz val="9"/>
            <color indexed="81"/>
            <rFont val="Tahoma"/>
            <family val="2"/>
          </rPr>
          <t>Secretaría General</t>
        </r>
        <r>
          <rPr>
            <sz val="9"/>
            <color indexed="81"/>
            <rFont val="Tahoma"/>
            <family val="2"/>
          </rPr>
          <t xml:space="preserve">
</t>
        </r>
      </text>
    </comment>
    <comment ref="H86" authorId="0" shapeId="0" xr:uid="{00000000-0006-0000-0500-00007E010000}">
      <text>
        <r>
          <rPr>
            <b/>
            <sz val="9"/>
            <color indexed="81"/>
            <rFont val="Tahoma"/>
            <family val="2"/>
          </rPr>
          <t xml:space="preserve">Nota: </t>
        </r>
        <r>
          <rPr>
            <sz val="9"/>
            <color indexed="81"/>
            <rFont val="Tahoma"/>
            <family val="2"/>
          </rPr>
          <t xml:space="preserve">Indicador PGAR con fórmula "Acciones coordinadas efectivamente con autoridades étnicas/acciones identificadas para la coordinación".
</t>
        </r>
      </text>
    </comment>
    <comment ref="L86" authorId="0" shapeId="0" xr:uid="{00000000-0006-0000-0500-00007F010000}">
      <text>
        <r>
          <rPr>
            <b/>
            <sz val="9"/>
            <color indexed="81"/>
            <rFont val="Tahoma"/>
            <family val="2"/>
          </rPr>
          <t>De 10 acciones que se identifiquen para coordinar al menos 5 se coordinen en este cuatrenio</t>
        </r>
        <r>
          <rPr>
            <sz val="9"/>
            <color indexed="81"/>
            <rFont val="Tahoma"/>
            <family val="2"/>
          </rPr>
          <t xml:space="preserve">
</t>
        </r>
      </text>
    </comment>
    <comment ref="T86" authorId="0" shapeId="0" xr:uid="{00000000-0006-0000-0500-000080010000}">
      <text>
        <r>
          <rPr>
            <b/>
            <sz val="9"/>
            <color indexed="81"/>
            <rFont val="Tahoma"/>
            <family val="2"/>
          </rPr>
          <t xml:space="preserve">Apoyo: </t>
        </r>
        <r>
          <rPr>
            <sz val="9"/>
            <color indexed="81"/>
            <rFont val="Tahoma"/>
            <family val="2"/>
          </rPr>
          <t>Subdirección de Cultura Ambiental</t>
        </r>
      </text>
    </comment>
    <comment ref="F87" authorId="0" shapeId="0" xr:uid="{00000000-0006-0000-0500-000081010000}">
      <text>
        <r>
          <rPr>
            <b/>
            <sz val="9"/>
            <color rgb="FF000000"/>
            <rFont val="Tahoma"/>
            <family val="2"/>
          </rPr>
          <t>Marlo Giovanny Florez Mejia:</t>
        </r>
        <r>
          <rPr>
            <sz val="9"/>
            <color rgb="FF000000"/>
            <rFont val="Tahoma"/>
            <family val="2"/>
          </rPr>
          <t xml:space="preserve">
</t>
        </r>
        <r>
          <rPr>
            <sz val="9"/>
            <color rgb="FF000000"/>
            <rFont val="Tahoma"/>
            <family val="2"/>
          </rPr>
          <t>no es la atención de un evento. Es la atención integral de una situación que se presenta en uno o varios sitios simultáneamente</t>
        </r>
      </text>
    </comment>
    <comment ref="H87" authorId="0" shapeId="0" xr:uid="{00000000-0006-0000-0500-000082010000}">
      <text>
        <r>
          <rPr>
            <b/>
            <sz val="9"/>
            <color rgb="FF000000"/>
            <rFont val="Tahoma"/>
            <family val="2"/>
          </rPr>
          <t>Marlo Giovanny Florez Mejia:</t>
        </r>
        <r>
          <rPr>
            <sz val="9"/>
            <color rgb="FF000000"/>
            <rFont val="Tahoma"/>
            <family val="2"/>
          </rPr>
          <t xml:space="preserve">
</t>
        </r>
        <r>
          <rPr>
            <sz val="9"/>
            <color rgb="FF000000"/>
            <rFont val="Tahoma"/>
            <family val="2"/>
          </rPr>
          <t>no es la atención de un evento. Es la atención integral de una situación que se presenta en uno o varios sitios simultáneamente</t>
        </r>
      </text>
    </comment>
    <comment ref="M87" authorId="0" shapeId="0" xr:uid="{00000000-0006-0000-0500-000083010000}">
      <text>
        <r>
          <rPr>
            <b/>
            <sz val="9"/>
            <color rgb="FF000000"/>
            <rFont val="Tahoma"/>
            <family val="2"/>
          </rPr>
          <t>Deforestación</t>
        </r>
        <r>
          <rPr>
            <sz val="9"/>
            <color rgb="FF000000"/>
            <rFont val="Tahoma"/>
            <family val="2"/>
          </rPr>
          <t xml:space="preserve">
</t>
        </r>
      </text>
    </comment>
    <comment ref="N87" authorId="0" shapeId="0" xr:uid="{00000000-0006-0000-0500-000084010000}">
      <text>
        <r>
          <rPr>
            <b/>
            <sz val="9"/>
            <color rgb="FF000000"/>
            <rFont val="Tahoma"/>
            <family val="2"/>
          </rPr>
          <t xml:space="preserve">Deforestación
</t>
        </r>
        <r>
          <rPr>
            <b/>
            <sz val="9"/>
            <color rgb="FF000000"/>
            <rFont val="Tahoma"/>
            <family val="2"/>
          </rPr>
          <t>Actividades mineras</t>
        </r>
      </text>
    </comment>
    <comment ref="O87" authorId="0" shapeId="0" xr:uid="{00000000-0006-0000-0500-000085010000}">
      <text>
        <r>
          <rPr>
            <b/>
            <sz val="9"/>
            <color rgb="FF000000"/>
            <rFont val="Tahoma"/>
            <family val="2"/>
          </rPr>
          <t xml:space="preserve">Deforestación
</t>
        </r>
        <r>
          <rPr>
            <b/>
            <sz val="9"/>
            <color rgb="FF000000"/>
            <rFont val="Tahoma"/>
            <family val="2"/>
          </rPr>
          <t xml:space="preserve">Actividades mineras
</t>
        </r>
        <r>
          <rPr>
            <b/>
            <sz val="9"/>
            <color rgb="FF000000"/>
            <rFont val="Tahoma"/>
            <family val="2"/>
          </rPr>
          <t>Especies invasoras</t>
        </r>
      </text>
    </comment>
    <comment ref="P87" authorId="0" shapeId="0" xr:uid="{00000000-0006-0000-0500-000086010000}">
      <text>
        <r>
          <rPr>
            <b/>
            <sz val="9"/>
            <color rgb="FF000000"/>
            <rFont val="Tahoma"/>
            <family val="2"/>
          </rPr>
          <t xml:space="preserve">Deforestación
</t>
        </r>
        <r>
          <rPr>
            <b/>
            <sz val="9"/>
            <color rgb="FF000000"/>
            <rFont val="Tahoma"/>
            <family val="2"/>
          </rPr>
          <t xml:space="preserve">Actividades mineras
</t>
        </r>
        <r>
          <rPr>
            <b/>
            <sz val="9"/>
            <color rgb="FF000000"/>
            <rFont val="Tahoma"/>
            <family val="2"/>
          </rPr>
          <t xml:space="preserve">Especies invasoras
</t>
        </r>
        <r>
          <rPr>
            <b/>
            <sz val="9"/>
            <color rgb="FF000000"/>
            <rFont val="Tahoma"/>
            <family val="2"/>
          </rPr>
          <t>Contingencias por derrames y atmosféricas</t>
        </r>
      </text>
    </comment>
    <comment ref="F88" authorId="3" shapeId="0" xr:uid="{00000000-0006-0000-0500-000087010000}">
      <text>
        <r>
          <rPr>
            <b/>
            <sz val="9"/>
            <color rgb="FF000000"/>
            <rFont val="Tahoma"/>
            <family val="2"/>
          </rPr>
          <t>(acueductos veredales, sectores y comunidades étnicas)</t>
        </r>
      </text>
    </comment>
    <comment ref="H88" authorId="3" shapeId="0" xr:uid="{00000000-0006-0000-0500-000088010000}">
      <text>
        <r>
          <rPr>
            <b/>
            <sz val="9"/>
            <color rgb="FF000000"/>
            <rFont val="Tahoma"/>
            <family val="2"/>
          </rPr>
          <t>(acueductos veredales, sectores y comunidades étnicas)</t>
        </r>
      </text>
    </comment>
    <comment ref="T88" authorId="0" shapeId="0" xr:uid="{00000000-0006-0000-0500-000089010000}">
      <text>
        <r>
          <rPr>
            <b/>
            <sz val="9"/>
            <color indexed="81"/>
            <rFont val="Tahoma"/>
            <family val="2"/>
          </rPr>
          <t xml:space="preserve">Apoyo: </t>
        </r>
        <r>
          <rPr>
            <sz val="9"/>
            <color indexed="81"/>
            <rFont val="Tahoma"/>
            <family val="2"/>
          </rPr>
          <t>Subdirección de Cultura Ambiental</t>
        </r>
      </text>
    </comment>
    <comment ref="F89" authorId="3" shapeId="0" xr:uid="{00000000-0006-0000-0500-00008A010000}">
      <text>
        <r>
          <rPr>
            <b/>
            <sz val="9"/>
            <color rgb="FF000000"/>
            <rFont val="Tahoma"/>
            <family val="2"/>
          </rPr>
          <t xml:space="preserve">El control y seguimiento:
</t>
        </r>
        <r>
          <rPr>
            <b/>
            <sz val="9"/>
            <color rgb="FF000000"/>
            <rFont val="Tahoma"/>
            <family val="2"/>
          </rPr>
          <t xml:space="preserve">Al expediente
</t>
        </r>
        <r>
          <rPr>
            <b/>
            <sz val="9"/>
            <color rgb="FF000000"/>
            <rFont val="Tahoma"/>
            <family val="2"/>
          </rPr>
          <t xml:space="preserve">Al territorio
</t>
        </r>
        <r>
          <rPr>
            <b/>
            <sz val="9"/>
            <color rgb="FF000000"/>
            <rFont val="Tahoma"/>
            <family val="2"/>
          </rPr>
          <t>A los procesos sancionatorios (no autorizados)</t>
        </r>
        <r>
          <rPr>
            <sz val="9"/>
            <color rgb="FF000000"/>
            <rFont val="Tahoma"/>
            <family val="2"/>
          </rPr>
          <t xml:space="preserve">
</t>
        </r>
      </text>
    </comment>
    <comment ref="H89" authorId="3" shapeId="0" xr:uid="{00000000-0006-0000-0500-00008B010000}">
      <text>
        <r>
          <rPr>
            <b/>
            <sz val="9"/>
            <color rgb="FF000000"/>
            <rFont val="Tahoma"/>
            <family val="2"/>
          </rPr>
          <t xml:space="preserve">El control y seguimiento:
</t>
        </r>
        <r>
          <rPr>
            <b/>
            <sz val="9"/>
            <color rgb="FF000000"/>
            <rFont val="Tahoma"/>
            <family val="2"/>
          </rPr>
          <t xml:space="preserve">Al expediente
</t>
        </r>
        <r>
          <rPr>
            <b/>
            <sz val="9"/>
            <color rgb="FF000000"/>
            <rFont val="Tahoma"/>
            <family val="2"/>
          </rPr>
          <t xml:space="preserve">Al territorio
</t>
        </r>
        <r>
          <rPr>
            <b/>
            <sz val="9"/>
            <color rgb="FF000000"/>
            <rFont val="Tahoma"/>
            <family val="2"/>
          </rPr>
          <t>A los procesos sancionatorios (no autorizados)</t>
        </r>
        <r>
          <rPr>
            <sz val="9"/>
            <color rgb="FF000000"/>
            <rFont val="Tahoma"/>
            <family val="2"/>
          </rPr>
          <t xml:space="preserve">
</t>
        </r>
      </text>
    </comment>
    <comment ref="K89" authorId="1" shapeId="0" xr:uid="{00000000-0006-0000-0500-00008C010000}">
      <text>
        <r>
          <rPr>
            <b/>
            <sz val="10"/>
            <color rgb="FF000000"/>
            <rFont val="Tahoma"/>
            <family val="2"/>
          </rPr>
          <t>Se trata de un nuevo modelo por lo tanto no se tiene línea base.</t>
        </r>
        <r>
          <rPr>
            <sz val="10"/>
            <color rgb="FF000000"/>
            <rFont val="Tahoma"/>
            <family val="2"/>
          </rPr>
          <t xml:space="preserve">
</t>
        </r>
      </text>
    </comment>
    <comment ref="T89" authorId="0" shapeId="0" xr:uid="{00000000-0006-0000-0500-00008D010000}">
      <text>
        <r>
          <rPr>
            <b/>
            <sz val="9"/>
            <color rgb="FF000000"/>
            <rFont val="Tahoma"/>
            <family val="2"/>
          </rPr>
          <t xml:space="preserve"> - Subdirección de Cultura Ambiental</t>
        </r>
      </text>
    </comment>
    <comment ref="T90" authorId="0" shapeId="0" xr:uid="{00000000-0006-0000-0500-00008E010000}">
      <text>
        <r>
          <rPr>
            <b/>
            <sz val="9"/>
            <color indexed="81"/>
            <rFont val="Tahoma"/>
            <family val="2"/>
          </rPr>
          <t xml:space="preserve"> - Subdirección de Cultura Ambiental</t>
        </r>
        <r>
          <rPr>
            <sz val="9"/>
            <color indexed="81"/>
            <rFont val="Tahoma"/>
            <family val="2"/>
          </rPr>
          <t xml:space="preserve">
</t>
        </r>
      </text>
    </comment>
    <comment ref="H91" authorId="0" shapeId="0" xr:uid="{00000000-0006-0000-0500-00008F010000}">
      <text>
        <r>
          <rPr>
            <b/>
            <sz val="9"/>
            <color rgb="FF000000"/>
            <rFont val="Tahoma"/>
            <family val="2"/>
          </rPr>
          <t>Con este Plan, Colombia daría cumplimento a la ley 1658 de 2013 y los compromisos internacionales que Colombia ha adquirido como lo son el convenio de Minambiente y el Acuerdo de París.</t>
        </r>
      </text>
    </comment>
    <comment ref="L91" authorId="0" shapeId="0" xr:uid="{00000000-0006-0000-0500-000090010000}">
      <text>
        <r>
          <rPr>
            <b/>
            <sz val="9"/>
            <color indexed="81"/>
            <rFont val="Tahoma"/>
            <family val="2"/>
          </rPr>
          <t>Línea base 0%</t>
        </r>
      </text>
    </comment>
    <comment ref="T91" authorId="0" shapeId="0" xr:uid="{00000000-0006-0000-0500-000091010000}">
      <text>
        <r>
          <rPr>
            <b/>
            <sz val="9"/>
            <color indexed="81"/>
            <rFont val="Tahoma"/>
            <family val="2"/>
          </rPr>
          <t>Apoyo:</t>
        </r>
        <r>
          <rPr>
            <sz val="9"/>
            <color indexed="81"/>
            <rFont val="Tahoma"/>
            <family val="2"/>
          </rPr>
          <t xml:space="preserve"> Subdirección de Regionalización
</t>
        </r>
      </text>
    </comment>
    <comment ref="AG91" authorId="0" shapeId="0" xr:uid="{00000000-0006-0000-0500-000092010000}">
      <text>
        <r>
          <rPr>
            <b/>
            <sz val="9"/>
            <color rgb="FF000000"/>
            <rFont val="Tahoma"/>
            <family val="2"/>
          </rPr>
          <t>Los mismos personal ya valorado celda 62</t>
        </r>
      </text>
    </comment>
    <comment ref="F92" authorId="0" shapeId="0" xr:uid="{00000000-0006-0000-0500-000093010000}">
      <text>
        <r>
          <rPr>
            <b/>
            <sz val="9"/>
            <color rgb="FF000000"/>
            <rFont val="Tahoma"/>
            <family val="2"/>
          </rPr>
          <t>Línea base 75%</t>
        </r>
      </text>
    </comment>
    <comment ref="H92" authorId="0" shapeId="0" xr:uid="{00000000-0006-0000-0500-000094010000}">
      <text>
        <r>
          <rPr>
            <b/>
            <sz val="9"/>
            <color rgb="FF000000"/>
            <rFont val="Tahoma"/>
            <family val="2"/>
          </rPr>
          <t>Línea base 75%</t>
        </r>
      </text>
    </comment>
    <comment ref="L93" authorId="3" shapeId="0" xr:uid="{00000000-0006-0000-0500-000095010000}">
      <text>
        <r>
          <rPr>
            <b/>
            <sz val="9"/>
            <color indexed="81"/>
            <rFont val="Tahoma"/>
            <family val="2"/>
          </rPr>
          <t>Línea base:</t>
        </r>
        <r>
          <rPr>
            <sz val="9"/>
            <color indexed="81"/>
            <rFont val="Tahoma"/>
            <family val="2"/>
          </rPr>
          <t xml:space="preserve"> 95%. La meta 2019 esta establecida en 90 días de tiempo promedio. Equivale al Indicador  4.1.1 del Plan de Acción 2016-2019</t>
        </r>
      </text>
    </comment>
    <comment ref="L94" authorId="3" shapeId="0" xr:uid="{00000000-0006-0000-0500-000096010000}">
      <text>
        <r>
          <rPr>
            <b/>
            <sz val="9"/>
            <color indexed="81"/>
            <rFont val="Tahoma"/>
            <family val="2"/>
          </rPr>
          <t>Línea base:</t>
        </r>
        <r>
          <rPr>
            <sz val="9"/>
            <color indexed="81"/>
            <rFont val="Tahoma"/>
            <family val="2"/>
          </rPr>
          <t xml:space="preserve"> 30%. Durante el año 2019, se resolvieron procesos sancionatorios mediante actuaciones de cesación o de determinación de responsabilidades en un total de 203 trámites (62 cesados y 141 decididos)</t>
        </r>
      </text>
    </comment>
    <comment ref="L95" authorId="3" shapeId="0" xr:uid="{00000000-0006-0000-0500-000097010000}">
      <text>
        <r>
          <rPr>
            <b/>
            <sz val="9"/>
            <color rgb="FF000000"/>
            <rFont val="Tahoma"/>
            <family val="2"/>
          </rPr>
          <t>Línea base:</t>
        </r>
        <r>
          <rPr>
            <sz val="9"/>
            <color rgb="FF000000"/>
            <rFont val="Tahoma"/>
            <family val="2"/>
          </rPr>
          <t xml:space="preserve"> 100%. Se estimó como meta 1957 autorizaciones ambientales.</t>
        </r>
      </text>
    </comment>
    <comment ref="D96" authorId="7" shapeId="0" xr:uid="{00000000-0006-0000-0500-00009801000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la apropiación y colaboración social en la administración ambiental</t>
        </r>
      </text>
    </comment>
    <comment ref="F96" authorId="7" shapeId="0" xr:uid="{00000000-0006-0000-0500-00009901000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la apropiación y colaboración social en la administración ambiental</t>
        </r>
      </text>
    </comment>
    <comment ref="H96" authorId="7" shapeId="0" xr:uid="{00000000-0006-0000-0500-00009A01000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con apropiación y colaboración social en la administración ambiental</t>
        </r>
      </text>
    </comment>
    <comment ref="L96" authorId="7" shapeId="0" xr:uid="{00000000-0006-0000-0500-00009B010000}">
      <text>
        <r>
          <rPr>
            <b/>
            <sz val="10"/>
            <color rgb="FF000000"/>
            <rFont val="Tahoma"/>
            <family val="2"/>
          </rPr>
          <t xml:space="preserve">22_03_2020
</t>
        </r>
        <r>
          <rPr>
            <b/>
            <sz val="10"/>
            <color rgb="FF000000"/>
            <rFont val="Tahoma"/>
            <family val="2"/>
          </rPr>
          <t xml:space="preserve">
</t>
        </r>
        <r>
          <rPr>
            <b/>
            <sz val="10"/>
            <color rgb="FF000000"/>
            <rFont val="Tahoma"/>
            <family val="2"/>
          </rPr>
          <t xml:space="preserve">2020-2023: 4
</t>
        </r>
        <r>
          <rPr>
            <b/>
            <sz val="10"/>
            <color rgb="FF000000"/>
            <rFont val="Tahoma"/>
            <family val="2"/>
          </rPr>
          <t xml:space="preserve">
</t>
        </r>
        <r>
          <rPr>
            <b/>
            <sz val="10"/>
            <color rgb="FF000000"/>
            <rFont val="Tahoma"/>
            <family val="2"/>
          </rPr>
          <t xml:space="preserve">0
</t>
        </r>
        <r>
          <rPr>
            <b/>
            <sz val="10"/>
            <color rgb="FF000000"/>
            <rFont val="Tahoma"/>
            <family val="2"/>
          </rPr>
          <t xml:space="preserve">1
</t>
        </r>
        <r>
          <rPr>
            <b/>
            <sz val="10"/>
            <color rgb="FF000000"/>
            <rFont val="Tahoma"/>
            <family val="2"/>
          </rPr>
          <t xml:space="preserve">2
</t>
        </r>
        <r>
          <rPr>
            <b/>
            <sz val="10"/>
            <color rgb="FF000000"/>
            <rFont val="Tahoma"/>
            <family val="2"/>
          </rPr>
          <t>4</t>
        </r>
      </text>
    </comment>
    <comment ref="C97" authorId="3" shapeId="0" xr:uid="{00000000-0006-0000-0500-00009C010000}">
      <text>
        <r>
          <rPr>
            <b/>
            <sz val="9"/>
            <color rgb="FF000000"/>
            <rFont val="Tahoma"/>
            <family val="2"/>
          </rPr>
          <t xml:space="preserve">Incluye:
</t>
        </r>
        <r>
          <rPr>
            <b/>
            <sz val="9"/>
            <color rgb="FF000000"/>
            <rFont val="Tahoma"/>
            <family val="2"/>
          </rPr>
          <t xml:space="preserve">* Definición de línea base Municipios con capacidad alta para la gestión ambiental
</t>
        </r>
        <r>
          <rPr>
            <b/>
            <sz val="9"/>
            <color rgb="FF000000"/>
            <rFont val="Tahoma"/>
            <family val="2"/>
          </rPr>
          <t xml:space="preserve">* Definición de línea base Percepción de las organizaciones respecto al nivel de fortalecimiento de su capacidad instalada
</t>
        </r>
        <r>
          <rPr>
            <b/>
            <sz val="9"/>
            <color rgb="FF000000"/>
            <rFont val="Tahoma"/>
            <family val="2"/>
          </rPr>
          <t xml:space="preserve">* Definición de línea base Percepción de ciudadanos respecto al nivel de fortalecimiento de su capacidad instalada
</t>
        </r>
        <r>
          <rPr>
            <b/>
            <sz val="9"/>
            <color rgb="FF000000"/>
            <rFont val="Tahoma"/>
            <family val="2"/>
          </rPr>
          <t xml:space="preserve">* Definición de línea base Percepción de usuarios respecto al nivel de fortalecimiento de su capacidad instalada
</t>
        </r>
        <r>
          <rPr>
            <b/>
            <sz val="9"/>
            <color rgb="FF000000"/>
            <rFont val="Tahoma"/>
            <family val="2"/>
          </rPr>
          <t xml:space="preserve">* Implementar acciones para incluir el enfoque étnico, de género e intergeneracional en los procesos de educación ambiental.
</t>
        </r>
        <r>
          <rPr>
            <b/>
            <sz val="9"/>
            <color rgb="FF000000"/>
            <rFont val="Tahoma"/>
            <family val="2"/>
          </rPr>
          <t>* Priorizar acciones de en territorios colectivos y con grupos étnicos de a los compromisos de PND.</t>
        </r>
        <r>
          <rPr>
            <sz val="9"/>
            <color rgb="FF000000"/>
            <rFont val="Tahoma"/>
            <family val="2"/>
          </rPr>
          <t xml:space="preserve">
</t>
        </r>
      </text>
    </comment>
    <comment ref="D97" authorId="0" shapeId="0" xr:uid="{00000000-0006-0000-0500-00009D010000}">
      <text>
        <r>
          <rPr>
            <sz val="9"/>
            <color rgb="FF000000"/>
            <rFont val="Tahoma"/>
            <family val="2"/>
          </rPr>
          <t xml:space="preserve">
</t>
        </r>
        <r>
          <rPr>
            <sz val="9"/>
            <color rgb="FF000000"/>
            <rFont val="Tahoma"/>
            <family val="2"/>
          </rPr>
          <t>(Interoperabilidad de Sistemas de Información con Gobernación, Municipios, MADS, AMVA) y con el respaldo de TIC – Tecnologías de Información y Conocimiento</t>
        </r>
      </text>
    </comment>
    <comment ref="E97" authorId="3" shapeId="0" xr:uid="{00000000-0006-0000-0500-00009E010000}">
      <text>
        <r>
          <rPr>
            <b/>
            <sz val="9"/>
            <color rgb="FF000000"/>
            <rFont val="Tahoma"/>
            <family val="2"/>
          </rPr>
          <t xml:space="preserve">Incluye:
</t>
        </r>
        <r>
          <rPr>
            <b/>
            <sz val="9"/>
            <color rgb="FF000000"/>
            <rFont val="Tahoma"/>
            <family val="2"/>
          </rPr>
          <t xml:space="preserve">* Definición de línea base Municipios con capacidad alta para la gestión ambiental
</t>
        </r>
        <r>
          <rPr>
            <b/>
            <sz val="9"/>
            <color rgb="FF000000"/>
            <rFont val="Tahoma"/>
            <family val="2"/>
          </rPr>
          <t xml:space="preserve">* Definición de línea base Percepción de las organizaciones respecto al nivel de fortalecimiento de su capacidad instalada
</t>
        </r>
        <r>
          <rPr>
            <b/>
            <sz val="9"/>
            <color rgb="FF000000"/>
            <rFont val="Tahoma"/>
            <family val="2"/>
          </rPr>
          <t xml:space="preserve">* Definición de línea base Percepción de ciudadanos respecto al nivel de fortalecimiento de su capacidad instalada
</t>
        </r>
        <r>
          <rPr>
            <b/>
            <sz val="9"/>
            <color rgb="FF000000"/>
            <rFont val="Tahoma"/>
            <family val="2"/>
          </rPr>
          <t xml:space="preserve">* Definición de línea base Percepción de usuarios respecto al nivel de fortalecimiento de su capacidad instalada
</t>
        </r>
        <r>
          <rPr>
            <b/>
            <sz val="9"/>
            <color rgb="FF000000"/>
            <rFont val="Tahoma"/>
            <family val="2"/>
          </rPr>
          <t xml:space="preserve">* Implementar acciones para incluir el enfoque étnico, de género e intergeneracional en los procesos de educación ambiental.
</t>
        </r>
        <r>
          <rPr>
            <b/>
            <sz val="9"/>
            <color rgb="FF000000"/>
            <rFont val="Tahoma"/>
            <family val="2"/>
          </rPr>
          <t>* Priorizar acciones de en territorios colectivos y con grupos étnicos de a los compromisos de PND.</t>
        </r>
        <r>
          <rPr>
            <sz val="9"/>
            <color rgb="FF000000"/>
            <rFont val="Tahoma"/>
            <family val="2"/>
          </rPr>
          <t xml:space="preserve">
</t>
        </r>
      </text>
    </comment>
    <comment ref="T97" authorId="3" shapeId="0" xr:uid="{00000000-0006-0000-0500-00009F010000}">
      <text>
        <r>
          <rPr>
            <b/>
            <sz val="9"/>
            <color rgb="FF000000"/>
            <rFont val="Tahoma"/>
            <family val="2"/>
          </rPr>
          <t xml:space="preserve">Apoyo:
</t>
        </r>
        <r>
          <rPr>
            <sz val="9"/>
            <color rgb="FF000000"/>
            <rFont val="Tahoma"/>
            <family val="2"/>
          </rPr>
          <t xml:space="preserve">
</t>
        </r>
        <r>
          <rPr>
            <sz val="9"/>
            <color rgb="FF000000"/>
            <rFont val="Tahoma"/>
            <family val="2"/>
          </rPr>
          <t xml:space="preserve"> - Subdirección de Planeación
</t>
        </r>
        <r>
          <rPr>
            <sz val="9"/>
            <color rgb="FF000000"/>
            <rFont val="Tahoma"/>
            <family val="2"/>
          </rPr>
          <t xml:space="preserve"> - Subdirección de Cultura</t>
        </r>
      </text>
    </comment>
    <comment ref="T98" authorId="0" shapeId="0" xr:uid="{00000000-0006-0000-0500-0000A0010000}">
      <text>
        <r>
          <rPr>
            <b/>
            <sz val="9"/>
            <color rgb="FF000000"/>
            <rFont val="Tahoma"/>
            <family val="2"/>
          </rPr>
          <t>Apoyo:</t>
        </r>
        <r>
          <rPr>
            <sz val="9"/>
            <color rgb="FF000000"/>
            <rFont val="Tahoma"/>
            <family val="2"/>
          </rPr>
          <t xml:space="preserve"> Subdirección de Planeación
</t>
        </r>
      </text>
    </comment>
    <comment ref="AA98" authorId="0" shapeId="0" xr:uid="{00000000-0006-0000-0500-0000A1010000}">
      <text>
        <r>
          <rPr>
            <b/>
            <sz val="9"/>
            <color rgb="FF000000"/>
            <rFont val="Tahoma"/>
            <family val="2"/>
          </rPr>
          <t>Antes de 2020-04-14:</t>
        </r>
        <r>
          <rPr>
            <sz val="9"/>
            <color rgb="FF000000"/>
            <rFont val="Tahoma"/>
            <family val="2"/>
          </rPr>
          <t xml:space="preserve"> 500.000.000
</t>
        </r>
      </text>
    </comment>
    <comment ref="AB98" authorId="0" shapeId="0" xr:uid="{00000000-0006-0000-0500-0000A2010000}">
      <text>
        <r>
          <rPr>
            <b/>
            <sz val="9"/>
            <color rgb="FF000000"/>
            <rFont val="Tahoma"/>
            <family val="2"/>
          </rPr>
          <t>Antes de 2020-04-14:</t>
        </r>
        <r>
          <rPr>
            <sz val="9"/>
            <color rgb="FF000000"/>
            <rFont val="Tahoma"/>
            <family val="2"/>
          </rPr>
          <t xml:space="preserve"> 750.000.000
</t>
        </r>
      </text>
    </comment>
    <comment ref="AC98" authorId="0" shapeId="0" xr:uid="{00000000-0006-0000-0500-0000A3010000}">
      <text>
        <r>
          <rPr>
            <b/>
            <sz val="9"/>
            <color rgb="FF000000"/>
            <rFont val="Tahoma"/>
            <family val="2"/>
          </rPr>
          <t>Antes de 2020-04-14:</t>
        </r>
        <r>
          <rPr>
            <sz val="9"/>
            <color rgb="FF000000"/>
            <rFont val="Tahoma"/>
            <family val="2"/>
          </rPr>
          <t xml:space="preserve"> 1.000.000.000
</t>
        </r>
      </text>
    </comment>
    <comment ref="T99" authorId="3" shapeId="0" xr:uid="{00000000-0006-0000-0500-0000A4010000}">
      <text>
        <r>
          <rPr>
            <b/>
            <sz val="9"/>
            <color rgb="FF000000"/>
            <rFont val="Tahoma"/>
            <family val="2"/>
          </rPr>
          <t xml:space="preserve">Apoyo </t>
        </r>
        <r>
          <rPr>
            <sz val="9"/>
            <color rgb="FF000000"/>
            <rFont val="Tahoma"/>
            <family val="2"/>
          </rPr>
          <t xml:space="preserve">
</t>
        </r>
        <r>
          <rPr>
            <sz val="9"/>
            <color rgb="FF000000"/>
            <rFont val="Tahoma"/>
            <family val="2"/>
          </rPr>
          <t>- Subdirección de Gestión Ambiental - Subdirección de Ecosistemas - Subdirección de Regionalización</t>
        </r>
      </text>
    </comment>
    <comment ref="D100" authorId="3" shapeId="0" xr:uid="{00000000-0006-0000-0500-0000A5010000}">
      <text>
        <r>
          <rPr>
            <b/>
            <sz val="9"/>
            <color rgb="FF000000"/>
            <rFont val="Tahoma"/>
            <family val="2"/>
          </rPr>
          <t xml:space="preserve">El perfil de los profesionales de las OT debe responder al contexto de las mismas.
</t>
        </r>
        <r>
          <rPr>
            <sz val="9"/>
            <color rgb="FF000000"/>
            <rFont val="Tahoma"/>
            <family val="2"/>
          </rPr>
          <t xml:space="preserve">
</t>
        </r>
        <r>
          <rPr>
            <b/>
            <sz val="9"/>
            <color rgb="FF000000"/>
            <rFont val="Tahoma"/>
            <family val="2"/>
          </rPr>
          <t>Hasta 2020-03-09:</t>
        </r>
        <r>
          <rPr>
            <sz val="9"/>
            <color rgb="FF000000"/>
            <rFont val="Tahoma"/>
            <family val="2"/>
          </rPr>
          <t xml:space="preserve"> Realizar la modernización institucional.
</t>
        </r>
        <r>
          <rPr>
            <sz val="9"/>
            <color rgb="FF000000"/>
            <rFont val="Tahoma"/>
            <family val="2"/>
          </rPr>
          <t xml:space="preserve">Considerar:
</t>
        </r>
        <r>
          <rPr>
            <sz val="9"/>
            <color rgb="FF000000"/>
            <rFont val="Tahoma"/>
            <family val="2"/>
          </rPr>
          <t xml:space="preserve">- el dialogo interno entre todas las dependencias.
</t>
        </r>
        <r>
          <rPr>
            <sz val="9"/>
            <color rgb="FF000000"/>
            <rFont val="Tahoma"/>
            <family val="2"/>
          </rPr>
          <t xml:space="preserve">- Implementar una estrategia para la gestión de recursos para la financiación de los instrumentos de planificación corporativos.
</t>
        </r>
        <r>
          <rPr>
            <sz val="9"/>
            <color rgb="FF000000"/>
            <rFont val="Tahoma"/>
            <family val="2"/>
          </rPr>
          <t xml:space="preserve">- Unidad de analítica
</t>
        </r>
        <r>
          <rPr>
            <sz val="9"/>
            <color rgb="FF000000"/>
            <rFont val="Tahoma"/>
            <family val="2"/>
          </rPr>
          <t xml:space="preserve">- Fortalecer los equipos técnicos (personal, infraestructura y tecnología) (programa III. Modelo de ocupación sostenible, programa 5. Orientando la ocupación del territorio).
</t>
        </r>
        <r>
          <rPr>
            <sz val="9"/>
            <color rgb="FF000000"/>
            <rFont val="Tahoma"/>
            <family val="2"/>
          </rPr>
          <t xml:space="preserve">-Considerar al BPC
</t>
        </r>
        <r>
          <rPr>
            <sz val="9"/>
            <color rgb="FF000000"/>
            <rFont val="Tahoma"/>
            <family val="2"/>
          </rPr>
          <t xml:space="preserve">- Considerar SIG
</t>
        </r>
        <r>
          <rPr>
            <sz val="9"/>
            <color rgb="FF000000"/>
            <rFont val="Tahoma"/>
            <family val="2"/>
          </rPr>
          <t xml:space="preserve">
</t>
        </r>
        <r>
          <rPr>
            <sz val="9"/>
            <color rgb="FF000000"/>
            <rFont val="Tahoma"/>
            <family val="2"/>
          </rPr>
          <t xml:space="preserve">
</t>
        </r>
      </text>
    </comment>
    <comment ref="F100" authorId="3" shapeId="0" xr:uid="{00000000-0006-0000-0500-0000A6010000}">
      <text>
        <r>
          <rPr>
            <b/>
            <sz val="9"/>
            <color rgb="FF000000"/>
            <rFont val="Tahoma"/>
            <family val="2"/>
          </rPr>
          <t xml:space="preserve"> – PAAC
El perfil de los profesionales de las OT debe responder al contexto de las mismas.
</t>
        </r>
        <r>
          <rPr>
            <sz val="9"/>
            <color rgb="FF000000"/>
            <rFont val="Tahoma"/>
            <family val="2"/>
          </rPr>
          <t xml:space="preserve">
</t>
        </r>
        <r>
          <rPr>
            <b/>
            <sz val="9"/>
            <color rgb="FF000000"/>
            <rFont val="Tahoma"/>
            <family val="2"/>
          </rPr>
          <t>Hasta 2020-03-09:</t>
        </r>
        <r>
          <rPr>
            <sz val="9"/>
            <color rgb="FF000000"/>
            <rFont val="Tahoma"/>
            <family val="2"/>
          </rPr>
          <t xml:space="preserve"> Realizar la modernización institucional.
Considerar:
- el dialogo interno entre todas las dependencias.
- Implementar una estrategia para la gestión de recursos para la financiación de los instrumentos de planificación corporativos.
- Unidad de analítica
- Fortalecer los equipos técnicos (personal, infraestructura y tecnología) (programa III. Modelo de ocupación sostenible, programa 5. Orientando la ocupación del territorio).
-Considerar al BPC
- Considerar SIG
</t>
        </r>
      </text>
    </comment>
    <comment ref="T109" authorId="0" shapeId="0" xr:uid="{00000000-0006-0000-0500-0000A7010000}">
      <text>
        <r>
          <rPr>
            <b/>
            <sz val="9"/>
            <color rgb="FF000000"/>
            <rFont val="Tahoma"/>
            <family val="2"/>
          </rPr>
          <t xml:space="preserve">Apoyo: </t>
        </r>
        <r>
          <rPr>
            <sz val="9"/>
            <color rgb="FF000000"/>
            <rFont val="Tahoma"/>
            <family val="2"/>
          </rPr>
          <t xml:space="preserve">Subdirección de Planeación
</t>
        </r>
      </text>
    </comment>
    <comment ref="F112" authorId="0" shapeId="0" xr:uid="{00000000-0006-0000-0500-0000A8010000}">
      <text>
        <r>
          <rPr>
            <sz val="9"/>
            <color indexed="81"/>
            <rFont val="Tahoma"/>
            <family val="2"/>
          </rPr>
          <t>(demandas y conciliaciones Pre-judiciales)</t>
        </r>
      </text>
    </comment>
    <comment ref="H112" authorId="3" shapeId="0" xr:uid="{00000000-0006-0000-0500-0000A9010000}">
      <text>
        <r>
          <rPr>
            <b/>
            <sz val="9"/>
            <color rgb="FF000000"/>
            <rFont val="Tahoma"/>
            <family val="2"/>
          </rPr>
          <t>(demandas y conciliaciones Pre-judiciales)
Revisar con Secretaría General</t>
        </r>
        <r>
          <rPr>
            <sz val="9"/>
            <color rgb="FF000000"/>
            <rFont val="Tahoma"/>
            <family val="2"/>
          </rPr>
          <t xml:space="preserve">
medida en relación a los recursos recuperados y no perdidos</t>
        </r>
      </text>
    </comment>
    <comment ref="L112" authorId="0" shapeId="0" xr:uid="{00000000-0006-0000-0500-0000AA010000}">
      <text>
        <r>
          <rPr>
            <b/>
            <sz val="9"/>
            <color indexed="81"/>
            <rFont val="Tahoma"/>
            <family val="2"/>
          </rPr>
          <t>De las atendidas</t>
        </r>
      </text>
    </comment>
    <comment ref="T113" authorId="0" shapeId="0" xr:uid="{00000000-0006-0000-0500-0000AB010000}">
      <text>
        <r>
          <rPr>
            <b/>
            <sz val="9"/>
            <color indexed="81"/>
            <rFont val="Tahoma"/>
            <family val="2"/>
          </rPr>
          <t xml:space="preserve">Apoyo: </t>
        </r>
        <r>
          <rPr>
            <sz val="9"/>
            <color indexed="81"/>
            <rFont val="Tahoma"/>
            <family val="2"/>
          </rPr>
          <t xml:space="preserve">Subdirección de Planeación
</t>
        </r>
      </text>
    </comment>
    <comment ref="H114" authorId="3" shapeId="0" xr:uid="{00000000-0006-0000-0500-0000AC010000}">
      <text>
        <r>
          <rPr>
            <b/>
            <sz val="9"/>
            <color rgb="FF000000"/>
            <rFont val="Tahoma"/>
            <family val="2"/>
          </rPr>
          <t>Incluye MECI</t>
        </r>
        <r>
          <rPr>
            <sz val="9"/>
            <color rgb="FF000000"/>
            <rFont val="Tahoma"/>
            <family val="2"/>
          </rPr>
          <t xml:space="preserve">
</t>
        </r>
      </text>
    </comment>
    <comment ref="T114" authorId="0" shapeId="0" xr:uid="{00000000-0006-0000-0500-0000AD010000}">
      <text>
        <r>
          <rPr>
            <b/>
            <sz val="9"/>
            <color rgb="FF000000"/>
            <rFont val="Tahoma"/>
            <family val="2"/>
          </rPr>
          <t>Apoyo:</t>
        </r>
        <r>
          <rPr>
            <sz val="9"/>
            <color rgb="FF000000"/>
            <rFont val="Tahoma"/>
            <family val="2"/>
          </rPr>
          <t xml:space="preserve"> Oficina de Control Interno
</t>
        </r>
      </text>
    </comment>
    <comment ref="T115" authorId="3" shapeId="0" xr:uid="{00000000-0006-0000-0500-0000AE010000}">
      <text>
        <r>
          <rPr>
            <b/>
            <sz val="9"/>
            <color rgb="FF000000"/>
            <rFont val="Tahoma"/>
            <family val="2"/>
          </rPr>
          <t xml:space="preserve">Apoyo
</t>
        </r>
        <r>
          <rPr>
            <b/>
            <sz val="9"/>
            <color rgb="FF000000"/>
            <rFont val="Tahoma"/>
            <family val="2"/>
          </rPr>
          <t xml:space="preserve">
</t>
        </r>
        <r>
          <rPr>
            <b/>
            <sz val="9"/>
            <color rgb="FF000000"/>
            <rFont val="Tahoma"/>
            <family val="2"/>
          </rPr>
          <t>- Subdirección Administrativa - Subdirección de Cultura Ambiental</t>
        </r>
      </text>
    </comment>
    <comment ref="H118" authorId="3" shapeId="0" xr:uid="{00000000-0006-0000-0500-0000AF010000}">
      <text>
        <r>
          <rPr>
            <b/>
            <sz val="9"/>
            <color rgb="FF000000"/>
            <rFont val="Tahoma"/>
            <family val="2"/>
          </rPr>
          <t xml:space="preserve">Modelo de operación (acreditación, certificación, habilitación, procesos, entre otros)
</t>
        </r>
        <r>
          <rPr>
            <sz val="9"/>
            <color rgb="FF000000"/>
            <rFont val="Tahoma"/>
            <family val="2"/>
          </rPr>
          <t xml:space="preserve">
</t>
        </r>
        <r>
          <rPr>
            <sz val="9"/>
            <color rgb="FF000000"/>
            <rFont val="Tahoma"/>
            <family val="2"/>
          </rPr>
          <t xml:space="preserve">Infraestructura
</t>
        </r>
        <r>
          <rPr>
            <sz val="9"/>
            <color rgb="FF000000"/>
            <rFont val="Tahoma"/>
            <family val="2"/>
          </rPr>
          <t xml:space="preserve">
</t>
        </r>
        <r>
          <rPr>
            <sz val="9"/>
            <color rgb="FF000000"/>
            <rFont val="Tahoma"/>
            <family val="2"/>
          </rPr>
          <t xml:space="preserve">Equipos
</t>
        </r>
        <r>
          <rPr>
            <sz val="9"/>
            <color rgb="FF000000"/>
            <rFont val="Tahoma"/>
            <family val="2"/>
          </rPr>
          <t xml:space="preserve">
</t>
        </r>
        <r>
          <rPr>
            <sz val="9"/>
            <color rgb="FF000000"/>
            <rFont val="Tahoma"/>
            <family val="2"/>
          </rPr>
          <t>Personal, queda inmerso en el proyecto de modernización</t>
        </r>
      </text>
    </comment>
    <comment ref="T118" authorId="3" shapeId="0" xr:uid="{00000000-0006-0000-0500-0000B0010000}">
      <text>
        <r>
          <rPr>
            <b/>
            <sz val="9"/>
            <color rgb="FF000000"/>
            <rFont val="Tahoma"/>
            <family val="2"/>
          </rPr>
          <t xml:space="preserve">Apoyo
</t>
        </r>
        <r>
          <rPr>
            <b/>
            <sz val="9"/>
            <color rgb="FF000000"/>
            <rFont val="Tahoma"/>
            <family val="2"/>
          </rPr>
          <t xml:space="preserve">
</t>
        </r>
        <r>
          <rPr>
            <b/>
            <sz val="9"/>
            <color rgb="FF000000"/>
            <rFont val="Tahoma"/>
            <family val="2"/>
          </rPr>
          <t xml:space="preserve">Subdirección de Ecosistemas - Subdirección de Planeación - Subdirección de Gestión Ambiental </t>
        </r>
      </text>
    </comment>
    <comment ref="Z118" authorId="1" shapeId="0" xr:uid="{00000000-0006-0000-0500-0000B1010000}">
      <text>
        <r>
          <rPr>
            <b/>
            <sz val="10"/>
            <color rgb="FF000000"/>
            <rFont val="Tahoma"/>
            <family val="2"/>
          </rPr>
          <t xml:space="preserve">Planeación
</t>
        </r>
        <r>
          <rPr>
            <sz val="10"/>
            <color rgb="FF000000"/>
            <rFont val="Tahoma"/>
            <family val="2"/>
          </rPr>
          <t xml:space="preserve">CIA
$40.927.100
</t>
        </r>
        <r>
          <rPr>
            <b/>
            <sz val="10"/>
            <color rgb="FF000000"/>
            <rFont val="Tahoma"/>
            <family val="2"/>
          </rPr>
          <t xml:space="preserve">
Gestión ambiental :</t>
        </r>
        <r>
          <rPr>
            <sz val="10"/>
            <color rgb="FF000000"/>
            <rFont val="Tahoma"/>
            <family val="2"/>
          </rPr>
          <t xml:space="preserve">
Laboratorio: $745.033.523</t>
        </r>
        <r>
          <rPr>
            <b/>
            <sz val="10"/>
            <color rgb="FF000000"/>
            <rFont val="Tahoma"/>
            <family val="2"/>
          </rPr>
          <t xml:space="preserve">
Ecosistemas:
</t>
        </r>
        <r>
          <rPr>
            <sz val="10.5"/>
            <color rgb="FF000000"/>
            <rFont val="Calibri"/>
            <family val="2"/>
          </rPr>
          <t>Se adicionaron 500.000.000 de Vivero, ecosistemas</t>
        </r>
        <r>
          <rPr>
            <sz val="5"/>
            <color rgb="FF000000"/>
            <rFont val="Calibri"/>
            <family val="2"/>
          </rPr>
          <t xml:space="preserve">
</t>
        </r>
        <r>
          <rPr>
            <sz val="10.5"/>
            <color rgb="FF000000"/>
            <rFont val="Calibri"/>
            <family val="2"/>
          </rPr>
          <t>Se adicionan 1385.000.000 para hogar de paso. Este valor considera $289.034.797 asignado por destinación específica (TR).</t>
        </r>
        <r>
          <rPr>
            <sz val="5"/>
            <color rgb="FF000000"/>
            <rFont val="Calibri"/>
            <family val="2"/>
          </rPr>
          <t xml:space="preserve">
</t>
        </r>
      </text>
    </comment>
    <comment ref="AA118" authorId="1" shapeId="0" xr:uid="{00000000-0006-0000-0500-0000B2010000}">
      <text>
        <r>
          <rPr>
            <b/>
            <sz val="12"/>
            <color rgb="FF000000"/>
            <rFont val="Calibri"/>
            <family val="2"/>
          </rPr>
          <t>Administrativa:</t>
        </r>
        <r>
          <rPr>
            <sz val="7"/>
            <color rgb="FF000000"/>
            <rFont val="Calibri"/>
            <family val="2"/>
          </rPr>
          <t xml:space="preserve">
</t>
        </r>
        <r>
          <rPr>
            <sz val="12"/>
            <color rgb="FF000000"/>
            <rFont val="Calibri"/>
            <family val="2"/>
          </rPr>
          <t>140.234.670</t>
        </r>
        <r>
          <rPr>
            <sz val="7"/>
            <color rgb="FF000000"/>
            <rFont val="Calibri"/>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1.921.393.030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Vivieros y Cav:
</t>
        </r>
        <r>
          <rPr>
            <b/>
            <sz val="10"/>
            <color rgb="FF000000"/>
            <rFont val="Tahoma"/>
            <family val="2"/>
          </rPr>
          <t xml:space="preserve">
</t>
        </r>
        <r>
          <rPr>
            <sz val="10"/>
            <color rgb="FF000000"/>
            <rFont val="Calibri"/>
            <family val="2"/>
          </rPr>
          <t xml:space="preserve">Adicionar 2000.000.000,  1000.000.000 para funcionamiento de hogar de paso, 1000.000.000 para infraestructura hogar de paso y viveros
</t>
        </r>
        <r>
          <rPr>
            <sz val="10"/>
            <color rgb="FF000000"/>
            <rFont val="Tahoma"/>
            <family val="2"/>
          </rPr>
          <t xml:space="preserve">
</t>
        </r>
      </text>
    </comment>
    <comment ref="AB118" authorId="1" shapeId="0" xr:uid="{00000000-0006-0000-0500-0000B3010000}">
      <text>
        <r>
          <rPr>
            <b/>
            <sz val="10"/>
            <color rgb="FF000000"/>
            <rFont val="Tahoma"/>
            <family val="2"/>
          </rPr>
          <t xml:space="preserve">Administrativa:
</t>
        </r>
        <r>
          <rPr>
            <b/>
            <sz val="10"/>
            <color rgb="FF000000"/>
            <rFont val="Tahoma"/>
            <family val="2"/>
          </rPr>
          <t>$1</t>
        </r>
        <r>
          <rPr>
            <sz val="10"/>
            <color rgb="FF000000"/>
            <rFont val="Tahoma"/>
            <family val="2"/>
          </rPr>
          <t>43.177.390</t>
        </r>
        <r>
          <rPr>
            <sz val="10"/>
            <color rgb="FF000000"/>
            <rFont val="Tahoma"/>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$2.687.226.343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vivieros:
</t>
        </r>
        <r>
          <rPr>
            <b/>
            <sz val="10"/>
            <color rgb="FF000000"/>
            <rFont val="Tahoma"/>
            <family val="2"/>
          </rPr>
          <t xml:space="preserve">
</t>
        </r>
        <r>
          <rPr>
            <sz val="10"/>
            <color rgb="FF000000"/>
            <rFont val="Calibri"/>
            <family val="2"/>
          </rPr>
          <t xml:space="preserve">1100.000.000 para funcionamiento y 500.000.000 para infraestructura de hogar de paso y vivero
</t>
        </r>
        <r>
          <rPr>
            <sz val="10"/>
            <color rgb="FF000000"/>
            <rFont val="Tahoma"/>
            <family val="2"/>
          </rPr>
          <t xml:space="preserve">
</t>
        </r>
      </text>
    </comment>
    <comment ref="AC118" authorId="1" shapeId="0" xr:uid="{00000000-0006-0000-0500-0000B4010000}">
      <text>
        <r>
          <rPr>
            <b/>
            <sz val="10"/>
            <color rgb="FF000000"/>
            <rFont val="Tahoma"/>
            <family val="2"/>
          </rPr>
          <t xml:space="preserve">Administrativa 
</t>
        </r>
        <r>
          <rPr>
            <b/>
            <sz val="10"/>
            <color rgb="FF000000"/>
            <rFont val="Tahoma"/>
            <family val="2"/>
          </rPr>
          <t xml:space="preserve">
</t>
        </r>
        <r>
          <rPr>
            <sz val="10"/>
            <color rgb="FF000000"/>
            <rFont val="Tahoma"/>
            <family val="2"/>
          </rPr>
          <t xml:space="preserve">$146.237.819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$2.876.221.607</t>
        </r>
        <r>
          <rPr>
            <b/>
            <sz val="10"/>
            <color rgb="FF000000"/>
            <rFont val="Tahoma"/>
            <family val="2"/>
          </rPr>
          <t xml:space="preserve">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viveros:
</t>
        </r>
        <r>
          <rPr>
            <b/>
            <sz val="10"/>
            <color rgb="FF000000"/>
            <rFont val="Tahoma"/>
            <family val="2"/>
          </rPr>
          <t xml:space="preserve">
</t>
        </r>
        <r>
          <rPr>
            <sz val="10"/>
            <color rgb="FF000000"/>
            <rFont val="Calibri"/>
            <family val="2"/>
          </rPr>
          <t xml:space="preserve">Incluye 1.225.000.000 para hogar de paso+  420.000.000 para infraestructura de hogar de paso y vivero
</t>
        </r>
        <r>
          <rPr>
            <sz val="10"/>
            <color rgb="FF000000"/>
            <rFont val="Tahoma"/>
            <family val="2"/>
          </rPr>
          <t xml:space="preserve">
</t>
        </r>
      </text>
    </comment>
    <comment ref="AG118" authorId="1" shapeId="0" xr:uid="{00000000-0006-0000-0500-0000B5010000}">
      <text>
        <r>
          <rPr>
            <b/>
            <sz val="10"/>
            <color rgb="FF000000"/>
            <rFont val="Tahoma"/>
            <family val="2"/>
          </rPr>
          <t xml:space="preserve">Laboratorio:
</t>
        </r>
        <r>
          <rPr>
            <sz val="12"/>
            <color rgb="FF000000"/>
            <rFont val="Calibri"/>
            <family val="2"/>
          </rPr>
          <t>1 Profesional especializado Grado 17 - Claudia</t>
        </r>
        <r>
          <rPr>
            <sz val="7"/>
            <color rgb="FF000000"/>
            <rFont val="Calibri"/>
            <family val="2"/>
          </rPr>
          <t xml:space="preserve">
</t>
        </r>
        <r>
          <rPr>
            <sz val="12"/>
            <color rgb="FF000000"/>
            <rFont val="Calibri"/>
            <family val="2"/>
          </rPr>
          <t>5 Profesional Universitario Grado 11  - CINTYA, EDER, ANA, YISEL, JHONATAN</t>
        </r>
        <r>
          <rPr>
            <sz val="7"/>
            <color rgb="FF000000"/>
            <rFont val="Calibri"/>
            <family val="2"/>
          </rPr>
          <t xml:space="preserve">
</t>
        </r>
        <r>
          <rPr>
            <sz val="12"/>
            <color rgb="FF000000"/>
            <rFont val="Calibri"/>
            <family val="2"/>
          </rPr>
          <t xml:space="preserve">4 Tecnico operativo Grado 16 - CARLOS, WILLIAM, KAREN, LILIANA </t>
        </r>
        <r>
          <rPr>
            <sz val="7"/>
            <color rgb="FF000000"/>
            <rFont val="Calibri"/>
            <family val="2"/>
          </rPr>
          <t xml:space="preserve">
</t>
        </r>
        <r>
          <rPr>
            <sz val="12"/>
            <color rgb="FF000000"/>
            <rFont val="Calibri"/>
            <family val="2"/>
          </rPr>
          <t>1 Tecnico Operativo Grado 18 , FRANK</t>
        </r>
        <r>
          <rPr>
            <sz val="7"/>
            <color rgb="FF000000"/>
            <rFont val="Calibri"/>
            <family val="2"/>
          </rPr>
          <t xml:space="preserve">
</t>
        </r>
        <r>
          <rPr>
            <sz val="10"/>
            <color rgb="FFFF0000"/>
            <rFont val="Calibri"/>
            <family val="2"/>
          </rPr>
          <t xml:space="preserve">1 Prestación de servicios por 11 meses - VANESA
$736.696.556 
</t>
        </r>
        <r>
          <rPr>
            <sz val="6"/>
            <color rgb="FFFF0000"/>
            <rFont val="Tahoma"/>
            <family val="2"/>
          </rPr>
          <t xml:space="preserve">
</t>
        </r>
        <r>
          <rPr>
            <b/>
            <sz val="10"/>
            <color rgb="FF000000"/>
            <rFont val="Tahoma"/>
            <family val="2"/>
          </rPr>
          <t>Administrativa</t>
        </r>
        <r>
          <rPr>
            <sz val="10"/>
            <color rgb="FF000000"/>
            <rFont val="Tahoma"/>
            <family val="2"/>
          </rPr>
          <t xml:space="preserve">
$101.866.914
Ecosistemas:
Cav y viveros: 
$283.940.529</t>
        </r>
      </text>
    </comment>
    <comment ref="AL118" authorId="1" shapeId="0" xr:uid="{00000000-0006-0000-0500-0000B6010000}">
      <text>
        <r>
          <rPr>
            <b/>
            <sz val="10"/>
            <color rgb="FF000000"/>
            <rFont val="Tahoma"/>
            <family val="2"/>
          </rPr>
          <t xml:space="preserve">LABORATORIO:
</t>
        </r>
        <r>
          <rPr>
            <b/>
            <sz val="10"/>
            <color rgb="FF000000"/>
            <rFont val="Tahoma"/>
            <family val="2"/>
          </rPr>
          <t>$497.800.000</t>
        </r>
        <r>
          <rPr>
            <sz val="10"/>
            <color rgb="FF000000"/>
            <rFont val="Tahoma"/>
            <family val="2"/>
          </rPr>
          <t xml:space="preserve">
</t>
        </r>
      </text>
    </comment>
    <comment ref="H119" authorId="3" shapeId="0" xr:uid="{00000000-0006-0000-0500-0000B7010000}">
      <text>
        <r>
          <rPr>
            <b/>
            <sz val="9"/>
            <color rgb="FF000000"/>
            <rFont val="Tahoma"/>
            <family val="2"/>
          </rPr>
          <t xml:space="preserve">Modelo de operación (acreditación, certificación, habilitación, procesos, entre otros)
</t>
        </r>
        <r>
          <rPr>
            <sz val="9"/>
            <color rgb="FF000000"/>
            <rFont val="Tahoma"/>
            <family val="2"/>
          </rPr>
          <t xml:space="preserve">
</t>
        </r>
        <r>
          <rPr>
            <sz val="9"/>
            <color rgb="FF000000"/>
            <rFont val="Tahoma"/>
            <family val="2"/>
          </rPr>
          <t xml:space="preserve">Infraestructura
</t>
        </r>
        <r>
          <rPr>
            <sz val="9"/>
            <color rgb="FF000000"/>
            <rFont val="Tahoma"/>
            <family val="2"/>
          </rPr>
          <t xml:space="preserve">
</t>
        </r>
        <r>
          <rPr>
            <sz val="9"/>
            <color rgb="FF000000"/>
            <rFont val="Tahoma"/>
            <family val="2"/>
          </rPr>
          <t xml:space="preserve">Equipos
</t>
        </r>
        <r>
          <rPr>
            <sz val="9"/>
            <color rgb="FF000000"/>
            <rFont val="Tahoma"/>
            <family val="2"/>
          </rPr>
          <t xml:space="preserve">
</t>
        </r>
        <r>
          <rPr>
            <sz val="9"/>
            <color rgb="FF000000"/>
            <rFont val="Tahoma"/>
            <family val="2"/>
          </rPr>
          <t>Personal, queda inmerso en el proyecto de modernización</t>
        </r>
      </text>
    </comment>
    <comment ref="T119" authorId="3" shapeId="0" xr:uid="{00000000-0006-0000-0500-0000B8010000}">
      <text>
        <r>
          <rPr>
            <b/>
            <sz val="9"/>
            <color rgb="FF000000"/>
            <rFont val="Tahoma"/>
            <family val="2"/>
          </rPr>
          <t xml:space="preserve">Apoyo
</t>
        </r>
        <r>
          <rPr>
            <b/>
            <sz val="9"/>
            <color rgb="FF000000"/>
            <rFont val="Tahoma"/>
            <family val="2"/>
          </rPr>
          <t xml:space="preserve">
</t>
        </r>
        <r>
          <rPr>
            <b/>
            <sz val="9"/>
            <color rgb="FF000000"/>
            <rFont val="Tahoma"/>
            <family val="2"/>
          </rPr>
          <t xml:space="preserve">Subdirección de Ecosistemas - Subdirección de Planeación - Subdirección de Gestión Ambiental </t>
        </r>
      </text>
    </comment>
    <comment ref="Z119" authorId="1" shapeId="0" xr:uid="{00000000-0006-0000-0500-0000B9010000}">
      <text>
        <r>
          <rPr>
            <b/>
            <sz val="10"/>
            <color rgb="FF000000"/>
            <rFont val="Tahoma"/>
            <family val="2"/>
          </rPr>
          <t xml:space="preserve">Planeación
</t>
        </r>
        <r>
          <rPr>
            <sz val="10"/>
            <color rgb="FF000000"/>
            <rFont val="Tahoma"/>
            <family val="2"/>
          </rPr>
          <t xml:space="preserve">CIA
</t>
        </r>
        <r>
          <rPr>
            <sz val="10"/>
            <color rgb="FF000000"/>
            <rFont val="Tahoma"/>
            <family val="2"/>
          </rPr>
          <t xml:space="preserve">$40.927.100
</t>
        </r>
        <r>
          <rPr>
            <b/>
            <sz val="10"/>
            <color rgb="FF000000"/>
            <rFont val="Tahoma"/>
            <family val="2"/>
          </rPr>
          <t xml:space="preserve">
</t>
        </r>
        <r>
          <rPr>
            <b/>
            <sz val="10"/>
            <color rgb="FF000000"/>
            <rFont val="Tahoma"/>
            <family val="2"/>
          </rPr>
          <t>Gestión ambiental :</t>
        </r>
        <r>
          <rPr>
            <sz val="10"/>
            <color rgb="FF000000"/>
            <rFont val="Tahoma"/>
            <family val="2"/>
          </rPr>
          <t xml:space="preserve">
</t>
        </r>
        <r>
          <rPr>
            <sz val="10"/>
            <color rgb="FF000000"/>
            <rFont val="Tahoma"/>
            <family val="2"/>
          </rPr>
          <t>Laboratorio: $745.033.523</t>
        </r>
        <r>
          <rPr>
            <b/>
            <sz val="10"/>
            <color rgb="FF000000"/>
            <rFont val="Tahoma"/>
            <family val="2"/>
          </rPr>
          <t xml:space="preserve">
</t>
        </r>
        <r>
          <rPr>
            <b/>
            <sz val="10"/>
            <color rgb="FF000000"/>
            <rFont val="Tahoma"/>
            <family val="2"/>
          </rPr>
          <t xml:space="preserve">
</t>
        </r>
        <r>
          <rPr>
            <b/>
            <sz val="10"/>
            <color rgb="FF000000"/>
            <rFont val="Tahoma"/>
            <family val="2"/>
          </rPr>
          <t xml:space="preserve">Ecosistemas:
</t>
        </r>
        <r>
          <rPr>
            <sz val="10.5"/>
            <color rgb="FF000000"/>
            <rFont val="Calibri"/>
            <family val="2"/>
          </rPr>
          <t>Se adicionaron 500.000.000 de Vivero, ecosistemas</t>
        </r>
        <r>
          <rPr>
            <sz val="5"/>
            <color rgb="FF000000"/>
            <rFont val="Calibri"/>
            <family val="2"/>
          </rPr>
          <t xml:space="preserve">
</t>
        </r>
        <r>
          <rPr>
            <sz val="10.5"/>
            <color rgb="FF000000"/>
            <rFont val="Calibri"/>
            <family val="2"/>
          </rPr>
          <t>Se adicionan 1385.000.000 para hogar de paso</t>
        </r>
        <r>
          <rPr>
            <sz val="5"/>
            <color rgb="FF000000"/>
            <rFont val="Calibri"/>
            <family val="2"/>
          </rPr>
          <t xml:space="preserve">
</t>
        </r>
      </text>
    </comment>
    <comment ref="AA119" authorId="1" shapeId="0" xr:uid="{00000000-0006-0000-0500-0000BA010000}">
      <text>
        <r>
          <rPr>
            <b/>
            <sz val="12"/>
            <color rgb="FF000000"/>
            <rFont val="Calibri"/>
            <family val="2"/>
          </rPr>
          <t>Administrativa:</t>
        </r>
        <r>
          <rPr>
            <sz val="7"/>
            <color rgb="FF000000"/>
            <rFont val="Calibri"/>
            <family val="2"/>
          </rPr>
          <t xml:space="preserve">
</t>
        </r>
        <r>
          <rPr>
            <sz val="12"/>
            <color rgb="FF000000"/>
            <rFont val="Calibri"/>
            <family val="2"/>
          </rPr>
          <t>140.234.670</t>
        </r>
        <r>
          <rPr>
            <sz val="7"/>
            <color rgb="FF000000"/>
            <rFont val="Calibri"/>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1.921.393.030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Vivieros y Cav:
</t>
        </r>
        <r>
          <rPr>
            <b/>
            <sz val="10"/>
            <color rgb="FF000000"/>
            <rFont val="Tahoma"/>
            <family val="2"/>
          </rPr>
          <t xml:space="preserve">
</t>
        </r>
        <r>
          <rPr>
            <sz val="10"/>
            <color rgb="FF000000"/>
            <rFont val="Calibri"/>
            <family val="2"/>
          </rPr>
          <t xml:space="preserve">Adicionar 2000.000.000,  1000.000.000 para funcionamiento de hogar de paso, 1000.000.000 para infraestructura hogar de paso y viveros
</t>
        </r>
        <r>
          <rPr>
            <sz val="10"/>
            <color rgb="FF000000"/>
            <rFont val="Tahoma"/>
            <family val="2"/>
          </rPr>
          <t xml:space="preserve">
</t>
        </r>
      </text>
    </comment>
    <comment ref="AB119" authorId="1" shapeId="0" xr:uid="{00000000-0006-0000-0500-0000BB010000}">
      <text>
        <r>
          <rPr>
            <b/>
            <sz val="10"/>
            <color rgb="FF000000"/>
            <rFont val="Tahoma"/>
            <family val="2"/>
          </rPr>
          <t xml:space="preserve">Administrativa:
</t>
        </r>
        <r>
          <rPr>
            <b/>
            <sz val="10"/>
            <color rgb="FF000000"/>
            <rFont val="Tahoma"/>
            <family val="2"/>
          </rPr>
          <t>$1</t>
        </r>
        <r>
          <rPr>
            <sz val="10"/>
            <color rgb="FF000000"/>
            <rFont val="Tahoma"/>
            <family val="2"/>
          </rPr>
          <t>43.177.390</t>
        </r>
        <r>
          <rPr>
            <sz val="10"/>
            <color rgb="FF000000"/>
            <rFont val="Tahoma"/>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$2.687.226.343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vivieros:
</t>
        </r>
        <r>
          <rPr>
            <b/>
            <sz val="10"/>
            <color rgb="FF000000"/>
            <rFont val="Tahoma"/>
            <family val="2"/>
          </rPr>
          <t xml:space="preserve">
</t>
        </r>
        <r>
          <rPr>
            <sz val="10"/>
            <color rgb="FF000000"/>
            <rFont val="Calibri"/>
            <family val="2"/>
          </rPr>
          <t xml:space="preserve">1100.000.000 para funcionamiento y 500.000.000 para infraestructura de hogar de paso y vivero
</t>
        </r>
        <r>
          <rPr>
            <sz val="10"/>
            <color rgb="FF000000"/>
            <rFont val="Tahoma"/>
            <family val="2"/>
          </rPr>
          <t xml:space="preserve">
</t>
        </r>
      </text>
    </comment>
    <comment ref="AC119" authorId="1" shapeId="0" xr:uid="{00000000-0006-0000-0500-0000BC010000}">
      <text>
        <r>
          <rPr>
            <b/>
            <sz val="10"/>
            <color rgb="FF000000"/>
            <rFont val="Tahoma"/>
            <family val="2"/>
          </rPr>
          <t xml:space="preserve">Administrativa 
</t>
        </r>
        <r>
          <rPr>
            <b/>
            <sz val="10"/>
            <color rgb="FF000000"/>
            <rFont val="Tahoma"/>
            <family val="2"/>
          </rPr>
          <t xml:space="preserve">
</t>
        </r>
        <r>
          <rPr>
            <sz val="10"/>
            <color rgb="FF000000"/>
            <rFont val="Tahoma"/>
            <family val="2"/>
          </rPr>
          <t xml:space="preserve">$146.237.819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$2.876.221.607</t>
        </r>
        <r>
          <rPr>
            <b/>
            <sz val="10"/>
            <color rgb="FF000000"/>
            <rFont val="Tahoma"/>
            <family val="2"/>
          </rPr>
          <t xml:space="preserve">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viveros:
</t>
        </r>
        <r>
          <rPr>
            <b/>
            <sz val="10"/>
            <color rgb="FF000000"/>
            <rFont val="Tahoma"/>
            <family val="2"/>
          </rPr>
          <t xml:space="preserve">
</t>
        </r>
        <r>
          <rPr>
            <sz val="10"/>
            <color rgb="FF000000"/>
            <rFont val="Calibri"/>
            <family val="2"/>
          </rPr>
          <t xml:space="preserve">Incluye 1.225.000.000 para hogar de paso+  420.000.000 para infraestructura de hogar de paso y vivero
</t>
        </r>
        <r>
          <rPr>
            <sz val="10"/>
            <color rgb="FF000000"/>
            <rFont val="Tahoma"/>
            <family val="2"/>
          </rPr>
          <t xml:space="preserve">
</t>
        </r>
      </text>
    </comment>
    <comment ref="AG119" authorId="1" shapeId="0" xr:uid="{00000000-0006-0000-0500-0000BD010000}">
      <text>
        <r>
          <rPr>
            <b/>
            <sz val="10"/>
            <color rgb="FF000000"/>
            <rFont val="Tahoma"/>
            <family val="2"/>
          </rPr>
          <t xml:space="preserve">Laboratorio:
</t>
        </r>
        <r>
          <rPr>
            <b/>
            <sz val="10"/>
            <color rgb="FF000000"/>
            <rFont val="Tahoma"/>
            <family val="2"/>
          </rPr>
          <t xml:space="preserve">
</t>
        </r>
        <r>
          <rPr>
            <sz val="12"/>
            <color rgb="FF000000"/>
            <rFont val="Calibri"/>
            <family val="2"/>
          </rPr>
          <t>1 Profesional especializado Grado 17 - Claudia</t>
        </r>
        <r>
          <rPr>
            <sz val="7"/>
            <color rgb="FF000000"/>
            <rFont val="Calibri"/>
            <family val="2"/>
          </rPr>
          <t xml:space="preserve">
</t>
        </r>
        <r>
          <rPr>
            <sz val="12"/>
            <color rgb="FF000000"/>
            <rFont val="Calibri"/>
            <family val="2"/>
          </rPr>
          <t>5 Profesional Universitario Grado 11  - CINTYA, EDER, ANA, YISEL, JHONATAN</t>
        </r>
        <r>
          <rPr>
            <sz val="7"/>
            <color rgb="FF000000"/>
            <rFont val="Calibri"/>
            <family val="2"/>
          </rPr>
          <t xml:space="preserve">
</t>
        </r>
        <r>
          <rPr>
            <sz val="12"/>
            <color rgb="FF000000"/>
            <rFont val="Calibri"/>
            <family val="2"/>
          </rPr>
          <t xml:space="preserve">4 Tecnico operativo Grado 16 - CARLOS, WILLIAM, KAREN, LILIANA </t>
        </r>
        <r>
          <rPr>
            <sz val="7"/>
            <color rgb="FF000000"/>
            <rFont val="Calibri"/>
            <family val="2"/>
          </rPr>
          <t xml:space="preserve">
</t>
        </r>
        <r>
          <rPr>
            <sz val="12"/>
            <color rgb="FF000000"/>
            <rFont val="Calibri"/>
            <family val="2"/>
          </rPr>
          <t>1 Tecnico Operativo Grado 18 , FRANK</t>
        </r>
        <r>
          <rPr>
            <sz val="7"/>
            <color rgb="FF000000"/>
            <rFont val="Calibri"/>
            <family val="2"/>
          </rPr>
          <t xml:space="preserve">
</t>
        </r>
        <r>
          <rPr>
            <sz val="10"/>
            <color rgb="FFFF0000"/>
            <rFont val="Calibri"/>
            <family val="2"/>
          </rPr>
          <t xml:space="preserve">1 Prestación de servicios por 11 meses - VANESA
</t>
        </r>
        <r>
          <rPr>
            <sz val="10"/>
            <color rgb="FFFF0000"/>
            <rFont val="Calibri"/>
            <family val="2"/>
          </rPr>
          <t xml:space="preserve">
</t>
        </r>
        <r>
          <rPr>
            <sz val="10"/>
            <color rgb="FFFF0000"/>
            <rFont val="Calibri"/>
            <family val="2"/>
          </rPr>
          <t xml:space="preserve">$736.696.556 
</t>
        </r>
        <r>
          <rPr>
            <sz val="6"/>
            <color rgb="FFFF0000"/>
            <rFont val="Tahoma"/>
            <family val="2"/>
          </rPr>
          <t xml:space="preserve">
</t>
        </r>
        <r>
          <rPr>
            <b/>
            <sz val="10"/>
            <color rgb="FF000000"/>
            <rFont val="Tahoma"/>
            <family val="2"/>
          </rPr>
          <t>Administrativa</t>
        </r>
        <r>
          <rPr>
            <sz val="10"/>
            <color rgb="FF000000"/>
            <rFont val="Tahoma"/>
            <family val="2"/>
          </rPr>
          <t xml:space="preserve">
</t>
        </r>
        <r>
          <rPr>
            <sz val="10"/>
            <color rgb="FF000000"/>
            <rFont val="Tahoma"/>
            <family val="2"/>
          </rPr>
          <t xml:space="preserve">$101.866.914
</t>
        </r>
        <r>
          <rPr>
            <sz val="10"/>
            <color rgb="FF000000"/>
            <rFont val="Tahoma"/>
            <family val="2"/>
          </rPr>
          <t xml:space="preserve">
</t>
        </r>
        <r>
          <rPr>
            <sz val="10"/>
            <color rgb="FF000000"/>
            <rFont val="Tahoma"/>
            <family val="2"/>
          </rPr>
          <t xml:space="preserve">Ecosistemas:
Cav y laboratorio: 
</t>
        </r>
        <r>
          <rPr>
            <sz val="10"/>
            <color rgb="FF000000"/>
            <rFont val="Tahoma"/>
            <family val="2"/>
          </rPr>
          <t xml:space="preserve">
</t>
        </r>
        <r>
          <rPr>
            <sz val="10"/>
            <color rgb="FF000000"/>
            <rFont val="Tahoma"/>
            <family val="2"/>
          </rPr>
          <t>$283.940.529</t>
        </r>
      </text>
    </comment>
    <comment ref="H120" authorId="3" shapeId="0" xr:uid="{00000000-0006-0000-0500-0000BE010000}">
      <text>
        <r>
          <rPr>
            <b/>
            <sz val="9"/>
            <color rgb="FF000000"/>
            <rFont val="Tahoma"/>
            <family val="2"/>
          </rPr>
          <t xml:space="preserve">Modelo de operación (acreditación, certificación, habilitación, procesos, entre otros)
</t>
        </r>
        <r>
          <rPr>
            <sz val="9"/>
            <color rgb="FF000000"/>
            <rFont val="Tahoma"/>
            <family val="2"/>
          </rPr>
          <t xml:space="preserve">
</t>
        </r>
        <r>
          <rPr>
            <sz val="9"/>
            <color rgb="FF000000"/>
            <rFont val="Tahoma"/>
            <family val="2"/>
          </rPr>
          <t xml:space="preserve">Infraestructura
</t>
        </r>
        <r>
          <rPr>
            <sz val="9"/>
            <color rgb="FF000000"/>
            <rFont val="Tahoma"/>
            <family val="2"/>
          </rPr>
          <t xml:space="preserve">
</t>
        </r>
        <r>
          <rPr>
            <sz val="9"/>
            <color rgb="FF000000"/>
            <rFont val="Tahoma"/>
            <family val="2"/>
          </rPr>
          <t xml:space="preserve">Equipos
</t>
        </r>
        <r>
          <rPr>
            <sz val="9"/>
            <color rgb="FF000000"/>
            <rFont val="Tahoma"/>
            <family val="2"/>
          </rPr>
          <t xml:space="preserve">
</t>
        </r>
        <r>
          <rPr>
            <sz val="9"/>
            <color rgb="FF000000"/>
            <rFont val="Tahoma"/>
            <family val="2"/>
          </rPr>
          <t>Personal, queda inmerso en el proyecto de modernización</t>
        </r>
      </text>
    </comment>
    <comment ref="T120" authorId="3" shapeId="0" xr:uid="{00000000-0006-0000-0500-0000BF010000}">
      <text>
        <r>
          <rPr>
            <b/>
            <sz val="9"/>
            <color rgb="FF000000"/>
            <rFont val="Tahoma"/>
            <family val="2"/>
          </rPr>
          <t xml:space="preserve">Apoyo
</t>
        </r>
        <r>
          <rPr>
            <b/>
            <sz val="9"/>
            <color rgb="FF000000"/>
            <rFont val="Tahoma"/>
            <family val="2"/>
          </rPr>
          <t xml:space="preserve">
</t>
        </r>
        <r>
          <rPr>
            <b/>
            <sz val="9"/>
            <color rgb="FF000000"/>
            <rFont val="Tahoma"/>
            <family val="2"/>
          </rPr>
          <t xml:space="preserve">Subdirección de Ecosistemas - Subdirección de Planeación - Subdirección de Gestión Ambiental </t>
        </r>
      </text>
    </comment>
    <comment ref="Z120" authorId="1" shapeId="0" xr:uid="{00000000-0006-0000-0500-0000C0010000}">
      <text>
        <r>
          <rPr>
            <b/>
            <sz val="10"/>
            <color rgb="FF000000"/>
            <rFont val="Tahoma"/>
            <family val="2"/>
          </rPr>
          <t xml:space="preserve">Planeación
</t>
        </r>
        <r>
          <rPr>
            <sz val="10"/>
            <color rgb="FF000000"/>
            <rFont val="Tahoma"/>
            <family val="2"/>
          </rPr>
          <t xml:space="preserve">CIA
</t>
        </r>
        <r>
          <rPr>
            <sz val="10"/>
            <color rgb="FF000000"/>
            <rFont val="Tahoma"/>
            <family val="2"/>
          </rPr>
          <t xml:space="preserve">$40.927.100
</t>
        </r>
        <r>
          <rPr>
            <b/>
            <sz val="10"/>
            <color rgb="FF000000"/>
            <rFont val="Tahoma"/>
            <family val="2"/>
          </rPr>
          <t xml:space="preserve">
</t>
        </r>
        <r>
          <rPr>
            <b/>
            <sz val="10"/>
            <color rgb="FF000000"/>
            <rFont val="Tahoma"/>
            <family val="2"/>
          </rPr>
          <t>Gestión ambiental :</t>
        </r>
        <r>
          <rPr>
            <sz val="10"/>
            <color rgb="FF000000"/>
            <rFont val="Tahoma"/>
            <family val="2"/>
          </rPr>
          <t xml:space="preserve">
</t>
        </r>
        <r>
          <rPr>
            <sz val="10"/>
            <color rgb="FF000000"/>
            <rFont val="Tahoma"/>
            <family val="2"/>
          </rPr>
          <t>Laboratorio: $745.033.523</t>
        </r>
        <r>
          <rPr>
            <b/>
            <sz val="10"/>
            <color rgb="FF000000"/>
            <rFont val="Tahoma"/>
            <family val="2"/>
          </rPr>
          <t xml:space="preserve">
</t>
        </r>
        <r>
          <rPr>
            <b/>
            <sz val="10"/>
            <color rgb="FF000000"/>
            <rFont val="Tahoma"/>
            <family val="2"/>
          </rPr>
          <t xml:space="preserve">
</t>
        </r>
        <r>
          <rPr>
            <b/>
            <sz val="10"/>
            <color rgb="FF000000"/>
            <rFont val="Tahoma"/>
            <family val="2"/>
          </rPr>
          <t xml:space="preserve">Ecosistemas:
</t>
        </r>
        <r>
          <rPr>
            <sz val="10.5"/>
            <color rgb="FF000000"/>
            <rFont val="Calibri"/>
            <family val="2"/>
          </rPr>
          <t>Se adicionaron 500.000.000 de Vivero, ecosistemas</t>
        </r>
        <r>
          <rPr>
            <sz val="5"/>
            <color rgb="FF000000"/>
            <rFont val="Calibri"/>
            <family val="2"/>
          </rPr>
          <t xml:space="preserve">
</t>
        </r>
        <r>
          <rPr>
            <sz val="10.5"/>
            <color rgb="FF000000"/>
            <rFont val="Calibri"/>
            <family val="2"/>
          </rPr>
          <t>Se adicionan 1385.000.000 para hogar de paso</t>
        </r>
        <r>
          <rPr>
            <sz val="5"/>
            <color rgb="FF000000"/>
            <rFont val="Calibri"/>
            <family val="2"/>
          </rPr>
          <t xml:space="preserve">
</t>
        </r>
      </text>
    </comment>
    <comment ref="AA120" authorId="1" shapeId="0" xr:uid="{00000000-0006-0000-0500-0000C1010000}">
      <text>
        <r>
          <rPr>
            <b/>
            <sz val="12"/>
            <color rgb="FF000000"/>
            <rFont val="Calibri"/>
            <family val="2"/>
          </rPr>
          <t>Administrativa:</t>
        </r>
        <r>
          <rPr>
            <sz val="7"/>
            <color rgb="FF000000"/>
            <rFont val="Calibri"/>
            <family val="2"/>
          </rPr>
          <t xml:space="preserve">
</t>
        </r>
        <r>
          <rPr>
            <sz val="12"/>
            <color rgb="FF000000"/>
            <rFont val="Calibri"/>
            <family val="2"/>
          </rPr>
          <t>140.234.670</t>
        </r>
        <r>
          <rPr>
            <sz val="7"/>
            <color rgb="FF000000"/>
            <rFont val="Calibri"/>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1.921.393.030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Vivieros y Cav:
</t>
        </r>
        <r>
          <rPr>
            <b/>
            <sz val="10"/>
            <color rgb="FF000000"/>
            <rFont val="Tahoma"/>
            <family val="2"/>
          </rPr>
          <t xml:space="preserve">
</t>
        </r>
        <r>
          <rPr>
            <sz val="10"/>
            <color rgb="FF000000"/>
            <rFont val="Calibri"/>
            <family val="2"/>
          </rPr>
          <t xml:space="preserve">Adicionar 2000.000.000,  1000.000.000 para funcionamiento de hogar de paso, 1000.000.000 para infraestructura hogar de paso y viveros
</t>
        </r>
        <r>
          <rPr>
            <sz val="10"/>
            <color rgb="FF000000"/>
            <rFont val="Tahoma"/>
            <family val="2"/>
          </rPr>
          <t xml:space="preserve">
</t>
        </r>
      </text>
    </comment>
    <comment ref="AB120" authorId="1" shapeId="0" xr:uid="{00000000-0006-0000-0500-0000C2010000}">
      <text>
        <r>
          <rPr>
            <b/>
            <sz val="10"/>
            <color rgb="FF000000"/>
            <rFont val="Tahoma"/>
            <family val="2"/>
          </rPr>
          <t xml:space="preserve">Administrativa:
</t>
        </r>
        <r>
          <rPr>
            <b/>
            <sz val="10"/>
            <color rgb="FF000000"/>
            <rFont val="Tahoma"/>
            <family val="2"/>
          </rPr>
          <t>$1</t>
        </r>
        <r>
          <rPr>
            <sz val="10"/>
            <color rgb="FF000000"/>
            <rFont val="Tahoma"/>
            <family val="2"/>
          </rPr>
          <t>43.177.390</t>
        </r>
        <r>
          <rPr>
            <sz val="10"/>
            <color rgb="FF000000"/>
            <rFont val="Tahoma"/>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$2.687.226.343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vivieros:
</t>
        </r>
        <r>
          <rPr>
            <b/>
            <sz val="10"/>
            <color rgb="FF000000"/>
            <rFont val="Tahoma"/>
            <family val="2"/>
          </rPr>
          <t xml:space="preserve">
</t>
        </r>
        <r>
          <rPr>
            <sz val="10"/>
            <color rgb="FF000000"/>
            <rFont val="Calibri"/>
            <family val="2"/>
          </rPr>
          <t xml:space="preserve">1100.000.000 para funcionamiento y 500.000.000 para infraestructura de hogar de paso y vivero
</t>
        </r>
        <r>
          <rPr>
            <sz val="10"/>
            <color rgb="FF000000"/>
            <rFont val="Tahoma"/>
            <family val="2"/>
          </rPr>
          <t xml:space="preserve">
</t>
        </r>
      </text>
    </comment>
    <comment ref="AC120" authorId="1" shapeId="0" xr:uid="{00000000-0006-0000-0500-0000C3010000}">
      <text>
        <r>
          <rPr>
            <b/>
            <sz val="10"/>
            <color rgb="FF000000"/>
            <rFont val="Tahoma"/>
            <family val="2"/>
          </rPr>
          <t xml:space="preserve">Administrativa 
</t>
        </r>
        <r>
          <rPr>
            <b/>
            <sz val="10"/>
            <color rgb="FF000000"/>
            <rFont val="Tahoma"/>
            <family val="2"/>
          </rPr>
          <t xml:space="preserve">
</t>
        </r>
        <r>
          <rPr>
            <sz val="10"/>
            <color rgb="FF000000"/>
            <rFont val="Tahoma"/>
            <family val="2"/>
          </rPr>
          <t xml:space="preserve">$146.237.819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$2.876.221.607</t>
        </r>
        <r>
          <rPr>
            <b/>
            <sz val="10"/>
            <color rgb="FF000000"/>
            <rFont val="Tahoma"/>
            <family val="2"/>
          </rPr>
          <t xml:space="preserve">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viveros:
</t>
        </r>
        <r>
          <rPr>
            <b/>
            <sz val="10"/>
            <color rgb="FF000000"/>
            <rFont val="Tahoma"/>
            <family val="2"/>
          </rPr>
          <t xml:space="preserve">
</t>
        </r>
        <r>
          <rPr>
            <sz val="10"/>
            <color rgb="FF000000"/>
            <rFont val="Calibri"/>
            <family val="2"/>
          </rPr>
          <t xml:space="preserve">Incluye 1.225.000.000 para hogar de paso+  420.000.000 para infraestructura de hogar de paso y vivero
</t>
        </r>
        <r>
          <rPr>
            <sz val="10"/>
            <color rgb="FF000000"/>
            <rFont val="Tahoma"/>
            <family val="2"/>
          </rPr>
          <t xml:space="preserve">
</t>
        </r>
      </text>
    </comment>
    <comment ref="AG120" authorId="1" shapeId="0" xr:uid="{00000000-0006-0000-0500-0000C4010000}">
      <text>
        <r>
          <rPr>
            <b/>
            <sz val="10"/>
            <color rgb="FF000000"/>
            <rFont val="Tahoma"/>
            <family val="2"/>
          </rPr>
          <t xml:space="preserve">Laboratorio:
</t>
        </r>
        <r>
          <rPr>
            <b/>
            <sz val="10"/>
            <color rgb="FF000000"/>
            <rFont val="Tahoma"/>
            <family val="2"/>
          </rPr>
          <t xml:space="preserve">
</t>
        </r>
        <r>
          <rPr>
            <sz val="12"/>
            <color rgb="FF000000"/>
            <rFont val="Calibri"/>
            <family val="2"/>
          </rPr>
          <t>1 Profesional especializado Grado 17 - Claudia</t>
        </r>
        <r>
          <rPr>
            <sz val="7"/>
            <color rgb="FF000000"/>
            <rFont val="Calibri"/>
            <family val="2"/>
          </rPr>
          <t xml:space="preserve">
</t>
        </r>
        <r>
          <rPr>
            <sz val="12"/>
            <color rgb="FF000000"/>
            <rFont val="Calibri"/>
            <family val="2"/>
          </rPr>
          <t>5 Profesional Universitario Grado 11  - CINTYA, EDER, ANA, YISEL, JHONATAN</t>
        </r>
        <r>
          <rPr>
            <sz val="7"/>
            <color rgb="FF000000"/>
            <rFont val="Calibri"/>
            <family val="2"/>
          </rPr>
          <t xml:space="preserve">
</t>
        </r>
        <r>
          <rPr>
            <sz val="12"/>
            <color rgb="FF000000"/>
            <rFont val="Calibri"/>
            <family val="2"/>
          </rPr>
          <t xml:space="preserve">4 Tecnico operativo Grado 16 - CARLOS, WILLIAM, KAREN, LILIANA </t>
        </r>
        <r>
          <rPr>
            <sz val="7"/>
            <color rgb="FF000000"/>
            <rFont val="Calibri"/>
            <family val="2"/>
          </rPr>
          <t xml:space="preserve">
</t>
        </r>
        <r>
          <rPr>
            <sz val="12"/>
            <color rgb="FF000000"/>
            <rFont val="Calibri"/>
            <family val="2"/>
          </rPr>
          <t>1 Tecnico Operativo Grado 18 , FRANK</t>
        </r>
        <r>
          <rPr>
            <sz val="7"/>
            <color rgb="FF000000"/>
            <rFont val="Calibri"/>
            <family val="2"/>
          </rPr>
          <t xml:space="preserve">
</t>
        </r>
        <r>
          <rPr>
            <sz val="10"/>
            <color rgb="FFFF0000"/>
            <rFont val="Calibri"/>
            <family val="2"/>
          </rPr>
          <t xml:space="preserve">1 Prestación de servicios por 11 meses - VANESA
</t>
        </r>
        <r>
          <rPr>
            <sz val="10"/>
            <color rgb="FFFF0000"/>
            <rFont val="Calibri"/>
            <family val="2"/>
          </rPr>
          <t xml:space="preserve">
</t>
        </r>
        <r>
          <rPr>
            <sz val="10"/>
            <color rgb="FFFF0000"/>
            <rFont val="Calibri"/>
            <family val="2"/>
          </rPr>
          <t xml:space="preserve">$736.696.556 
</t>
        </r>
        <r>
          <rPr>
            <sz val="6"/>
            <color rgb="FFFF0000"/>
            <rFont val="Tahoma"/>
            <family val="2"/>
          </rPr>
          <t xml:space="preserve">
</t>
        </r>
        <r>
          <rPr>
            <b/>
            <sz val="10"/>
            <color rgb="FF000000"/>
            <rFont val="Tahoma"/>
            <family val="2"/>
          </rPr>
          <t>Administrativa</t>
        </r>
        <r>
          <rPr>
            <sz val="10"/>
            <color rgb="FF000000"/>
            <rFont val="Tahoma"/>
            <family val="2"/>
          </rPr>
          <t xml:space="preserve">
</t>
        </r>
        <r>
          <rPr>
            <sz val="10"/>
            <color rgb="FF000000"/>
            <rFont val="Tahoma"/>
            <family val="2"/>
          </rPr>
          <t xml:space="preserve">$101.866.914
</t>
        </r>
        <r>
          <rPr>
            <sz val="10"/>
            <color rgb="FF000000"/>
            <rFont val="Tahoma"/>
            <family val="2"/>
          </rPr>
          <t xml:space="preserve">
</t>
        </r>
        <r>
          <rPr>
            <sz val="10"/>
            <color rgb="FF000000"/>
            <rFont val="Tahoma"/>
            <family val="2"/>
          </rPr>
          <t xml:space="preserve">Ecosistemas:
Cav y laboratorio: 
</t>
        </r>
        <r>
          <rPr>
            <sz val="10"/>
            <color rgb="FF000000"/>
            <rFont val="Tahoma"/>
            <family val="2"/>
          </rPr>
          <t xml:space="preserve">
</t>
        </r>
        <r>
          <rPr>
            <sz val="10"/>
            <color rgb="FF000000"/>
            <rFont val="Tahoma"/>
            <family val="2"/>
          </rPr>
          <t>$283.940.529</t>
        </r>
      </text>
    </comment>
    <comment ref="H121" authorId="3" shapeId="0" xr:uid="{00000000-0006-0000-0500-0000C5010000}">
      <text>
        <r>
          <rPr>
            <b/>
            <sz val="9"/>
            <color rgb="FF000000"/>
            <rFont val="Tahoma"/>
            <family val="2"/>
          </rPr>
          <t xml:space="preserve">Modelo de operación (acreditación, certificación, habilitación, procesos, entre otros)
</t>
        </r>
        <r>
          <rPr>
            <sz val="9"/>
            <color rgb="FF000000"/>
            <rFont val="Tahoma"/>
            <family val="2"/>
          </rPr>
          <t xml:space="preserve">
</t>
        </r>
        <r>
          <rPr>
            <sz val="9"/>
            <color rgb="FF000000"/>
            <rFont val="Tahoma"/>
            <family val="2"/>
          </rPr>
          <t xml:space="preserve">Infraestructura
</t>
        </r>
        <r>
          <rPr>
            <sz val="9"/>
            <color rgb="FF000000"/>
            <rFont val="Tahoma"/>
            <family val="2"/>
          </rPr>
          <t xml:space="preserve">
</t>
        </r>
        <r>
          <rPr>
            <sz val="9"/>
            <color rgb="FF000000"/>
            <rFont val="Tahoma"/>
            <family val="2"/>
          </rPr>
          <t xml:space="preserve">Equipos
</t>
        </r>
        <r>
          <rPr>
            <sz val="9"/>
            <color rgb="FF000000"/>
            <rFont val="Tahoma"/>
            <family val="2"/>
          </rPr>
          <t xml:space="preserve">
</t>
        </r>
        <r>
          <rPr>
            <sz val="9"/>
            <color rgb="FF000000"/>
            <rFont val="Tahoma"/>
            <family val="2"/>
          </rPr>
          <t>Personal, queda inmerso en el proyecto de modernización</t>
        </r>
      </text>
    </comment>
    <comment ref="T121" authorId="3" shapeId="0" xr:uid="{00000000-0006-0000-0500-0000C6010000}">
      <text>
        <r>
          <rPr>
            <b/>
            <sz val="9"/>
            <color rgb="FF000000"/>
            <rFont val="Tahoma"/>
            <family val="2"/>
          </rPr>
          <t xml:space="preserve">Apoyo
</t>
        </r>
        <r>
          <rPr>
            <b/>
            <sz val="9"/>
            <color rgb="FF000000"/>
            <rFont val="Tahoma"/>
            <family val="2"/>
          </rPr>
          <t xml:space="preserve">
</t>
        </r>
        <r>
          <rPr>
            <b/>
            <sz val="9"/>
            <color rgb="FF000000"/>
            <rFont val="Tahoma"/>
            <family val="2"/>
          </rPr>
          <t xml:space="preserve">Subdirección de Ecosistemas - Subdirección de Planeación - Subdirección de Gestión Ambiental </t>
        </r>
      </text>
    </comment>
    <comment ref="Z121" authorId="1" shapeId="0" xr:uid="{00000000-0006-0000-0500-0000C7010000}">
      <text>
        <r>
          <rPr>
            <b/>
            <sz val="10"/>
            <color rgb="FF000000"/>
            <rFont val="Tahoma"/>
            <family val="2"/>
          </rPr>
          <t xml:space="preserve">Planeación
</t>
        </r>
        <r>
          <rPr>
            <sz val="10"/>
            <color rgb="FF000000"/>
            <rFont val="Tahoma"/>
            <family val="2"/>
          </rPr>
          <t xml:space="preserve">CIA
</t>
        </r>
        <r>
          <rPr>
            <sz val="10"/>
            <color rgb="FF000000"/>
            <rFont val="Tahoma"/>
            <family val="2"/>
          </rPr>
          <t xml:space="preserve">$40.927.100
</t>
        </r>
        <r>
          <rPr>
            <b/>
            <sz val="10"/>
            <color rgb="FF000000"/>
            <rFont val="Tahoma"/>
            <family val="2"/>
          </rPr>
          <t xml:space="preserve">
</t>
        </r>
        <r>
          <rPr>
            <b/>
            <sz val="10"/>
            <color rgb="FF000000"/>
            <rFont val="Tahoma"/>
            <family val="2"/>
          </rPr>
          <t>Gestión ambiental :</t>
        </r>
        <r>
          <rPr>
            <sz val="10"/>
            <color rgb="FF000000"/>
            <rFont val="Tahoma"/>
            <family val="2"/>
          </rPr>
          <t xml:space="preserve">
</t>
        </r>
        <r>
          <rPr>
            <sz val="10"/>
            <color rgb="FF000000"/>
            <rFont val="Tahoma"/>
            <family val="2"/>
          </rPr>
          <t>Laboratorio: $745.033.523</t>
        </r>
        <r>
          <rPr>
            <b/>
            <sz val="10"/>
            <color rgb="FF000000"/>
            <rFont val="Tahoma"/>
            <family val="2"/>
          </rPr>
          <t xml:space="preserve">
</t>
        </r>
        <r>
          <rPr>
            <b/>
            <sz val="10"/>
            <color rgb="FF000000"/>
            <rFont val="Tahoma"/>
            <family val="2"/>
          </rPr>
          <t xml:space="preserve">
</t>
        </r>
        <r>
          <rPr>
            <b/>
            <sz val="10"/>
            <color rgb="FF000000"/>
            <rFont val="Tahoma"/>
            <family val="2"/>
          </rPr>
          <t xml:space="preserve">Ecosistemas:
</t>
        </r>
        <r>
          <rPr>
            <sz val="10.5"/>
            <color rgb="FF000000"/>
            <rFont val="Calibri"/>
            <family val="2"/>
          </rPr>
          <t>Se adicionaron 500.000.000 de Vivero, ecosistemas</t>
        </r>
        <r>
          <rPr>
            <sz val="5"/>
            <color rgb="FF000000"/>
            <rFont val="Calibri"/>
            <family val="2"/>
          </rPr>
          <t xml:space="preserve">
</t>
        </r>
        <r>
          <rPr>
            <sz val="10.5"/>
            <color rgb="FF000000"/>
            <rFont val="Calibri"/>
            <family val="2"/>
          </rPr>
          <t>Se adicionan 1385.000.000 para hogar de paso</t>
        </r>
        <r>
          <rPr>
            <sz val="5"/>
            <color rgb="FF000000"/>
            <rFont val="Calibri"/>
            <family val="2"/>
          </rPr>
          <t xml:space="preserve">
</t>
        </r>
      </text>
    </comment>
    <comment ref="AA121" authorId="1" shapeId="0" xr:uid="{00000000-0006-0000-0500-0000C8010000}">
      <text>
        <r>
          <rPr>
            <b/>
            <sz val="12"/>
            <color rgb="FF000000"/>
            <rFont val="Calibri"/>
            <family val="2"/>
          </rPr>
          <t>Administrativa:</t>
        </r>
        <r>
          <rPr>
            <sz val="7"/>
            <color rgb="FF000000"/>
            <rFont val="Calibri"/>
            <family val="2"/>
          </rPr>
          <t xml:space="preserve">
</t>
        </r>
        <r>
          <rPr>
            <sz val="12"/>
            <color rgb="FF000000"/>
            <rFont val="Calibri"/>
            <family val="2"/>
          </rPr>
          <t>140.234.670</t>
        </r>
        <r>
          <rPr>
            <sz val="7"/>
            <color rgb="FF000000"/>
            <rFont val="Calibri"/>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1.921.393.030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Vivieros y Cav:
</t>
        </r>
        <r>
          <rPr>
            <b/>
            <sz val="10"/>
            <color rgb="FF000000"/>
            <rFont val="Tahoma"/>
            <family val="2"/>
          </rPr>
          <t xml:space="preserve">
</t>
        </r>
        <r>
          <rPr>
            <sz val="10"/>
            <color rgb="FF000000"/>
            <rFont val="Calibri"/>
            <family val="2"/>
          </rPr>
          <t xml:space="preserve">Adicionar 2000.000.000,  1000.000.000 para funcionamiento de hogar de paso, 1000.000.000 para infraestructura hogar de paso y viveros
</t>
        </r>
        <r>
          <rPr>
            <sz val="10"/>
            <color rgb="FF000000"/>
            <rFont val="Tahoma"/>
            <family val="2"/>
          </rPr>
          <t xml:space="preserve">
</t>
        </r>
      </text>
    </comment>
    <comment ref="AB121" authorId="1" shapeId="0" xr:uid="{00000000-0006-0000-0500-0000C9010000}">
      <text>
        <r>
          <rPr>
            <b/>
            <sz val="10"/>
            <color rgb="FF000000"/>
            <rFont val="Tahoma"/>
            <family val="2"/>
          </rPr>
          <t xml:space="preserve">Administrativa:
</t>
        </r>
        <r>
          <rPr>
            <b/>
            <sz val="10"/>
            <color rgb="FF000000"/>
            <rFont val="Tahoma"/>
            <family val="2"/>
          </rPr>
          <t>$1</t>
        </r>
        <r>
          <rPr>
            <sz val="10"/>
            <color rgb="FF000000"/>
            <rFont val="Tahoma"/>
            <family val="2"/>
          </rPr>
          <t>43.177.390</t>
        </r>
        <r>
          <rPr>
            <sz val="10"/>
            <color rgb="FF000000"/>
            <rFont val="Tahoma"/>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$2.687.226.343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vivieros:
</t>
        </r>
        <r>
          <rPr>
            <b/>
            <sz val="10"/>
            <color rgb="FF000000"/>
            <rFont val="Tahoma"/>
            <family val="2"/>
          </rPr>
          <t xml:space="preserve">
</t>
        </r>
        <r>
          <rPr>
            <sz val="10"/>
            <color rgb="FF000000"/>
            <rFont val="Calibri"/>
            <family val="2"/>
          </rPr>
          <t xml:space="preserve">1100.000.000 para funcionamiento y 500.000.000 para infraestructura de hogar de paso y vivero
</t>
        </r>
        <r>
          <rPr>
            <sz val="10"/>
            <color rgb="FF000000"/>
            <rFont val="Tahoma"/>
            <family val="2"/>
          </rPr>
          <t xml:space="preserve">
</t>
        </r>
      </text>
    </comment>
    <comment ref="AC121" authorId="1" shapeId="0" xr:uid="{00000000-0006-0000-0500-0000CA010000}">
      <text>
        <r>
          <rPr>
            <b/>
            <sz val="10"/>
            <color rgb="FF000000"/>
            <rFont val="Tahoma"/>
            <family val="2"/>
          </rPr>
          <t xml:space="preserve">Administrativa 
</t>
        </r>
        <r>
          <rPr>
            <b/>
            <sz val="10"/>
            <color rgb="FF000000"/>
            <rFont val="Tahoma"/>
            <family val="2"/>
          </rPr>
          <t xml:space="preserve">
</t>
        </r>
        <r>
          <rPr>
            <sz val="10"/>
            <color rgb="FF000000"/>
            <rFont val="Tahoma"/>
            <family val="2"/>
          </rPr>
          <t xml:space="preserve">$146.237.819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$2.876.221.607</t>
        </r>
        <r>
          <rPr>
            <b/>
            <sz val="10"/>
            <color rgb="FF000000"/>
            <rFont val="Tahoma"/>
            <family val="2"/>
          </rPr>
          <t xml:space="preserve">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viveros:
</t>
        </r>
        <r>
          <rPr>
            <b/>
            <sz val="10"/>
            <color rgb="FF000000"/>
            <rFont val="Tahoma"/>
            <family val="2"/>
          </rPr>
          <t xml:space="preserve">
</t>
        </r>
        <r>
          <rPr>
            <sz val="10"/>
            <color rgb="FF000000"/>
            <rFont val="Calibri"/>
            <family val="2"/>
          </rPr>
          <t xml:space="preserve">Incluye 1.225.000.000 para hogar de paso+  420.000.000 para infraestructura de hogar de paso y vivero
</t>
        </r>
        <r>
          <rPr>
            <sz val="10"/>
            <color rgb="FF000000"/>
            <rFont val="Tahoma"/>
            <family val="2"/>
          </rPr>
          <t xml:space="preserve">
</t>
        </r>
      </text>
    </comment>
    <comment ref="AG121" authorId="1" shapeId="0" xr:uid="{00000000-0006-0000-0500-0000CB010000}">
      <text>
        <r>
          <rPr>
            <b/>
            <sz val="10"/>
            <color rgb="FF000000"/>
            <rFont val="Tahoma"/>
            <family val="2"/>
          </rPr>
          <t xml:space="preserve">Laboratorio:
</t>
        </r>
        <r>
          <rPr>
            <b/>
            <sz val="10"/>
            <color rgb="FF000000"/>
            <rFont val="Tahoma"/>
            <family val="2"/>
          </rPr>
          <t xml:space="preserve">
</t>
        </r>
        <r>
          <rPr>
            <sz val="12"/>
            <color rgb="FF000000"/>
            <rFont val="Calibri"/>
            <family val="2"/>
          </rPr>
          <t>1 Profesional especializado Grado 17 - Claudia</t>
        </r>
        <r>
          <rPr>
            <sz val="7"/>
            <color rgb="FF000000"/>
            <rFont val="Calibri"/>
            <family val="2"/>
          </rPr>
          <t xml:space="preserve">
</t>
        </r>
        <r>
          <rPr>
            <sz val="12"/>
            <color rgb="FF000000"/>
            <rFont val="Calibri"/>
            <family val="2"/>
          </rPr>
          <t>5 Profesional Universitario Grado 11  - CINTYA, EDER, ANA, YISEL, JHONATAN</t>
        </r>
        <r>
          <rPr>
            <sz val="7"/>
            <color rgb="FF000000"/>
            <rFont val="Calibri"/>
            <family val="2"/>
          </rPr>
          <t xml:space="preserve">
</t>
        </r>
        <r>
          <rPr>
            <sz val="12"/>
            <color rgb="FF000000"/>
            <rFont val="Calibri"/>
            <family val="2"/>
          </rPr>
          <t xml:space="preserve">4 Tecnico operativo Grado 16 - CARLOS, WILLIAM, KAREN, LILIANA </t>
        </r>
        <r>
          <rPr>
            <sz val="7"/>
            <color rgb="FF000000"/>
            <rFont val="Calibri"/>
            <family val="2"/>
          </rPr>
          <t xml:space="preserve">
</t>
        </r>
        <r>
          <rPr>
            <sz val="12"/>
            <color rgb="FF000000"/>
            <rFont val="Calibri"/>
            <family val="2"/>
          </rPr>
          <t>1 Tecnico Operativo Grado 18 , FRANK</t>
        </r>
        <r>
          <rPr>
            <sz val="7"/>
            <color rgb="FF000000"/>
            <rFont val="Calibri"/>
            <family val="2"/>
          </rPr>
          <t xml:space="preserve">
</t>
        </r>
        <r>
          <rPr>
            <sz val="10"/>
            <color rgb="FFFF0000"/>
            <rFont val="Calibri"/>
            <family val="2"/>
          </rPr>
          <t xml:space="preserve">1 Prestación de servicios por 11 meses - VANESA
</t>
        </r>
        <r>
          <rPr>
            <sz val="10"/>
            <color rgb="FFFF0000"/>
            <rFont val="Calibri"/>
            <family val="2"/>
          </rPr>
          <t xml:space="preserve">
</t>
        </r>
        <r>
          <rPr>
            <sz val="10"/>
            <color rgb="FFFF0000"/>
            <rFont val="Calibri"/>
            <family val="2"/>
          </rPr>
          <t xml:space="preserve">$736.696.556 
</t>
        </r>
        <r>
          <rPr>
            <sz val="6"/>
            <color rgb="FFFF0000"/>
            <rFont val="Tahoma"/>
            <family val="2"/>
          </rPr>
          <t xml:space="preserve">
</t>
        </r>
        <r>
          <rPr>
            <b/>
            <sz val="10"/>
            <color rgb="FF000000"/>
            <rFont val="Tahoma"/>
            <family val="2"/>
          </rPr>
          <t>Administrativa</t>
        </r>
        <r>
          <rPr>
            <sz val="10"/>
            <color rgb="FF000000"/>
            <rFont val="Tahoma"/>
            <family val="2"/>
          </rPr>
          <t xml:space="preserve">
</t>
        </r>
        <r>
          <rPr>
            <sz val="10"/>
            <color rgb="FF000000"/>
            <rFont val="Tahoma"/>
            <family val="2"/>
          </rPr>
          <t xml:space="preserve">$101.866.914
</t>
        </r>
        <r>
          <rPr>
            <sz val="10"/>
            <color rgb="FF000000"/>
            <rFont val="Tahoma"/>
            <family val="2"/>
          </rPr>
          <t xml:space="preserve">
</t>
        </r>
        <r>
          <rPr>
            <sz val="10"/>
            <color rgb="FF000000"/>
            <rFont val="Tahoma"/>
            <family val="2"/>
          </rPr>
          <t xml:space="preserve">Ecosistemas:
Cav y laboratorio: 
</t>
        </r>
        <r>
          <rPr>
            <sz val="10"/>
            <color rgb="FF000000"/>
            <rFont val="Tahoma"/>
            <family val="2"/>
          </rPr>
          <t xml:space="preserve">
</t>
        </r>
        <r>
          <rPr>
            <sz val="10"/>
            <color rgb="FF000000"/>
            <rFont val="Tahoma"/>
            <family val="2"/>
          </rPr>
          <t>$283.940.529</t>
        </r>
      </text>
    </comment>
    <comment ref="D122" authorId="3" shapeId="0" xr:uid="{00000000-0006-0000-0500-0000CC010000}">
      <text>
        <r>
          <rPr>
            <b/>
            <sz val="9"/>
            <color rgb="FF000000"/>
            <rFont val="Tahoma"/>
            <family val="2"/>
          </rPr>
          <t>Hasta 2020-03-09:</t>
        </r>
        <r>
          <rPr>
            <sz val="9"/>
            <color rgb="FF000000"/>
            <rFont val="Tahoma"/>
            <family val="2"/>
          </rPr>
          <t xml:space="preserve"> Formar y fortalecer los actores 
</t>
        </r>
        <r>
          <rPr>
            <sz val="9"/>
            <color rgb="FF000000"/>
            <rFont val="Tahoma"/>
            <family val="2"/>
          </rPr>
          <t>- áreas protegidas y otras estrategias de conservación</t>
        </r>
      </text>
    </comment>
    <comment ref="F122" authorId="3" shapeId="0" xr:uid="{00000000-0006-0000-0500-0000CD010000}">
      <text>
        <r>
          <rPr>
            <b/>
            <sz val="9"/>
            <color rgb="FF000000"/>
            <rFont val="Tahoma"/>
            <family val="2"/>
          </rPr>
          <t>Hasta 2020-03-09:</t>
        </r>
        <r>
          <rPr>
            <sz val="9"/>
            <color rgb="FF000000"/>
            <rFont val="Tahoma"/>
            <family val="2"/>
          </rPr>
          <t xml:space="preserve"> Formar y fortalecer los actores 
</t>
        </r>
        <r>
          <rPr>
            <sz val="9"/>
            <color rgb="FF000000"/>
            <rFont val="Tahoma"/>
            <family val="2"/>
          </rPr>
          <t>- áreas protegidas y otras estrategias de conservación</t>
        </r>
      </text>
    </comment>
    <comment ref="M122" authorId="0" shapeId="0" xr:uid="{00000000-0006-0000-0500-0000CE010000}">
      <text>
        <r>
          <rPr>
            <b/>
            <sz val="9"/>
            <color indexed="81"/>
            <rFont val="Tahoma"/>
            <family val="2"/>
          </rPr>
          <t>Estaba en cero</t>
        </r>
      </text>
    </comment>
    <comment ref="T122" authorId="0" shapeId="0" xr:uid="{00000000-0006-0000-0500-0000CF010000}">
      <text>
        <r>
          <rPr>
            <b/>
            <sz val="9"/>
            <color rgb="FF000000"/>
            <rFont val="Tahoma"/>
            <family val="2"/>
          </rPr>
          <t xml:space="preserve"> - Subdirección de Cultura Ambiental</t>
        </r>
      </text>
    </comment>
    <comment ref="AG122" authorId="0" shapeId="0" xr:uid="{00000000-0006-0000-0500-0000D0010000}">
      <text>
        <r>
          <rPr>
            <b/>
            <sz val="9"/>
            <color indexed="81"/>
            <rFont val="Tahoma"/>
            <family val="2"/>
          </rPr>
          <t xml:space="preserve">2020-04-22: </t>
        </r>
        <r>
          <rPr>
            <sz val="9"/>
            <color indexed="81"/>
            <rFont val="Tahoma"/>
            <family val="2"/>
          </rPr>
          <t>Asignación de 377032039 para cubrir el presupuesto 2020</t>
        </r>
      </text>
    </comment>
    <comment ref="T123" authorId="0" shapeId="0" xr:uid="{00000000-0006-0000-0500-0000D1010000}">
      <text>
        <r>
          <rPr>
            <b/>
            <sz val="9"/>
            <color rgb="FF000000"/>
            <rFont val="Tahoma"/>
            <family val="2"/>
          </rPr>
          <t>Apoyo:</t>
        </r>
        <r>
          <rPr>
            <sz val="9"/>
            <color rgb="FF000000"/>
            <rFont val="Tahoma"/>
            <family val="2"/>
          </rPr>
          <t xml:space="preserve"> Subdirección de Planeación
</t>
        </r>
      </text>
    </comment>
    <comment ref="T124" authorId="0" shapeId="0" xr:uid="{00000000-0006-0000-0500-0000D2010000}">
      <text>
        <r>
          <rPr>
            <b/>
            <sz val="9"/>
            <color indexed="81"/>
            <rFont val="Tahoma"/>
            <family val="2"/>
          </rPr>
          <t>Apoyo:</t>
        </r>
        <r>
          <rPr>
            <sz val="9"/>
            <color indexed="81"/>
            <rFont val="Tahoma"/>
            <family val="2"/>
          </rPr>
          <t xml:space="preserve"> Subdirección de Planeación
</t>
        </r>
      </text>
    </comment>
    <comment ref="M125" authorId="0" shapeId="0" xr:uid="{00000000-0006-0000-0500-0000D3010000}">
      <text>
        <r>
          <rPr>
            <b/>
            <sz val="9"/>
            <color indexed="81"/>
            <rFont val="Tahoma"/>
            <family val="2"/>
          </rPr>
          <t>Estaba en cero</t>
        </r>
      </text>
    </comment>
    <comment ref="Z125" authorId="1" shapeId="0" xr:uid="{00000000-0006-0000-0500-0000D4010000}">
      <text>
        <r>
          <rPr>
            <b/>
            <sz val="10"/>
            <color rgb="FF000000"/>
            <rFont val="Tahoma"/>
            <family val="2"/>
          </rPr>
          <t xml:space="preserve">Antes 2020-04-20
</t>
        </r>
        <r>
          <rPr>
            <b/>
            <sz val="10"/>
            <color rgb="FF000000"/>
            <rFont val="Tahoma"/>
            <family val="2"/>
          </rPr>
          <t xml:space="preserve">
</t>
        </r>
        <r>
          <rPr>
            <sz val="10"/>
            <color rgb="FF000000"/>
            <rFont val="Tahoma"/>
            <family val="2"/>
          </rPr>
          <t xml:space="preserve">1.124.963.500
</t>
        </r>
      </text>
    </comment>
    <comment ref="D126" authorId="3" shapeId="0" xr:uid="{00000000-0006-0000-0500-0000D5010000}">
      <text>
        <r>
          <rPr>
            <b/>
            <sz val="9"/>
            <color rgb="FF000000"/>
            <rFont val="Tahoma"/>
            <family val="2"/>
          </rPr>
          <t>Hasta 2020-03-09:</t>
        </r>
        <r>
          <rPr>
            <sz val="9"/>
            <color rgb="FF000000"/>
            <rFont val="Tahoma"/>
            <family val="2"/>
          </rPr>
          <t xml:space="preserve"> Formar y fortalecer los actores 
</t>
        </r>
        <r>
          <rPr>
            <sz val="9"/>
            <color rgb="FF000000"/>
            <rFont val="Tahoma"/>
            <family val="2"/>
          </rPr>
          <t xml:space="preserve">- áreas protegidas y otras estrategias de conservación
</t>
        </r>
        <r>
          <rPr>
            <sz val="9"/>
            <color rgb="FF000000"/>
            <rFont val="Tahoma"/>
            <family val="2"/>
          </rPr>
          <t>- Fortalecer las capacidades de los actores para el uso del agua y demás recursos</t>
        </r>
      </text>
    </comment>
    <comment ref="F126" authorId="3" shapeId="0" xr:uid="{00000000-0006-0000-0500-0000D6010000}">
      <text>
        <r>
          <rPr>
            <b/>
            <sz val="9"/>
            <color rgb="FF000000"/>
            <rFont val="Tahoma"/>
            <family val="2"/>
          </rPr>
          <t>Hasta 2020-03-09:</t>
        </r>
        <r>
          <rPr>
            <sz val="9"/>
            <color rgb="FF000000"/>
            <rFont val="Tahoma"/>
            <family val="2"/>
          </rPr>
          <t xml:space="preserve"> Formar y fortalecer los actores 
</t>
        </r>
        <r>
          <rPr>
            <sz val="9"/>
            <color rgb="FF000000"/>
            <rFont val="Tahoma"/>
            <family val="2"/>
          </rPr>
          <t xml:space="preserve">- áreas protegidas y otras estrategias de conservación
</t>
        </r>
        <r>
          <rPr>
            <sz val="9"/>
            <color rgb="FF000000"/>
            <rFont val="Tahoma"/>
            <family val="2"/>
          </rPr>
          <t>- Fortalecer las capacidades de los actores para el uso del agua y demás recursos</t>
        </r>
      </text>
    </comment>
    <comment ref="H127" authorId="3" shapeId="0" xr:uid="{00000000-0006-0000-0500-0000D7010000}">
      <text>
        <r>
          <rPr>
            <b/>
            <sz val="9"/>
            <color rgb="FF000000"/>
            <rFont val="Tahoma"/>
            <family val="2"/>
          </rPr>
          <t xml:space="preserve">Nota: 
</t>
        </r>
        <r>
          <rPr>
            <sz val="9"/>
            <color rgb="FF000000"/>
            <rFont val="Tahoma"/>
            <family val="2"/>
          </rPr>
          <t>▪ Acciones en coherencia con las necesidades de educación de los diferentes programas del plan de acción y retos del PGAR.
▪ Considera la Ordenanza de 2019 sobre política de educación ambiental.</t>
        </r>
        <r>
          <rPr>
            <b/>
            <sz val="9"/>
            <color rgb="FF000000"/>
            <rFont val="Tahoma"/>
            <family val="2"/>
          </rPr>
          <t xml:space="preserve">
PRAES, PROCEDAS, PRAU
Desarrollar procesos de educación ambiental para la participación, con enfoque diferencial.</t>
        </r>
      </text>
    </comment>
    <comment ref="L127" authorId="3" shapeId="0" xr:uid="{00000000-0006-0000-0500-0000D8010000}">
      <text>
        <r>
          <rPr>
            <b/>
            <sz val="9"/>
            <color rgb="FF000000"/>
            <rFont val="Tahoma"/>
            <family val="2"/>
          </rPr>
          <t>Línea base:</t>
        </r>
        <r>
          <rPr>
            <sz val="9"/>
            <color rgb="FF000000"/>
            <rFont val="Tahoma"/>
            <family val="2"/>
          </rPr>
          <t xml:space="preserve"> 100%. 7 acciones en educación ambiental, correspondientes a los proyectos 7, 8, 9 y 10 del Plan de Acción.
</t>
        </r>
      </text>
    </comment>
    <comment ref="N128" authorId="0" shapeId="0" xr:uid="{00000000-0006-0000-0500-0000D9010000}">
      <text>
        <r>
          <rPr>
            <b/>
            <sz val="9"/>
            <color indexed="81"/>
            <rFont val="Tahoma"/>
            <family val="2"/>
          </rPr>
          <t xml:space="preserve">Antes 2020-04-14: </t>
        </r>
        <r>
          <rPr>
            <sz val="9"/>
            <color indexed="81"/>
            <rFont val="Tahoma"/>
            <family val="2"/>
          </rPr>
          <t xml:space="preserve">1
</t>
        </r>
      </text>
    </comment>
    <comment ref="O128" authorId="0" shapeId="0" xr:uid="{00000000-0006-0000-0500-0000DA010000}">
      <text>
        <r>
          <rPr>
            <b/>
            <sz val="9"/>
            <color indexed="81"/>
            <rFont val="Tahoma"/>
            <family val="2"/>
          </rPr>
          <t xml:space="preserve">Antes 2020-04-14: </t>
        </r>
        <r>
          <rPr>
            <sz val="9"/>
            <color indexed="81"/>
            <rFont val="Tahoma"/>
            <family val="2"/>
          </rPr>
          <t xml:space="preserve">1
</t>
        </r>
      </text>
    </comment>
    <comment ref="P128" authorId="0" shapeId="0" xr:uid="{00000000-0006-0000-0500-0000DB010000}">
      <text>
        <r>
          <rPr>
            <b/>
            <sz val="9"/>
            <color indexed="81"/>
            <rFont val="Tahoma"/>
            <family val="2"/>
          </rPr>
          <t xml:space="preserve">Antes 2020-04-14: </t>
        </r>
        <r>
          <rPr>
            <sz val="9"/>
            <color indexed="81"/>
            <rFont val="Tahoma"/>
            <family val="2"/>
          </rPr>
          <t xml:space="preserve">0
</t>
        </r>
      </text>
    </comment>
    <comment ref="D131" authorId="3" shapeId="0" xr:uid="{00000000-0006-0000-0500-0000DC010000}">
      <text>
        <r>
          <rPr>
            <b/>
            <sz val="9"/>
            <color rgb="FF000000"/>
            <rFont val="Tahoma"/>
            <family val="2"/>
          </rPr>
          <t>Hasta 2020-03-09:</t>
        </r>
        <r>
          <rPr>
            <sz val="9"/>
            <color rgb="FF000000"/>
            <rFont val="Tahoma"/>
            <family val="2"/>
          </rPr>
          <t xml:space="preserve"> Desarrollar procesos de investigación e innovación para el fortalecimiento de la administración de los RNR (incluye saberes ancestrales)
</t>
        </r>
      </text>
    </comment>
    <comment ref="F131" authorId="3" shapeId="0" xr:uid="{00000000-0006-0000-0500-0000DD010000}">
      <text>
        <r>
          <rPr>
            <b/>
            <sz val="9"/>
            <color rgb="FF000000"/>
            <rFont val="Tahoma"/>
            <family val="2"/>
          </rPr>
          <t>Hasta 2020-03-09:</t>
        </r>
        <r>
          <rPr>
            <sz val="9"/>
            <color rgb="FF000000"/>
            <rFont val="Tahoma"/>
            <family val="2"/>
          </rPr>
          <t xml:space="preserve"> Desarrollar procesos de investigación e innovación para el fortalecimiento de la administración de los RNR (incluye saberes ancestrales)
</t>
        </r>
      </text>
    </comment>
    <comment ref="L132" authorId="0" shapeId="0" xr:uid="{00000000-0006-0000-0500-0000DE010000}">
      <text>
        <r>
          <rPr>
            <sz val="9"/>
            <color rgb="FF000000"/>
            <rFont val="Tahoma"/>
            <family val="2"/>
          </rPr>
          <t xml:space="preserve">Desarrollo tecnológico en uso de biodiversidad
</t>
        </r>
        <r>
          <rPr>
            <sz val="9"/>
            <color rgb="FF000000"/>
            <rFont val="Tahoma"/>
            <family val="2"/>
          </rPr>
          <t xml:space="preserve">Tratamiento de aguas residuales en actividades agrícolas
</t>
        </r>
        <r>
          <rPr>
            <sz val="9"/>
            <color rgb="FF000000"/>
            <rFont val="Tahoma"/>
            <family val="2"/>
          </rPr>
          <t xml:space="preserve">Diseño de asentamientos para el manejo del agua como medio de adaptación al cambio climático
</t>
        </r>
        <r>
          <rPr>
            <sz val="9"/>
            <color rgb="FF000000"/>
            <rFont val="Tahoma"/>
            <family val="2"/>
          </rPr>
          <t xml:space="preserve">
</t>
        </r>
        <r>
          <rPr>
            <sz val="9"/>
            <color rgb="FF000000"/>
            <rFont val="Tahoma"/>
            <family val="2"/>
          </rPr>
          <t>Se toma como base priorizar 10.</t>
        </r>
      </text>
    </comment>
    <comment ref="N132" authorId="0" shapeId="0" xr:uid="{00000000-0006-0000-0500-0000DF010000}">
      <text>
        <r>
          <rPr>
            <b/>
            <sz val="11"/>
            <color rgb="FF000000"/>
            <rFont val="Calibri"/>
            <family val="2"/>
          </rPr>
          <t xml:space="preserve">Antes 2020-04-14: </t>
        </r>
        <r>
          <rPr>
            <sz val="11"/>
            <color rgb="FF000000"/>
            <rFont val="Calibri"/>
            <family val="2"/>
          </rPr>
          <t xml:space="preserve">Se mantiene el proceso de investigación e innovación.
</t>
        </r>
        <r>
          <rPr>
            <b/>
            <sz val="11"/>
            <color rgb="FF000000"/>
            <rFont val="Calibri"/>
            <family val="2"/>
          </rPr>
          <t>Se desarrolla 1 proceso de investigación e innovación</t>
        </r>
      </text>
    </comment>
    <comment ref="O132" authorId="0" shapeId="0" xr:uid="{00000000-0006-0000-0500-0000E0010000}">
      <text>
        <r>
          <rPr>
            <b/>
            <sz val="10"/>
            <color rgb="FF000000"/>
            <rFont val="Calibri"/>
            <family val="2"/>
          </rPr>
          <t xml:space="preserve">Antes 2020-04-14: </t>
        </r>
        <r>
          <rPr>
            <sz val="10"/>
            <color rgb="FF000000"/>
            <rFont val="Calibri"/>
            <family val="2"/>
          </rPr>
          <t xml:space="preserve">Se mantiene el proceso de investigación e innovación y se genera otro
</t>
        </r>
        <r>
          <rPr>
            <b/>
            <sz val="10"/>
            <color rgb="FF000000"/>
            <rFont val="Calibri"/>
            <family val="2"/>
          </rPr>
          <t xml:space="preserve">Se mantiene el proceso de investigación e innovación </t>
        </r>
      </text>
    </comment>
    <comment ref="P132" authorId="0" shapeId="0" xr:uid="{00000000-0006-0000-0500-0000E1010000}">
      <text>
        <r>
          <rPr>
            <b/>
            <sz val="10"/>
            <color rgb="FF000000"/>
            <rFont val="Calibri"/>
            <family val="2"/>
            <scheme val="minor"/>
          </rPr>
          <t>2020-04-14: S</t>
        </r>
        <r>
          <rPr>
            <sz val="10"/>
            <color rgb="FF000000"/>
            <rFont val="Calibri"/>
            <family val="2"/>
            <scheme val="minor"/>
          </rPr>
          <t xml:space="preserve">e mantiene los dos procesos de investigación e innovación
</t>
        </r>
        <r>
          <rPr>
            <b/>
            <sz val="10"/>
            <color rgb="FF000000"/>
            <rFont val="Calibri"/>
            <family val="2"/>
            <scheme val="minor"/>
          </rPr>
          <t>Se mantiene el proceso de investigación e innovación y se genera otro</t>
        </r>
        <r>
          <rPr>
            <sz val="9"/>
            <color rgb="FF000000"/>
            <rFont val="Calibri"/>
            <family val="2"/>
            <scheme val="minor"/>
          </rPr>
          <t xml:space="preserve">
</t>
        </r>
      </text>
    </comment>
    <comment ref="T132" authorId="0" shapeId="0" xr:uid="{00000000-0006-0000-0500-0000E2010000}">
      <text>
        <r>
          <rPr>
            <b/>
            <sz val="9"/>
            <color rgb="FF000000"/>
            <rFont val="Tahoma"/>
            <family val="2"/>
          </rPr>
          <t>Apoyo:</t>
        </r>
        <r>
          <rPr>
            <sz val="9"/>
            <color rgb="FF000000"/>
            <rFont val="Tahoma"/>
            <family val="2"/>
          </rPr>
          <t xml:space="preserve"> Subdirección de Planeación
</t>
        </r>
      </text>
    </comment>
    <comment ref="AD132" authorId="0" shapeId="0" xr:uid="{00000000-0006-0000-0500-0000E3010000}">
      <text>
        <r>
          <rPr>
            <b/>
            <sz val="9"/>
            <color rgb="FF000000"/>
            <rFont val="Tahoma"/>
            <family val="2"/>
          </rPr>
          <t>Antes 2020-04-14:</t>
        </r>
        <r>
          <rPr>
            <sz val="9"/>
            <color rgb="FF000000"/>
            <rFont val="Tahoma"/>
            <family val="2"/>
          </rPr>
          <t xml:space="preserve"> Subdirección de Planeación tiene destinado $150.000.000 para la Formulación del Plan de Investigación, desarrollo e innovación. Con estos recusos se espera aportar a esta meta y la relacionada con el indicador "Innovaciones generadas y puestas en funcionamiento en la administración de lo ambiental" 
</t>
        </r>
      </text>
    </comment>
    <comment ref="L133" authorId="0" shapeId="0" xr:uid="{00000000-0006-0000-0500-0000E4010000}">
      <text>
        <r>
          <rPr>
            <b/>
            <sz val="9"/>
            <color rgb="FF000000"/>
            <rFont val="Tahoma"/>
            <family val="2"/>
          </rPr>
          <t xml:space="preserve">Innovación en el manejo de información y automatización de procesos
</t>
        </r>
        <r>
          <rPr>
            <b/>
            <sz val="9"/>
            <color rgb="FF000000"/>
            <rFont val="Tahoma"/>
            <family val="2"/>
          </rPr>
          <t xml:space="preserve">Visitas técnicas a distancia
</t>
        </r>
        <r>
          <rPr>
            <b/>
            <sz val="9"/>
            <color rgb="FF000000"/>
            <rFont val="Tahoma"/>
            <family val="2"/>
          </rPr>
          <t>Modelación de impacto territorial de las decisiones tomadas</t>
        </r>
      </text>
    </comment>
    <comment ref="T133" authorId="0" shapeId="0" xr:uid="{00000000-0006-0000-0500-0000E5010000}">
      <text>
        <r>
          <rPr>
            <b/>
            <sz val="9"/>
            <color rgb="FF000000"/>
            <rFont val="Tahoma"/>
            <family val="2"/>
          </rPr>
          <t>Apoyo:</t>
        </r>
        <r>
          <rPr>
            <sz val="9"/>
            <color rgb="FF000000"/>
            <rFont val="Tahoma"/>
            <family val="2"/>
          </rPr>
          <t xml:space="preserve"> Subdirección de Planeación
</t>
        </r>
      </text>
    </comment>
    <comment ref="D134" authorId="0" shapeId="0" xr:uid="{00000000-0006-0000-0500-0000E6010000}">
      <text>
        <r>
          <rPr>
            <sz val="9"/>
            <color rgb="FF000000"/>
            <rFont val="Tahoma"/>
            <family val="2"/>
          </rPr>
          <t xml:space="preserve">Incluye:
</t>
        </r>
        <r>
          <rPr>
            <sz val="9"/>
            <color rgb="FF000000"/>
            <rFont val="Tahoma"/>
            <family val="2"/>
          </rPr>
          <t xml:space="preserve">- Implementar el Observatorio de Conflictos Ambientales
</t>
        </r>
        <r>
          <rPr>
            <sz val="9"/>
            <color rgb="FF000000"/>
            <rFont val="Tahoma"/>
            <family val="2"/>
          </rPr>
          <t xml:space="preserve">* Trabajo articulado con sectores para consolidar y difundir las prioridades en gestión ambiental de acuerdo al PND.
</t>
        </r>
        <r>
          <rPr>
            <sz val="9"/>
            <color rgb="FF000000"/>
            <rFont val="Tahoma"/>
            <family val="2"/>
          </rPr>
          <t xml:space="preserve">* Fortalecer escenarios de dialogo entre los ciudadanos las entidades para la prevención de conflictos socioambientales.
</t>
        </r>
        <r>
          <rPr>
            <sz val="9"/>
            <color rgb="FF000000"/>
            <rFont val="Tahoma"/>
            <family val="2"/>
          </rPr>
          <t xml:space="preserve">* Diseñar e implementar estrategias para el rescate y divulgación de los conocimientos tradicionales asociados al uso y manejo de la biodiversidad en el marco de la conmemoración del Bicentenario.
</t>
        </r>
        <r>
          <rPr>
            <sz val="9"/>
            <color rgb="FF000000"/>
            <rFont val="Tahoma"/>
            <family val="2"/>
          </rPr>
          <t xml:space="preserve">* Definición de línea base de:
</t>
        </r>
        <r>
          <rPr>
            <sz val="9"/>
            <color rgb="FF000000"/>
            <rFont val="Tahoma"/>
            <family val="2"/>
          </rPr>
          <t xml:space="preserve">- Solicitudes de información a las entidades de la jurisdicción en temáticas ambientales priorizadas.
</t>
        </r>
        <r>
          <rPr>
            <sz val="9"/>
            <color rgb="FF000000"/>
            <rFont val="Tahoma"/>
            <family val="2"/>
          </rPr>
          <t xml:space="preserve">- Actores que le dieron un uso efectivo a la información ambiental de la jurisdicción para la toma de decisiones
</t>
        </r>
        <r>
          <rPr>
            <sz val="9"/>
            <color rgb="FF000000"/>
            <rFont val="Tahoma"/>
            <family val="2"/>
          </rPr>
          <t xml:space="preserve">* Definición de línea base de: 
</t>
        </r>
        <r>
          <rPr>
            <sz val="9"/>
            <color rgb="FF000000"/>
            <rFont val="Tahoma"/>
            <family val="2"/>
          </rPr>
          <t xml:space="preserve">- Decisiones en la gestión ambiental conforme a la participación efectiva con los actores.
</t>
        </r>
        <r>
          <rPr>
            <sz val="9"/>
            <color rgb="FF000000"/>
            <rFont val="Tahoma"/>
            <family val="2"/>
          </rPr>
          <t xml:space="preserve">- Apropiación por parte de los actores de los instrumentos de educación y comunicación permeados por los desarrollos pedagógicos y didácticos elaborados por la autoridad ambiental 
</t>
        </r>
        <r>
          <rPr>
            <sz val="9"/>
            <color rgb="FF000000"/>
            <rFont val="Tahoma"/>
            <family val="2"/>
          </rPr>
          <t xml:space="preserve">- Monitoreos participativos de biodiversidad y servicios ecosistémicos
</t>
        </r>
        <r>
          <rPr>
            <sz val="9"/>
            <color rgb="FF000000"/>
            <rFont val="Tahoma"/>
            <family val="2"/>
          </rPr>
          <t>- cuantificación de umbrales  de sostenibilidad en el uso de los recursos naturales renovables.</t>
        </r>
      </text>
    </comment>
    <comment ref="T134" authorId="3" shapeId="0" xr:uid="{00000000-0006-0000-0500-0000E7010000}">
      <text>
        <r>
          <rPr>
            <b/>
            <sz val="9"/>
            <color rgb="FF000000"/>
            <rFont val="Tahoma"/>
            <family val="2"/>
          </rPr>
          <t xml:space="preserve">Apoyo_
</t>
        </r>
        <r>
          <rPr>
            <b/>
            <sz val="9"/>
            <color rgb="FF000000"/>
            <rFont val="Tahoma"/>
            <family val="2"/>
          </rPr>
          <t xml:space="preserve">
</t>
        </r>
        <r>
          <rPr>
            <b/>
            <sz val="9"/>
            <color rgb="FF000000"/>
            <rFont val="Tahoma"/>
            <family val="2"/>
          </rPr>
          <t xml:space="preserve">- Subdirección de Cultura Ambiental - Subdirección de Planeación
</t>
        </r>
        <r>
          <rPr>
            <b/>
            <sz val="9"/>
            <color rgb="FF000000"/>
            <rFont val="Tahoma"/>
            <family val="2"/>
          </rPr>
          <t>- Subdirección de Cultura ambiental</t>
        </r>
      </text>
    </comment>
    <comment ref="K135" authorId="1" shapeId="0" xr:uid="{00000000-0006-0000-0500-0000E8010000}">
      <text>
        <r>
          <rPr>
            <b/>
            <sz val="10"/>
            <color rgb="FF000000"/>
            <rFont val="Tahoma"/>
            <family val="2"/>
          </rPr>
          <t>Se trata de un nuevo modelo por lo tanto no se tiene línea base.</t>
        </r>
        <r>
          <rPr>
            <sz val="10"/>
            <color rgb="FF000000"/>
            <rFont val="Tahoma"/>
            <family val="2"/>
          </rPr>
          <t xml:space="preserve">
</t>
        </r>
      </text>
    </comment>
    <comment ref="M135" authorId="0" shapeId="0" xr:uid="{00000000-0006-0000-0500-0000E9010000}">
      <text>
        <r>
          <rPr>
            <b/>
            <sz val="9"/>
            <color indexed="81"/>
            <rFont val="Tahoma"/>
            <family val="2"/>
          </rPr>
          <t>Corresponde al diseño del modelo</t>
        </r>
        <r>
          <rPr>
            <sz val="9"/>
            <color indexed="81"/>
            <rFont val="Tahoma"/>
            <family val="2"/>
          </rPr>
          <t xml:space="preserve">
</t>
        </r>
      </text>
    </comment>
    <comment ref="H136" authorId="0" shapeId="0" xr:uid="{00000000-0006-0000-0500-0000EA010000}">
      <text>
        <r>
          <rPr>
            <b/>
            <sz val="9"/>
            <color indexed="81"/>
            <rFont val="Tahoma"/>
            <family val="2"/>
          </rPr>
          <t xml:space="preserve">Nota: </t>
        </r>
        <r>
          <rPr>
            <sz val="9"/>
            <color indexed="81"/>
            <rFont val="Tahoma"/>
            <family val="2"/>
          </rPr>
          <t xml:space="preserve">Deben considerarse las decisiones ambientales; en la cual se superen las etapas de socialización y consulta; sin implicar la pérdida de autonomía en la decisión.
</t>
        </r>
      </text>
    </comment>
    <comment ref="T136" authorId="3" shapeId="0" xr:uid="{00000000-0006-0000-0500-0000EB010000}">
      <text>
        <r>
          <rPr>
            <b/>
            <sz val="9"/>
            <color indexed="81"/>
            <rFont val="Tahoma"/>
            <family val="2"/>
          </rPr>
          <t>Apoyo:</t>
        </r>
        <r>
          <rPr>
            <sz val="9"/>
            <color indexed="81"/>
            <rFont val="Tahoma"/>
            <family val="2"/>
          </rPr>
          <t xml:space="preserve">
 - Subdirección de Planeación</t>
        </r>
      </text>
    </comment>
    <comment ref="F137" authorId="3" shapeId="0" xr:uid="{00000000-0006-0000-0500-0000EC010000}">
      <text>
        <r>
          <rPr>
            <b/>
            <sz val="9"/>
            <color rgb="FF000000"/>
            <rFont val="Tahoma"/>
            <family val="2"/>
          </rPr>
          <t>Constituir una sola red a partir de la Red Pégate y la Mesa de trabajo y participación</t>
        </r>
        <r>
          <rPr>
            <sz val="9"/>
            <color rgb="FF000000"/>
            <rFont val="Tahoma"/>
            <family val="2"/>
          </rPr>
          <t xml:space="preserve">
</t>
        </r>
        <r>
          <rPr>
            <sz val="9"/>
            <color rgb="FF000000"/>
            <rFont val="Tahoma"/>
            <family val="2"/>
          </rPr>
          <t xml:space="preserve">CIDEAM
</t>
        </r>
        <r>
          <rPr>
            <sz val="9"/>
            <color rgb="FF000000"/>
            <rFont val="Tahoma"/>
            <family val="2"/>
          </rPr>
          <t>% de red de actores fortalecida</t>
        </r>
      </text>
    </comment>
    <comment ref="H137" authorId="3" shapeId="0" xr:uid="{00000000-0006-0000-0500-0000ED010000}">
      <text>
        <r>
          <rPr>
            <b/>
            <sz val="9"/>
            <color rgb="FF000000"/>
            <rFont val="Tahoma"/>
            <family val="2"/>
          </rPr>
          <t>Constituir una sola red a partir de la Red Pégate y la Mesa de trabajo y participación</t>
        </r>
        <r>
          <rPr>
            <sz val="9"/>
            <color rgb="FF000000"/>
            <rFont val="Tahoma"/>
            <family val="2"/>
          </rPr>
          <t xml:space="preserve">
</t>
        </r>
        <r>
          <rPr>
            <sz val="9"/>
            <color rgb="FF000000"/>
            <rFont val="Tahoma"/>
            <family val="2"/>
          </rPr>
          <t xml:space="preserve">CIDEAM
</t>
        </r>
        <r>
          <rPr>
            <sz val="9"/>
            <color rgb="FF000000"/>
            <rFont val="Tahoma"/>
            <family val="2"/>
          </rPr>
          <t>% de red de actores fortalecida</t>
        </r>
      </text>
    </comment>
    <comment ref="M137" authorId="0" shapeId="0" xr:uid="{00000000-0006-0000-0500-0000EE010000}">
      <text>
        <r>
          <rPr>
            <b/>
            <sz val="9"/>
            <color rgb="FF000000"/>
            <rFont val="Tahoma"/>
            <family val="2"/>
          </rPr>
          <t>Línea base</t>
        </r>
        <r>
          <rPr>
            <sz val="9"/>
            <color rgb="FF000000"/>
            <rFont val="Tahoma"/>
            <family val="2"/>
          </rPr>
          <t xml:space="preserve">
</t>
        </r>
      </text>
    </comment>
    <comment ref="T138" authorId="3" shapeId="0" xr:uid="{00000000-0006-0000-0500-0000EF010000}">
      <text>
        <r>
          <rPr>
            <sz val="9"/>
            <color rgb="FF000000"/>
            <rFont val="Tahoma"/>
            <family val="2"/>
          </rPr>
          <t xml:space="preserve">Apoyo 
</t>
        </r>
        <r>
          <rPr>
            <sz val="9"/>
            <color rgb="FF000000"/>
            <rFont val="Tahoma"/>
            <family val="2"/>
          </rPr>
          <t xml:space="preserve">
</t>
        </r>
        <r>
          <rPr>
            <sz val="9"/>
            <color rgb="FF000000"/>
            <rFont val="Tahoma"/>
            <family val="2"/>
          </rPr>
          <t xml:space="preserve"> - Subdirección de Planeación</t>
        </r>
      </text>
    </comment>
    <comment ref="Z139" authorId="1" shapeId="0" xr:uid="{00000000-0006-0000-0500-0000F0010000}">
      <text>
        <r>
          <rPr>
            <b/>
            <sz val="10"/>
            <color rgb="FF000000"/>
            <rFont val="Tahoma"/>
            <family val="2"/>
          </rPr>
          <t xml:space="preserve">Antes 2020-04-15:
</t>
        </r>
        <r>
          <rPr>
            <b/>
            <sz val="10"/>
            <color rgb="FF000000"/>
            <rFont val="Tahoma"/>
            <family val="2"/>
          </rPr>
          <t>$0</t>
        </r>
        <r>
          <rPr>
            <sz val="10"/>
            <color rgb="FF000000"/>
            <rFont val="Tahoma"/>
            <family val="2"/>
          </rPr>
          <t xml:space="preserve">
</t>
        </r>
      </text>
    </comment>
    <comment ref="T140" authorId="3" shapeId="0" xr:uid="{00000000-0006-0000-0500-0000F1010000}">
      <text>
        <r>
          <rPr>
            <b/>
            <sz val="9"/>
            <color rgb="FF000000"/>
            <rFont val="Tahoma"/>
            <family val="2"/>
          </rPr>
          <t xml:space="preserve">Apoyo:
</t>
        </r>
        <r>
          <rPr>
            <b/>
            <sz val="9"/>
            <color rgb="FF000000"/>
            <rFont val="Tahoma"/>
            <family val="2"/>
          </rPr>
          <t xml:space="preserve">
</t>
        </r>
        <r>
          <rPr>
            <b/>
            <sz val="9"/>
            <color rgb="FF000000"/>
            <rFont val="Tahoma"/>
            <family val="2"/>
          </rPr>
          <t>Subdirección de Cultura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K4" authorId="0" shapeId="0" xr:uid="{00000000-0006-0000-0600-000001000000}">
      <text>
        <r>
          <rPr>
            <b/>
            <sz val="9"/>
            <color indexed="81"/>
            <rFont val="Tahoma"/>
            <family val="2"/>
          </rPr>
          <t xml:space="preserve">Favor seleccionar el ODS al cual el objeto contractual impacta en mayor grado.
Nota: </t>
        </r>
        <r>
          <rPr>
            <sz val="9"/>
            <color indexed="81"/>
            <rFont val="Tahoma"/>
            <family val="2"/>
          </rPr>
          <t xml:space="preserve">este ODS deberá ser coherente con los ODS asociados a los indicadores de los planes relacionados en los capítulos 2.1-2.2-2.3-2.4
</t>
        </r>
      </text>
    </comment>
    <comment ref="H6" authorId="0" shapeId="0" xr:uid="{00000000-0006-0000-0600-000002000000}">
      <text>
        <r>
          <rPr>
            <b/>
            <sz val="9"/>
            <color indexed="81"/>
            <rFont val="Tahoma"/>
            <family val="2"/>
          </rPr>
          <t>Formato de fecha:</t>
        </r>
        <r>
          <rPr>
            <sz val="9"/>
            <color indexed="81"/>
            <rFont val="Tahoma"/>
            <family val="2"/>
          </rPr>
          <t xml:space="preserve"> aaaa-mm-dd
</t>
        </r>
      </text>
    </comment>
    <comment ref="L6" authorId="0" shapeId="0" xr:uid="{00000000-0006-0000-0600-000003000000}">
      <text>
        <r>
          <rPr>
            <b/>
            <sz val="9"/>
            <color indexed="81"/>
            <rFont val="Tahoma"/>
            <family val="2"/>
          </rPr>
          <t>Favor seleccionar el año de la lista desplegable</t>
        </r>
      </text>
    </comment>
    <comment ref="A34" authorId="0" shapeId="0" xr:uid="{00000000-0006-0000-0600-000004000000}">
      <text>
        <r>
          <rPr>
            <b/>
            <sz val="9"/>
            <color indexed="81"/>
            <rFont val="Tahoma"/>
            <family val="2"/>
          </rPr>
          <t>Pueblo indígena</t>
        </r>
        <r>
          <rPr>
            <sz val="9"/>
            <color indexed="81"/>
            <rFont val="Tahoma"/>
            <family val="2"/>
          </rPr>
          <t xml:space="preserve">
</t>
        </r>
      </text>
    </comment>
    <comment ref="K34" authorId="0" shapeId="0" xr:uid="{00000000-0006-0000-0600-000005000000}">
      <text>
        <r>
          <rPr>
            <b/>
            <sz val="9"/>
            <color indexed="81"/>
            <rFont val="Tahoma"/>
            <family val="2"/>
          </rPr>
          <t>Comunidad Afro</t>
        </r>
        <r>
          <rPr>
            <sz val="9"/>
            <color indexed="81"/>
            <rFont val="Tahoma"/>
            <family val="2"/>
          </rPr>
          <t xml:space="preserve">
</t>
        </r>
      </text>
    </comment>
    <comment ref="B54" authorId="0" shapeId="0" xr:uid="{00000000-0006-0000-0600-000006000000}">
      <text>
        <r>
          <rPr>
            <b/>
            <sz val="9"/>
            <color indexed="81"/>
            <rFont val="Tahoma"/>
            <family val="2"/>
          </rPr>
          <t xml:space="preserve">Elaborado empleando el concepto de lista desplegable dependiente.
</t>
        </r>
        <r>
          <rPr>
            <sz val="9"/>
            <color indexed="81"/>
            <rFont val="Tahoma"/>
            <family val="2"/>
          </rPr>
          <t xml:space="preserve">
</t>
        </r>
        <r>
          <rPr>
            <b/>
            <sz val="9"/>
            <color indexed="81"/>
            <rFont val="Tahoma"/>
            <family val="2"/>
          </rPr>
          <t xml:space="preserve">Como los nombres de las celdas tienen espacios se emplea además la fórmula sustituir.
Además incluye macro para que al momento de seleccionar el componente se borre la información existente en la celda:
</t>
        </r>
        <r>
          <rPr>
            <sz val="9"/>
            <color indexed="81"/>
            <rFont val="Tahoma"/>
            <family val="2"/>
          </rPr>
          <t>Private Sub Worksheet_Change (ByVal Target As Range)
If Target.Address = “$F$11” Then
Range (“G11”) = “”
End If
End Sub</t>
        </r>
        <r>
          <rPr>
            <b/>
            <sz val="9"/>
            <color indexed="81"/>
            <rFont val="Tahoma"/>
            <family val="2"/>
          </rPr>
          <t xml:space="preserve">
</t>
        </r>
      </text>
    </comment>
    <comment ref="B55" authorId="0" shapeId="0" xr:uid="{00000000-0006-0000-0600-000007000000}">
      <text>
        <r>
          <rPr>
            <b/>
            <sz val="9"/>
            <color indexed="81"/>
            <rFont val="Tahoma"/>
            <family val="2"/>
          </rPr>
          <t xml:space="preserve">Elaborado empleando el concepto de lista desplegable dependiente.
</t>
        </r>
        <r>
          <rPr>
            <sz val="9"/>
            <color indexed="81"/>
            <rFont val="Tahoma"/>
            <family val="2"/>
          </rPr>
          <t xml:space="preserve">
</t>
        </r>
        <r>
          <rPr>
            <b/>
            <sz val="9"/>
            <color indexed="81"/>
            <rFont val="Tahoma"/>
            <family val="2"/>
          </rPr>
          <t xml:space="preserve">Como los nombres de las celdas tienen espacios se emplea además la fórmula sustituir.
Además incluye macro para que al momento de seleccionar el componente se borre la información existente en la celda:
</t>
        </r>
        <r>
          <rPr>
            <sz val="9"/>
            <color indexed="81"/>
            <rFont val="Tahoma"/>
            <family val="2"/>
          </rPr>
          <t>Private Sub Worksheet_Change (ByVal Target As Range)
If Target.Address = “$F$11” Then
Range (“G11”) = “”
End If
End Sub</t>
        </r>
        <r>
          <rPr>
            <b/>
            <sz val="9"/>
            <color indexed="81"/>
            <rFont val="Tahoma"/>
            <family val="2"/>
          </rPr>
          <t xml:space="preserve">
</t>
        </r>
      </text>
    </comment>
    <comment ref="B56" authorId="0" shapeId="0" xr:uid="{00000000-0006-0000-0600-000008000000}">
      <text>
        <r>
          <rPr>
            <b/>
            <sz val="9"/>
            <color indexed="81"/>
            <rFont val="Tahoma"/>
            <family val="2"/>
          </rPr>
          <t xml:space="preserve">Elaborado empleando el concepto de lista desplegable dependiente.
</t>
        </r>
        <r>
          <rPr>
            <sz val="9"/>
            <color indexed="81"/>
            <rFont val="Tahoma"/>
            <family val="2"/>
          </rPr>
          <t xml:space="preserve">
</t>
        </r>
        <r>
          <rPr>
            <b/>
            <sz val="9"/>
            <color indexed="81"/>
            <rFont val="Tahoma"/>
            <family val="2"/>
          </rPr>
          <t xml:space="preserve">Como los nombres de las celdas tienen espacios se emplea además la fórmula sustituir.
Además incluye macro para que al momento de seleccionar el componente se borre la información existente en la celda:
</t>
        </r>
        <r>
          <rPr>
            <sz val="9"/>
            <color indexed="81"/>
            <rFont val="Tahoma"/>
            <family val="2"/>
          </rPr>
          <t>Private Sub Worksheet_Change (ByVal Target As Range)
If Target.Address = “$F$11” Then
Range (“G11”) = “”
End If
End Sub</t>
        </r>
        <r>
          <rPr>
            <b/>
            <sz val="9"/>
            <color indexed="81"/>
            <rFont val="Tahoma"/>
            <family val="2"/>
          </rPr>
          <t xml:space="preserve">
</t>
        </r>
      </text>
    </comment>
    <comment ref="B57" authorId="0" shapeId="0" xr:uid="{00000000-0006-0000-0600-000009000000}">
      <text>
        <r>
          <rPr>
            <b/>
            <sz val="9"/>
            <color indexed="81"/>
            <rFont val="Tahoma"/>
            <family val="2"/>
          </rPr>
          <t xml:space="preserve">Elaborado empleando el concepto de lista desplegable dependiente.
</t>
        </r>
        <r>
          <rPr>
            <sz val="9"/>
            <color indexed="81"/>
            <rFont val="Tahoma"/>
            <family val="2"/>
          </rPr>
          <t xml:space="preserve">
</t>
        </r>
        <r>
          <rPr>
            <b/>
            <sz val="9"/>
            <color indexed="81"/>
            <rFont val="Tahoma"/>
            <family val="2"/>
          </rPr>
          <t xml:space="preserve">Como los nombres de las celdas tienen espacios se emplea además la fórmula sustituir.
Además incluye macro para que al momento de seleccionar el componente se borre la información existente en la celda:
</t>
        </r>
        <r>
          <rPr>
            <sz val="9"/>
            <color indexed="81"/>
            <rFont val="Tahoma"/>
            <family val="2"/>
          </rPr>
          <t>Private Sub Worksheet_Change (ByVal Target As Range)
If Target.Address = “$F$11” Then
Range (“G11”) = “”
End If
End Sub</t>
        </r>
        <r>
          <rPr>
            <b/>
            <sz val="9"/>
            <color indexed="81"/>
            <rFont val="Tahoma"/>
            <family val="2"/>
          </rPr>
          <t xml:space="preserve">
</t>
        </r>
      </text>
    </comment>
    <comment ref="B58" authorId="0" shapeId="0" xr:uid="{00000000-0006-0000-0600-00000A000000}">
      <text>
        <r>
          <rPr>
            <b/>
            <sz val="9"/>
            <color indexed="81"/>
            <rFont val="Tahoma"/>
            <family val="2"/>
          </rPr>
          <t xml:space="preserve">Elaborado empleando el concepto de lista desplegable dependiente.
</t>
        </r>
        <r>
          <rPr>
            <sz val="9"/>
            <color indexed="81"/>
            <rFont val="Tahoma"/>
            <family val="2"/>
          </rPr>
          <t xml:space="preserve">
</t>
        </r>
        <r>
          <rPr>
            <b/>
            <sz val="9"/>
            <color indexed="81"/>
            <rFont val="Tahoma"/>
            <family val="2"/>
          </rPr>
          <t xml:space="preserve">Como los nombres de las celdas tienen espacios se emplea además la fórmula sustituir.
Además incluye macro para que al momento de seleccionar el componente se borre la información existente en la celda:
</t>
        </r>
        <r>
          <rPr>
            <sz val="9"/>
            <color indexed="81"/>
            <rFont val="Tahoma"/>
            <family val="2"/>
          </rPr>
          <t>Private Sub Worksheet_Change (ByVal Target As Range)
If Target.Address = “$F$11” Then
Range (“G11”) = “”
End If
End Sub</t>
        </r>
        <r>
          <rPr>
            <b/>
            <sz val="9"/>
            <color indexed="81"/>
            <rFont val="Tahoma"/>
            <family val="2"/>
          </rPr>
          <t xml:space="preserve">
</t>
        </r>
      </text>
    </comment>
    <comment ref="B59" authorId="0" shapeId="0" xr:uid="{00000000-0006-0000-0600-00000B000000}">
      <text>
        <r>
          <rPr>
            <b/>
            <sz val="9"/>
            <color indexed="81"/>
            <rFont val="Tahoma"/>
            <family val="2"/>
          </rPr>
          <t xml:space="preserve">Elaborado empleando el concepto de lista desplegable dependiente.
</t>
        </r>
        <r>
          <rPr>
            <sz val="9"/>
            <color indexed="81"/>
            <rFont val="Tahoma"/>
            <family val="2"/>
          </rPr>
          <t xml:space="preserve">
</t>
        </r>
        <r>
          <rPr>
            <b/>
            <sz val="9"/>
            <color indexed="81"/>
            <rFont val="Tahoma"/>
            <family val="2"/>
          </rPr>
          <t xml:space="preserve">Como los nombres de las celdas tienen espacios se emplea además la fórmula sustituir.
Además incluye macro para que al momento de seleccionar el componente se borre la información existente en la celda:
</t>
        </r>
        <r>
          <rPr>
            <sz val="9"/>
            <color indexed="81"/>
            <rFont val="Tahoma"/>
            <family val="2"/>
          </rPr>
          <t>Private Sub Worksheet_Change (ByVal Target As Range)
If Target.Address = “$F$11” Then
Range (“G11”) = “”
End If
End Sub</t>
        </r>
        <r>
          <rPr>
            <b/>
            <sz val="9"/>
            <color indexed="81"/>
            <rFont val="Tahoma"/>
            <family val="2"/>
          </rPr>
          <t xml:space="preserve">
</t>
        </r>
      </text>
    </comment>
    <comment ref="B60" authorId="0" shapeId="0" xr:uid="{00000000-0006-0000-0600-00000C000000}">
      <text>
        <r>
          <rPr>
            <b/>
            <sz val="9"/>
            <color indexed="81"/>
            <rFont val="Tahoma"/>
            <family val="2"/>
          </rPr>
          <t xml:space="preserve">Elaborado empleando el concepto de lista desplegable dependiente.
</t>
        </r>
        <r>
          <rPr>
            <sz val="9"/>
            <color indexed="81"/>
            <rFont val="Tahoma"/>
            <family val="2"/>
          </rPr>
          <t xml:space="preserve">
</t>
        </r>
        <r>
          <rPr>
            <b/>
            <sz val="9"/>
            <color indexed="81"/>
            <rFont val="Tahoma"/>
            <family val="2"/>
          </rPr>
          <t xml:space="preserve">Como los nombres de las celdas tienen espacios se emplea además la fórmula sustituir.
Además incluye macro para que al momento de seleccionar el componente se borre la información existente en la celda:
</t>
        </r>
        <r>
          <rPr>
            <sz val="9"/>
            <color indexed="81"/>
            <rFont val="Tahoma"/>
            <family val="2"/>
          </rPr>
          <t>Private Sub Worksheet_Change (ByVal Target As Range)
If Target.Address = “$F$11” Then
Range (“G11”) = “”
End If
End Sub</t>
        </r>
        <r>
          <rPr>
            <b/>
            <sz val="9"/>
            <color indexed="81"/>
            <rFont val="Tahoma"/>
            <family val="2"/>
          </rPr>
          <t xml:space="preserve">
</t>
        </r>
      </text>
    </comment>
    <comment ref="B61" authorId="0" shapeId="0" xr:uid="{00000000-0006-0000-0600-00000D000000}">
      <text>
        <r>
          <rPr>
            <b/>
            <sz val="9"/>
            <color indexed="81"/>
            <rFont val="Tahoma"/>
            <family val="2"/>
          </rPr>
          <t xml:space="preserve">Elaborado empleando el concepto de lista desplegable dependiente.
</t>
        </r>
        <r>
          <rPr>
            <sz val="9"/>
            <color indexed="81"/>
            <rFont val="Tahoma"/>
            <family val="2"/>
          </rPr>
          <t xml:space="preserve">
</t>
        </r>
        <r>
          <rPr>
            <b/>
            <sz val="9"/>
            <color indexed="81"/>
            <rFont val="Tahoma"/>
            <family val="2"/>
          </rPr>
          <t xml:space="preserve">Como los nombres de las celdas tienen espacios se emplea además la fórmula sustituir.
Además incluye macro para que al momento de seleccionar el componente se borre la información existente en la celda:
</t>
        </r>
        <r>
          <rPr>
            <sz val="9"/>
            <color indexed="81"/>
            <rFont val="Tahoma"/>
            <family val="2"/>
          </rPr>
          <t>Private Sub Worksheet_Change (ByVal Target As Range)
If Target.Address = “$F$11” Then
Range (“G11”) = “”
End If
End Sub</t>
        </r>
        <r>
          <rPr>
            <b/>
            <sz val="9"/>
            <color indexed="81"/>
            <rFont val="Tahoma"/>
            <family val="2"/>
          </rPr>
          <t xml:space="preserve">
</t>
        </r>
      </text>
    </comment>
    <comment ref="B62" authorId="0" shapeId="0" xr:uid="{00000000-0006-0000-0600-00000E000000}">
      <text>
        <r>
          <rPr>
            <b/>
            <sz val="9"/>
            <color indexed="81"/>
            <rFont val="Tahoma"/>
            <family val="2"/>
          </rPr>
          <t xml:space="preserve">Elaborado empleando el concepto de lista desplegable dependiente.
</t>
        </r>
        <r>
          <rPr>
            <sz val="9"/>
            <color indexed="81"/>
            <rFont val="Tahoma"/>
            <family val="2"/>
          </rPr>
          <t xml:space="preserve">
</t>
        </r>
        <r>
          <rPr>
            <b/>
            <sz val="9"/>
            <color indexed="81"/>
            <rFont val="Tahoma"/>
            <family val="2"/>
          </rPr>
          <t xml:space="preserve">Como los nombres de las celdas tienen espacios se emplea además la fórmula sustituir.
Además incluye macro para que al momento de seleccionar el componente se borre la información existente en la celda:
</t>
        </r>
        <r>
          <rPr>
            <sz val="9"/>
            <color indexed="81"/>
            <rFont val="Tahoma"/>
            <family val="2"/>
          </rPr>
          <t>Private Sub Worksheet_Change (ByVal Target As Range)
If Target.Address = “$F$11” Then
Range (“G11”) = “”
End If
End Sub</t>
        </r>
        <r>
          <rPr>
            <b/>
            <sz val="9"/>
            <color indexed="81"/>
            <rFont val="Tahoma"/>
            <family val="2"/>
          </rPr>
          <t xml:space="preserve">
</t>
        </r>
      </text>
    </comment>
    <comment ref="B63" authorId="0" shapeId="0" xr:uid="{00000000-0006-0000-0600-00000F000000}">
      <text>
        <r>
          <rPr>
            <b/>
            <sz val="9"/>
            <color indexed="81"/>
            <rFont val="Tahoma"/>
            <family val="2"/>
          </rPr>
          <t xml:space="preserve">Elaborado empleando el concepto de lista desplegable dependiente.
</t>
        </r>
        <r>
          <rPr>
            <sz val="9"/>
            <color indexed="81"/>
            <rFont val="Tahoma"/>
            <family val="2"/>
          </rPr>
          <t xml:space="preserve">
</t>
        </r>
        <r>
          <rPr>
            <b/>
            <sz val="9"/>
            <color indexed="81"/>
            <rFont val="Tahoma"/>
            <family val="2"/>
          </rPr>
          <t xml:space="preserve">Como los nombres de las celdas tienen espacios se emplea además la fórmula sustituir.
Además incluye macro para que al momento de seleccionar el componente se borre la información existente en la celda:
</t>
        </r>
        <r>
          <rPr>
            <sz val="9"/>
            <color indexed="81"/>
            <rFont val="Tahoma"/>
            <family val="2"/>
          </rPr>
          <t>Private Sub Worksheet_Change (ByVal Target As Range)
If Target.Address = “$F$11” Then
Range (“G11”) = “”
End If
End Sub</t>
        </r>
        <r>
          <rPr>
            <b/>
            <sz val="9"/>
            <color indexed="81"/>
            <rFont val="Tahoma"/>
            <family val="2"/>
          </rPr>
          <t xml:space="preserve">
</t>
        </r>
      </text>
    </comment>
    <comment ref="B64" authorId="0" shapeId="0" xr:uid="{00000000-0006-0000-0600-000010000000}">
      <text>
        <r>
          <rPr>
            <b/>
            <sz val="9"/>
            <color indexed="81"/>
            <rFont val="Tahoma"/>
            <family val="2"/>
          </rPr>
          <t xml:space="preserve">Elaborado empleando el concepto de lista desplegable dependiente.
</t>
        </r>
        <r>
          <rPr>
            <sz val="9"/>
            <color indexed="81"/>
            <rFont val="Tahoma"/>
            <family val="2"/>
          </rPr>
          <t xml:space="preserve">
</t>
        </r>
        <r>
          <rPr>
            <b/>
            <sz val="9"/>
            <color indexed="81"/>
            <rFont val="Tahoma"/>
            <family val="2"/>
          </rPr>
          <t xml:space="preserve">Como los nombres de las celdas tienen espacios se emplea además la fórmula sustituir.
Además incluye macro para que al momento de seleccionar el componente se borre la información existente en la celda:
</t>
        </r>
        <r>
          <rPr>
            <sz val="9"/>
            <color indexed="81"/>
            <rFont val="Tahoma"/>
            <family val="2"/>
          </rPr>
          <t>Private Sub Worksheet_Change (ByVal Target As Range)
If Target.Address = “$F$11” Then
Range (“G11”) = “”
End If
End Sub</t>
        </r>
        <r>
          <rPr>
            <b/>
            <sz val="9"/>
            <color indexed="81"/>
            <rFont val="Tahoma"/>
            <family val="2"/>
          </rPr>
          <t xml:space="preserve">
</t>
        </r>
      </text>
    </comment>
    <comment ref="B65" authorId="0" shapeId="0" xr:uid="{00000000-0006-0000-0600-000011000000}">
      <text>
        <r>
          <rPr>
            <b/>
            <sz val="9"/>
            <color indexed="81"/>
            <rFont val="Tahoma"/>
            <family val="2"/>
          </rPr>
          <t xml:space="preserve">Elaborado empleando el concepto de lista desplegable dependiente.
</t>
        </r>
        <r>
          <rPr>
            <sz val="9"/>
            <color indexed="81"/>
            <rFont val="Tahoma"/>
            <family val="2"/>
          </rPr>
          <t xml:space="preserve">
</t>
        </r>
        <r>
          <rPr>
            <b/>
            <sz val="9"/>
            <color indexed="81"/>
            <rFont val="Tahoma"/>
            <family val="2"/>
          </rPr>
          <t xml:space="preserve">Como los nombres de las celdas tienen espacios se emplea además la fórmula sustituir.
Además incluye macro para que al momento de seleccionar el componente se borre la información existente en la celda:
</t>
        </r>
        <r>
          <rPr>
            <sz val="9"/>
            <color indexed="81"/>
            <rFont val="Tahoma"/>
            <family val="2"/>
          </rPr>
          <t>Private Sub Worksheet_Change (ByVal Target As Range)
If Target.Address = “$F$11” Then
Range (“G11”) = “”
End If
End Sub</t>
        </r>
        <r>
          <rPr>
            <b/>
            <sz val="9"/>
            <color indexed="81"/>
            <rFont val="Tahoma"/>
            <family val="2"/>
          </rPr>
          <t xml:space="preserve">
</t>
        </r>
      </text>
    </comment>
    <comment ref="B66" authorId="0" shapeId="0" xr:uid="{00000000-0006-0000-0600-000012000000}">
      <text>
        <r>
          <rPr>
            <b/>
            <sz val="9"/>
            <color indexed="81"/>
            <rFont val="Tahoma"/>
            <family val="2"/>
          </rPr>
          <t xml:space="preserve">Elaborado empleando el concepto de lista desplegable dependiente.
</t>
        </r>
        <r>
          <rPr>
            <sz val="9"/>
            <color indexed="81"/>
            <rFont val="Tahoma"/>
            <family val="2"/>
          </rPr>
          <t xml:space="preserve">
</t>
        </r>
        <r>
          <rPr>
            <b/>
            <sz val="9"/>
            <color indexed="81"/>
            <rFont val="Tahoma"/>
            <family val="2"/>
          </rPr>
          <t xml:space="preserve">Como los nombres de las celdas tienen espacios se emplea además la fórmula sustituir.
Además incluye macro para que al momento de seleccionar el componente se borre la información existente en la celda:
</t>
        </r>
        <r>
          <rPr>
            <sz val="9"/>
            <color indexed="81"/>
            <rFont val="Tahoma"/>
            <family val="2"/>
          </rPr>
          <t>Private Sub Worksheet_Change (ByVal Target As Range)
If Target.Address = “$F$11” Then
Range (“G11”) = “”
End If
End Sub</t>
        </r>
        <r>
          <rPr>
            <b/>
            <sz val="9"/>
            <color indexed="81"/>
            <rFont val="Tahoma"/>
            <family val="2"/>
          </rPr>
          <t xml:space="preserve">
</t>
        </r>
      </text>
    </comment>
    <comment ref="B67" authorId="0" shapeId="0" xr:uid="{00000000-0006-0000-0600-000013000000}">
      <text>
        <r>
          <rPr>
            <b/>
            <sz val="9"/>
            <color indexed="81"/>
            <rFont val="Tahoma"/>
            <family val="2"/>
          </rPr>
          <t xml:space="preserve">Elaborado empleando el concepto de lista desplegable dependiente.
</t>
        </r>
        <r>
          <rPr>
            <sz val="9"/>
            <color indexed="81"/>
            <rFont val="Tahoma"/>
            <family val="2"/>
          </rPr>
          <t xml:space="preserve">
</t>
        </r>
        <r>
          <rPr>
            <b/>
            <sz val="9"/>
            <color indexed="81"/>
            <rFont val="Tahoma"/>
            <family val="2"/>
          </rPr>
          <t xml:space="preserve">Como los nombres de las celdas tienen espacios se emplea además la fórmula sustituir.
Además incluye macro para que al momento de seleccionar el componente se borre la información existente en la celda:
</t>
        </r>
        <r>
          <rPr>
            <sz val="9"/>
            <color indexed="81"/>
            <rFont val="Tahoma"/>
            <family val="2"/>
          </rPr>
          <t>Private Sub Worksheet_Change (ByVal Target As Range)
If Target.Address = “$F$11” Then
Range (“G11”) = “”
End If
End Sub</t>
        </r>
        <r>
          <rPr>
            <b/>
            <sz val="9"/>
            <color indexed="81"/>
            <rFont val="Tahoma"/>
            <family val="2"/>
          </rPr>
          <t xml:space="preserve">
</t>
        </r>
      </text>
    </comment>
    <comment ref="B68" authorId="0" shapeId="0" xr:uid="{00000000-0006-0000-0600-000014000000}">
      <text>
        <r>
          <rPr>
            <b/>
            <sz val="9"/>
            <color indexed="81"/>
            <rFont val="Tahoma"/>
            <family val="2"/>
          </rPr>
          <t xml:space="preserve">Elaborado empleando el concepto de lista desplegable dependiente.
</t>
        </r>
        <r>
          <rPr>
            <sz val="9"/>
            <color indexed="81"/>
            <rFont val="Tahoma"/>
            <family val="2"/>
          </rPr>
          <t xml:space="preserve">
</t>
        </r>
        <r>
          <rPr>
            <b/>
            <sz val="9"/>
            <color indexed="81"/>
            <rFont val="Tahoma"/>
            <family val="2"/>
          </rPr>
          <t xml:space="preserve">Como los nombres de las celdas tienen espacios se emplea además la fórmula sustituir.
Además incluye macro para que al momento de seleccionar el componente se borre la información existente en la celda:
</t>
        </r>
        <r>
          <rPr>
            <sz val="9"/>
            <color indexed="81"/>
            <rFont val="Tahoma"/>
            <family val="2"/>
          </rPr>
          <t>Private Sub Worksheet_Change (ByVal Target As Range)
If Target.Address = “$F$11” Then
Range (“G11”) = “”
End If
End Sub</t>
        </r>
        <r>
          <rPr>
            <b/>
            <sz val="9"/>
            <color indexed="81"/>
            <rFont val="Tahoma"/>
            <family val="2"/>
          </rPr>
          <t xml:space="preserve">
</t>
        </r>
      </text>
    </comment>
    <comment ref="C125" authorId="0" shapeId="0" xr:uid="{00000000-0006-0000-0600-000015000000}">
      <text>
        <r>
          <rPr>
            <b/>
            <sz val="9"/>
            <color indexed="81"/>
            <rFont val="Tahoma"/>
            <family val="2"/>
          </rPr>
          <t>Ej:
▪ Coordinador
▪ Asesor
▪ Profesional
▪ Técnico
▪ Auxiliar</t>
        </r>
      </text>
    </comment>
    <comment ref="E125" authorId="0" shapeId="0" xr:uid="{00000000-0006-0000-0600-000016000000}">
      <text>
        <r>
          <rPr>
            <b/>
            <sz val="9"/>
            <color indexed="81"/>
            <rFont val="Tahoma"/>
            <family val="2"/>
          </rPr>
          <t>Valor SMMLV con prestaciones 2020: $1.455.783</t>
        </r>
      </text>
    </comment>
    <comment ref="F125" authorId="0" shapeId="0" xr:uid="{00000000-0006-0000-0600-000017000000}">
      <text>
        <r>
          <rPr>
            <b/>
            <sz val="9"/>
            <color indexed="81"/>
            <rFont val="Tahoma"/>
            <family val="2"/>
          </rPr>
          <t>Para contratos inferiores a un mes divida los días contratados por 30</t>
        </r>
      </text>
    </comment>
    <comment ref="G125" authorId="0" shapeId="0" xr:uid="{00000000-0006-0000-0600-000018000000}">
      <text>
        <r>
          <rPr>
            <b/>
            <sz val="9"/>
            <color indexed="81"/>
            <rFont val="Tahoma"/>
            <family val="2"/>
          </rPr>
          <t>Valor jornal según SMMLV de 2020.</t>
        </r>
      </text>
    </comment>
    <comment ref="H125" authorId="0" shapeId="0" xr:uid="{00000000-0006-0000-0600-000019000000}">
      <text>
        <r>
          <rPr>
            <b/>
            <sz val="9"/>
            <color indexed="81"/>
            <rFont val="Tahoma"/>
            <family val="2"/>
          </rPr>
          <t>Razón entre los recursos percibidos por el contrato y el valor de un jornal</t>
        </r>
        <r>
          <rPr>
            <sz val="9"/>
            <color indexed="81"/>
            <rFont val="Tahoma"/>
            <family val="2"/>
          </rPr>
          <t xml:space="preserve">
</t>
        </r>
      </text>
    </comment>
    <comment ref="B156" authorId="0" shapeId="0" xr:uid="{00000000-0006-0000-0600-00001A000000}">
      <text>
        <r>
          <rPr>
            <b/>
            <sz val="9"/>
            <color indexed="81"/>
            <rFont val="Tahoma"/>
            <family val="2"/>
          </rPr>
          <t xml:space="preserve">Objetivo: </t>
        </r>
        <r>
          <rPr>
            <sz val="9"/>
            <color indexed="81"/>
            <rFont val="Tahoma"/>
            <family val="2"/>
          </rPr>
          <t>Implementar compras públicas socialmente responsables dirigidas a los grupos poblacionales objeto de esta política pública, en los procesos contractuales corporativos para el respeto, protección y garantía de los derechos humanos y la incorporación y manejo de criterios de sostenibilidad social en los procesos de compra pública de Corantioquia.</t>
        </r>
      </text>
    </comment>
    <comment ref="F156" authorId="0" shapeId="0" xr:uid="{00000000-0006-0000-0600-00001B000000}">
      <text>
        <r>
          <rPr>
            <b/>
            <sz val="9"/>
            <color indexed="81"/>
            <rFont val="Tahoma"/>
            <family val="2"/>
          </rPr>
          <t xml:space="preserve">Objetivo: </t>
        </r>
        <r>
          <rPr>
            <sz val="9"/>
            <color indexed="81"/>
            <rFont val="Tahoma"/>
            <family val="2"/>
          </rPr>
          <t>Fortalecer de manera gradual la capacidad de los actores para la gestión ambiental y la participación, con inclusión social y enfoque diferencial en el territorio de la jurisdicción de Corantioquia.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A1" authorId="0" shapeId="0" xr:uid="{00000000-0006-0000-0800-000001000000}">
      <text>
        <r>
          <rPr>
            <b/>
            <sz val="9"/>
            <color indexed="81"/>
            <rFont val="Tahoma"/>
            <family val="2"/>
          </rPr>
          <t>Pueblo índigena</t>
        </r>
        <r>
          <rPr>
            <sz val="9"/>
            <color indexed="81"/>
            <rFont val="Tahoma"/>
            <family val="2"/>
          </rPr>
          <t xml:space="preserve">
</t>
        </r>
      </text>
    </comment>
    <comment ref="K1" authorId="0" shapeId="0" xr:uid="{00000000-0006-0000-0800-000002000000}">
      <text>
        <r>
          <rPr>
            <b/>
            <sz val="9"/>
            <color indexed="81"/>
            <rFont val="Tahoma"/>
            <family val="2"/>
          </rPr>
          <t>Comunidad Afro</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tc={0E200000-86AC-4770-BD8E-6C6A53EA3FFC}</author>
    <author>tc={630B6AC9-8425-4868-A99D-0B85BB4B0778}</author>
    <author>tc={9B4DFCC7-4115-4BDC-A92E-21793CD71782}</author>
    <author>tc={C9B77E74-991B-4EAD-86EE-D75683583223}</author>
    <author>tc={C6AEB886-AE0A-4A52-95D2-A68195266602}</author>
    <author>tc={665F38CB-0B3A-4F2B-8CCA-AA5C28A1B666}</author>
    <author>tc={A132D7B2-2BEA-4C22-AFD5-44E944A3BDDD}</author>
    <author>tc={A132D7B2-2BEA-4C23-AFD5-44E944A3BDDD}</author>
  </authors>
  <commentList>
    <comment ref="B1" authorId="0" shapeId="0" xr:uid="{00000000-0006-0000-0B00-000001000000}">
      <text>
        <r>
          <rPr>
            <b/>
            <sz val="9"/>
            <color indexed="81"/>
            <rFont val="Tahoma"/>
            <family val="2"/>
          </rPr>
          <t>En el título del componente fue necesario incorporar un espacio al principio para que lo aceptara al seleccionar el rango que cubriría el mismo, dado que ya había sido empleado en otra hoja de este libro</t>
        </r>
      </text>
    </comment>
    <comment ref="E1" authorId="0" shapeId="0" xr:uid="{00000000-0006-0000-0B00-000002000000}">
      <text>
        <r>
          <rPr>
            <b/>
            <sz val="9"/>
            <color indexed="81"/>
            <rFont val="Tahoma"/>
            <family val="2"/>
          </rPr>
          <t>Se quitó la coma (,) para poder ingresar el nombre de la celda.</t>
        </r>
        <r>
          <rPr>
            <sz val="9"/>
            <color indexed="81"/>
            <rFont val="Tahoma"/>
            <family val="2"/>
          </rPr>
          <t xml:space="preserve">
</t>
        </r>
      </text>
    </comment>
    <comment ref="F1" authorId="0" shapeId="0" xr:uid="{00000000-0006-0000-0B00-000003000000}">
      <text>
        <r>
          <rPr>
            <b/>
            <sz val="9"/>
            <color indexed="81"/>
            <rFont val="Tahoma"/>
            <family val="2"/>
          </rPr>
          <t xml:space="preserve">Se quitó el guión (-) </t>
        </r>
        <r>
          <rPr>
            <sz val="9"/>
            <color indexed="81"/>
            <rFont val="Tahoma"/>
            <family val="2"/>
          </rPr>
          <t xml:space="preserve">
</t>
        </r>
        <r>
          <rPr>
            <b/>
            <sz val="9"/>
            <color indexed="81"/>
            <rFont val="Tahoma"/>
            <family val="2"/>
          </rPr>
          <t>para poder ingresar el nombre de la celda.</t>
        </r>
      </text>
    </comment>
    <comment ref="P1" authorId="0" shapeId="0" xr:uid="{00000000-0006-0000-0B00-000004000000}">
      <text>
        <r>
          <rPr>
            <b/>
            <sz val="9"/>
            <color indexed="81"/>
            <rFont val="Tahoma"/>
            <family val="2"/>
          </rPr>
          <t>Se quitó el símbolo (+) 
para poder ingresar el nombre de la celda.</t>
        </r>
      </text>
    </comment>
    <comment ref="Q1" authorId="0" shapeId="0" xr:uid="{00000000-0006-0000-0B00-000005000000}">
      <text>
        <r>
          <rPr>
            <b/>
            <sz val="9"/>
            <color indexed="81"/>
            <rFont val="Tahoma"/>
            <family val="2"/>
          </rPr>
          <t>Se quitó la coma (,) para poder ingresar el nombre de la celda.</t>
        </r>
      </text>
    </comment>
    <comment ref="B2" authorId="1" shapeId="0" xr:uid="{00000000-0006-0000-0B00-000006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Otras estrategias de conservación: Rondas hídricas, corredores y demás medidas de la Corporación (zona ribereña), entre otras.
</t>
      </text>
    </comment>
    <comment ref="D2" authorId="0" shapeId="0" xr:uid="{00000000-0006-0000-0B00-000007000000}">
      <text>
        <r>
          <rPr>
            <b/>
            <sz val="9"/>
            <color indexed="81"/>
            <rFont val="Tahoma"/>
            <family val="2"/>
          </rPr>
          <t>Se quitó la coma (,  contribuyendo a la resiliencia y a la reducción de la vulnerabilidad de los territorios étnicos) para poder ingresar el nombre de la celda.</t>
        </r>
      </text>
    </comment>
    <comment ref="K2" authorId="0" shapeId="0" xr:uid="{00000000-0006-0000-0B00-00000800000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O2" authorId="2" shapeId="0" xr:uid="{00000000-0006-0000-0B00-000009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Parques Nacionales, ANLA, Corporaciones vecinas</t>
      </text>
    </comment>
    <comment ref="P2" authorId="0" shapeId="0" xr:uid="{00000000-0006-0000-0B00-00000A000000}">
      <text>
        <r>
          <rPr>
            <b/>
            <sz val="9"/>
            <color indexed="81"/>
            <rFont val="Tahoma"/>
            <family val="2"/>
          </rPr>
          <t>Se quitó la coma (,) para poder ingresar el nombre de la celda.</t>
        </r>
      </text>
    </comment>
    <comment ref="Q2" authorId="0" shapeId="0" xr:uid="{00000000-0006-0000-0B00-00000B000000}">
      <text>
        <r>
          <rPr>
            <b/>
            <sz val="9"/>
            <color indexed="81"/>
            <rFont val="Tahoma"/>
            <family val="2"/>
          </rPr>
          <t>Se quitó la coma (,) para poder ingresar el nombre de la celda.</t>
        </r>
        <r>
          <rPr>
            <sz val="9"/>
            <color indexed="81"/>
            <rFont val="Tahoma"/>
            <family val="2"/>
          </rPr>
          <t xml:space="preserve">
</t>
        </r>
      </text>
    </comment>
    <comment ref="S2" authorId="0" shapeId="0" xr:uid="{00000000-0006-0000-0B00-00000C000000}">
      <text>
        <r>
          <rPr>
            <b/>
            <sz val="9"/>
            <color indexed="81"/>
            <rFont val="Tahoma"/>
            <family val="2"/>
          </rPr>
          <t>Se quitó la coma (,) para poder ingresar el nombre de la celda.
Además se quitaron el punto final y los paréntesis</t>
        </r>
      </text>
    </comment>
    <comment ref="B3" authorId="0" shapeId="0" xr:uid="{00000000-0006-0000-0B00-00000D000000}">
      <text>
        <r>
          <rPr>
            <b/>
            <sz val="9"/>
            <color indexed="81"/>
            <rFont val="Tahoma"/>
            <family val="2"/>
          </rPr>
          <t>Se quitó la coma (,) para poder ingresar el nombre de la celda.</t>
        </r>
      </text>
    </comment>
    <comment ref="D3" authorId="0" shapeId="0" xr:uid="{00000000-0006-0000-0B00-00000E000000}">
      <text>
        <r>
          <rPr>
            <b/>
            <sz val="9"/>
            <color indexed="81"/>
            <rFont val="Tahoma"/>
            <family val="2"/>
          </rPr>
          <t>Se quitó la coma (,) para poder ingresar el nombre de la celda.</t>
        </r>
        <r>
          <rPr>
            <sz val="9"/>
            <color indexed="81"/>
            <rFont val="Tahoma"/>
            <family val="2"/>
          </rPr>
          <t xml:space="preserve">
</t>
        </r>
      </text>
    </comment>
    <comment ref="E3" authorId="3" shapeId="0" xr:uid="{00000000-0006-0000-0B00-00000F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Tener en consideración la áreas suburbuna en términos de desarrollo de actividad agropecuaria.
Revisar Resolución de agricultura familiar de la UPRA
Mapa de la UPRA
(Llevar a Línea 3, relacioado a vulnerabilidad)</t>
      </text>
    </comment>
    <comment ref="H3" authorId="0" shapeId="0" xr:uid="{00000000-0006-0000-0B00-000010000000}">
      <text>
        <r>
          <rPr>
            <b/>
            <sz val="9"/>
            <color indexed="81"/>
            <rFont val="Tahoma"/>
            <family val="2"/>
          </rPr>
          <t>Se quitó el paréntesis (Intensidad energética) para poder ingresar el nombre de la celda.</t>
        </r>
      </text>
    </comment>
    <comment ref="J3" authorId="4" shapeId="0" xr:uid="{00000000-0006-0000-0B00-00001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Ajustar reto</t>
      </text>
    </comment>
    <comment ref="R3" authorId="0" shapeId="0" xr:uid="{00000000-0006-0000-0B00-000012000000}">
      <text>
        <r>
          <rPr>
            <b/>
            <sz val="9"/>
            <color indexed="81"/>
            <rFont val="Tahoma"/>
            <family val="2"/>
          </rPr>
          <t>Se quitó la coma (,) para poder ingresar el nombre de la celda.</t>
        </r>
      </text>
    </comment>
    <comment ref="C4" authorId="5" shapeId="0" xr:uid="{00000000-0006-0000-0B00-000013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2019-10-09: El nombre del reto "Armonizar los Planes Integrales de Gestión del Cambio Climático Sectoriales (PIGCCS) con la planeación ambiental" se actualizó.
</t>
      </text>
    </comment>
    <comment ref="E4" authorId="6" shapeId="0" xr:uid="{00000000-0006-0000-0B00-00001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2019-10-10: Este reto inicialmente estaba asociado al Componente 6. La ciudadanía y sus prácticas cotidianas; pero dada su temática se movió para el reto 4.
</t>
      </text>
    </comment>
    <comment ref="P4" authorId="0" shapeId="0" xr:uid="{00000000-0006-0000-0B00-000015000000}">
      <text>
        <r>
          <rPr>
            <b/>
            <sz val="9"/>
            <color indexed="81"/>
            <rFont val="Tahoma"/>
            <family val="2"/>
          </rPr>
          <t>Se quitó la coma (,) para poder ingresar el nombre de la celda.</t>
        </r>
        <r>
          <rPr>
            <sz val="9"/>
            <color indexed="81"/>
            <rFont val="Tahoma"/>
            <family val="2"/>
          </rPr>
          <t xml:space="preserve">
</t>
        </r>
      </text>
    </comment>
    <comment ref="S4" authorId="0" shapeId="0" xr:uid="{00000000-0006-0000-0B00-000016000000}">
      <text>
        <r>
          <rPr>
            <b/>
            <sz val="9"/>
            <color indexed="81"/>
            <rFont val="Tahoma"/>
            <family val="2"/>
          </rPr>
          <t>Se quitó la coma (,) para poder ingresar el nombre de la celda.</t>
        </r>
      </text>
    </comment>
    <comment ref="A5" authorId="0" shapeId="0" xr:uid="{00000000-0006-0000-0B00-000017000000}">
      <text>
        <r>
          <rPr>
            <b/>
            <sz val="9"/>
            <color indexed="81"/>
            <rFont val="Tahoma"/>
            <family val="2"/>
          </rPr>
          <t>Se quitó la coma (,) para poder ingresar el nombre de la celda.</t>
        </r>
      </text>
    </comment>
    <comment ref="O5" authorId="0" shapeId="0" xr:uid="{00000000-0006-0000-0B00-000018000000}">
      <text>
        <r>
          <rPr>
            <b/>
            <sz val="9"/>
            <color indexed="81"/>
            <rFont val="Tahoma"/>
            <family val="2"/>
          </rPr>
          <t>Se quitó la coma (,) para poder ingresar el nombre de la celda.</t>
        </r>
      </text>
    </comment>
    <comment ref="Q5" authorId="0" shapeId="0" xr:uid="{00000000-0006-0000-0B00-000019000000}">
      <text>
        <r>
          <rPr>
            <b/>
            <sz val="9"/>
            <color indexed="81"/>
            <rFont val="Tahoma"/>
            <family val="2"/>
          </rPr>
          <t>Se quitó la coma (,) para poder ingresar el nombre de la celda.</t>
        </r>
      </text>
    </comment>
    <comment ref="S5" authorId="0" shapeId="0" xr:uid="{00000000-0006-0000-0B00-00001A000000}">
      <text>
        <r>
          <rPr>
            <b/>
            <sz val="9"/>
            <color indexed="81"/>
            <rFont val="Tahoma"/>
            <family val="2"/>
          </rPr>
          <t>Se quitó la coma (,) para poder ingresar el nombre de la celda.
Además se quitaron los dos y los paréntesis  (Marcos legales de los pueblos étnicos)</t>
        </r>
      </text>
    </comment>
    <comment ref="B6" authorId="7" shapeId="0" xr:uid="{00000000-0006-0000-0B00-00001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Anteriormente estaba en la línea 3, componente 10
</t>
      </text>
    </comment>
    <comment ref="S6" authorId="0" shapeId="0" xr:uid="{00000000-0006-0000-0B00-00001C000000}">
      <text>
        <r>
          <rPr>
            <b/>
            <sz val="9"/>
            <color indexed="81"/>
            <rFont val="Tahoma"/>
            <family val="2"/>
          </rPr>
          <t>Se quitó la coma (,) para poder ingresar el nombre de la celda.</t>
        </r>
      </text>
    </comment>
    <comment ref="B7" authorId="0" shapeId="0" xr:uid="{00000000-0006-0000-0B00-00001D000000}">
      <text>
        <r>
          <rPr>
            <b/>
            <sz val="9"/>
            <color indexed="81"/>
            <rFont val="Tahoma"/>
            <family val="2"/>
          </rPr>
          <t>Se quitó la coma (,) para poder ingresar el nombre de la celda.</t>
        </r>
      </text>
    </comment>
    <comment ref="S7" authorId="0" shapeId="0" xr:uid="{00000000-0006-0000-0B00-00001E000000}">
      <text>
        <r>
          <rPr>
            <b/>
            <sz val="9"/>
            <color indexed="81"/>
            <rFont val="Tahoma"/>
            <family val="2"/>
          </rPr>
          <t>Se quitó la coma (,) para poder ingresar el nombre de la celda.</t>
        </r>
      </text>
    </comment>
    <comment ref="A16" authorId="0" shapeId="0" xr:uid="{00000000-0006-0000-0B00-00001F000000}">
      <text>
        <r>
          <rPr>
            <b/>
            <sz val="9"/>
            <color indexed="81"/>
            <rFont val="Tahoma"/>
            <family val="2"/>
          </rPr>
          <t>Se quitó el símbolo (+) 
para poder ingresar el nombre de la celda.</t>
        </r>
      </text>
    </comment>
    <comment ref="A17" authorId="0" shapeId="0" xr:uid="{00000000-0006-0000-0B00-000020000000}">
      <text>
        <r>
          <rPr>
            <b/>
            <sz val="9"/>
            <color indexed="81"/>
            <rFont val="Tahoma"/>
            <family val="2"/>
          </rPr>
          <t>Se quitó la coma (,) para poder ingresar el nombre de la celda.</t>
        </r>
      </text>
    </comment>
    <comment ref="B21" authorId="8" shapeId="0" xr:uid="{00000000-0006-0000-0B00-00002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Anteriormente estaba en la línea 3, componente 10
</t>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tc={0E200000-86AC-4771-BD8E-6C6A53EA3FFC}</author>
    <author>Marlo Giovanny Florez Mejia</author>
    <author>tc={A132D7B2-2BEA-4C24-AFD5-44E944A3BDDD}</author>
    <author>tc={C6AEB886-AE0A-4A53-95D2-A68195266602}</author>
    <author>tc={9B4DFCC7-4115-4BDD-A92E-21793CD71782}</author>
    <author>tc={665F38CB-0B3A-4F2C-8CCA-AA5C28A1B666}</author>
    <author>tc={C9B77E74-991B-4EAE-86EE-D75683583223}</author>
    <author>tc={630B6AC9-8425-4869-A99D-0B85BB4B0778}</author>
    <author>tc={0E200000-86AC-4772-BD8E-6C6A53EA3FFC}</author>
    <author>tc={CAFD7BA8-0A72-4506-8B03-2BB31EC107DF}</author>
    <author>tc={8A30D20C-6D0C-4CE0-B93A-B10E0A348027}</author>
    <author>tc={2E50CF65-4E3F-45D0-832B-961DDB1FDAB2}</author>
    <author>tc={F9EF2110-2768-47CD-B120-FF8990AED8D5}</author>
    <author>tc={BAA67C36-AF51-4BEE-B7D4-04FA55579072}</author>
    <author>tc={146767DE-5B9A-4E7B-A6AF-4661BD22412F}</author>
    <author>tc={49BB7BC9-58D8-4DBD-9948-2DE99A07160C}</author>
    <author>tc={E19009C2-F35D-4820-8AA0-68A2065C7CD3}</author>
    <author>tc={D199D387-CD44-4B32-8C7E-5DE3BC757B6F}</author>
    <author>tc={102A14A9-FEFD-40E3-8773-02CAB95EE68A}</author>
    <author>tc={57CDB868-90CA-44EF-B680-94CC220D479B}</author>
    <author>tc={8F02EF76-68EE-4C2E-83D2-51634629DC97}</author>
    <author>tc={E1E61065-F27A-4A92-BD56-18E672D2F399}</author>
    <author>tc={D1649DDB-7CAB-49C0-ADC1-87908A89B041}</author>
    <author>tc={00036046-D2B4-4965-AF57-FAF0F33A836B}</author>
    <author>tc={A05BB445-3B20-42A9-820E-7C71E22FE878}</author>
    <author>tc={ABD339E2-3865-4605-817B-55DC13FE314E}</author>
    <author>tc={8A30D20C-6D0C-4CE1-B93A-B10E0A348027}</author>
    <author>tc={4E6BD9BB-C596-42AB-94E7-C3CE41043743}</author>
    <author>tc={00F9E878-9A1A-45A5-8F36-B22F718D4F4F}</author>
    <author>tc={5F3A65A2-737A-44E1-B7BB-817CB73D29C8}</author>
    <author>tc={796286AA-64AB-4BA5-9223-AC2E2A5A8FB9}</author>
    <author>tc={6D6740A5-9E3A-424B-9B55-1CA95F36D806}</author>
    <author>tc={4B60E54B-B2BD-4A1A-96BF-D2E577231009}</author>
    <author>tc={737F5CA4-0C2C-4714-A46F-CE97990BCD36}</author>
    <author>tc={B6E84E01-DDEB-4D01-A215-C09A420C32E4}</author>
    <author>tc={B0C5EA81-B3A4-4BC4-BD1E-B63745DF4011}</author>
    <author>tc={45793A2F-9BA2-4FF7-95B6-D924B3F14F54}</author>
    <author>tc={A7B58CFF-D4E1-4C8E-A98C-58AEACFC4872}</author>
    <author>tc={D410E9E3-B503-496F-8E0A-F87D0D3780AC}</author>
    <author>tc={73DFF8E1-2106-4594-AA61-3D1C4D40CA3F}</author>
    <author>tc={BF65B3BB-A80C-4DDF-8877-5657F0B9C177}</author>
    <author>tc={31C23CBE-D979-4809-AE0A-310E91BB39AD}</author>
    <author>tc={A132D7B2-2BEA-4C25-AFD5-44E944A3BDDD}</author>
    <author>tc={BF65B3BB-A80C-4DE0-8877-5657F0B9C177}</author>
    <author>tc={BF65B3BB-A80C-4DE1-8877-5657F0B9C177}</author>
    <author>tc={1DB15362-4F3F-4232-97FD-EACE46420FE7}</author>
    <author>tc={45793A2F-9BA2-4FF5-95B6-D924B3F14F54}</author>
    <author>tc={C6AEB886-AE0A-4A54-95D2-A68195266602}</author>
    <author>tc={2304743B-96E2-4297-92B0-EE289D671565}</author>
    <author>tc={E3E5C3A3-84E0-4E4E-BF4A-F086CC23D6CB}</author>
    <author>tc={2304743B-96E2-4298-92B0-EE289D671565}</author>
    <author>tc={9B4DFCC7-4115-4BDE-A92E-21793CD71782}</author>
    <author>tc={665F38CB-0B3A-4F2D-8CCA-AA5C28A1B666}</author>
    <author>tc={C9B77E74-991B-4EAF-86EE-D75683583223}</author>
    <author>tc={630B6AC9-8425-486A-A99D-0B85BB4B0778}</author>
  </authors>
  <commentList>
    <comment ref="B1" authorId="0" shapeId="0" xr:uid="{00000000-0006-0000-0C00-00000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Otras estrategias de conservación: Rondas hídricas, corredores y demás medidas de la Corporación (zona ribereña), entre otras.
</t>
      </text>
    </comment>
    <comment ref="C1" authorId="1" shapeId="0" xr:uid="{00000000-0006-0000-0C00-000002000000}">
      <text>
        <r>
          <rPr>
            <b/>
            <sz val="9"/>
            <color indexed="81"/>
            <rFont val="Tahoma"/>
            <family val="2"/>
          </rPr>
          <t>Se quitó la coma (,) para poder ingresar el nombre de la celda.</t>
        </r>
      </text>
    </comment>
    <comment ref="F1" authorId="2" shapeId="0" xr:uid="{00000000-0006-0000-0C00-000003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Anteriormente estaba en la línea 3, componente 10
</t>
      </text>
    </comment>
    <comment ref="G1" authorId="1" shapeId="0" xr:uid="{00000000-0006-0000-0C00-000004000000}">
      <text>
        <r>
          <rPr>
            <b/>
            <sz val="9"/>
            <color indexed="81"/>
            <rFont val="Tahoma"/>
            <family val="2"/>
          </rPr>
          <t>Se quitó la coma (,) y el / para poder ingresar el nombre de la celda.</t>
        </r>
      </text>
    </comment>
    <comment ref="J1" authorId="3" shapeId="0" xr:uid="{00000000-0006-0000-0C00-000005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2019-10-09: El nombre del reto "Armonizar los Planes Integrales de Gestión del Cambio Climático Sectoriales (PIGCCS) con la planeación ambiental" se actualizó.
</t>
      </text>
    </comment>
    <comment ref="K1" authorId="1" shapeId="0" xr:uid="{00000000-0006-0000-0C00-000006000000}">
      <text>
        <r>
          <rPr>
            <b/>
            <sz val="9"/>
            <color indexed="81"/>
            <rFont val="Tahoma"/>
            <family val="2"/>
          </rPr>
          <t>Se quitó la coma (,  contribuyendo a la resiliencia y a la reducción de la vulnerabilidad de los territorios étnicos) para poder ingresar el nombre de la celda.</t>
        </r>
      </text>
    </comment>
    <comment ref="L1" authorId="1" shapeId="0" xr:uid="{00000000-0006-0000-0C00-000007000000}">
      <text>
        <r>
          <rPr>
            <b/>
            <sz val="9"/>
            <color indexed="81"/>
            <rFont val="Tahoma"/>
            <family val="2"/>
          </rPr>
          <t>Se quitó la coma (,) para poder ingresar el nombre de la celda.</t>
        </r>
        <r>
          <rPr>
            <sz val="9"/>
            <color indexed="81"/>
            <rFont val="Tahoma"/>
            <family val="2"/>
          </rPr>
          <t xml:space="preserve">
</t>
        </r>
      </text>
    </comment>
    <comment ref="N1" authorId="4" shapeId="0" xr:uid="{00000000-0006-0000-0C00-000008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Tener en consideración la áreas suburbuna en términos de desarrollo de actividad agropecuaria.
Revisar Resolución de agricultura familiar de la UPRA
Mapa de la UPRA
(Llevar a Línea 3, relacioado a vulnerabilidad)</t>
      </text>
    </comment>
    <comment ref="O1" authorId="5" shapeId="0" xr:uid="{00000000-0006-0000-0C00-000009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2019-10-10: Este reto inicialmente estaba asociado al Componente 6. La ciudadanía y sus prácticas cotidianas; pero dada su temática se movió para el reto 4.
</t>
      </text>
    </comment>
    <comment ref="S1" authorId="1" shapeId="0" xr:uid="{00000000-0006-0000-0C00-00000A000000}">
      <text>
        <r>
          <rPr>
            <b/>
            <sz val="9"/>
            <color indexed="81"/>
            <rFont val="Tahoma"/>
            <family val="2"/>
          </rPr>
          <t>Se quitó el paréntesis (Intensidad energética) para poder ingresar el nombre de la celda.</t>
        </r>
      </text>
    </comment>
    <comment ref="W1" authorId="6" shapeId="0" xr:uid="{00000000-0006-0000-0C00-00000B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Ajustar reto</t>
      </text>
    </comment>
    <comment ref="X1" authorId="1" shapeId="0" xr:uid="{00000000-0006-0000-0C00-00000C00000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AF1" authorId="7" shapeId="0" xr:uid="{00000000-0006-0000-0C00-00000D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Parques Nacionales, ANLA, Corporaciones vecinas</t>
      </text>
    </comment>
    <comment ref="AI1" authorId="1" shapeId="0" xr:uid="{00000000-0006-0000-0C00-00000E000000}">
      <text>
        <r>
          <rPr>
            <b/>
            <sz val="9"/>
            <color indexed="81"/>
            <rFont val="Tahoma"/>
            <family val="2"/>
          </rPr>
          <t>Se quitó la coma (,) para poder ingresar el nombre de la celda.</t>
        </r>
      </text>
    </comment>
    <comment ref="AJ1" authorId="1" shapeId="0" xr:uid="{00000000-0006-0000-0C00-00000F000000}">
      <text>
        <r>
          <rPr>
            <b/>
            <sz val="9"/>
            <color indexed="81"/>
            <rFont val="Tahoma"/>
            <family val="2"/>
          </rPr>
          <t>Se quitó la coma (,) para poder ingresar el nombre de la celda.</t>
        </r>
      </text>
    </comment>
    <comment ref="AK1" authorId="1" shapeId="0" xr:uid="{00000000-0006-0000-0C00-000010000000}">
      <text>
        <r>
          <rPr>
            <b/>
            <sz val="9"/>
            <color indexed="81"/>
            <rFont val="Tahoma"/>
            <family val="2"/>
          </rPr>
          <t>Se quitó el / para poder ingresar el nombre de la celda.</t>
        </r>
        <r>
          <rPr>
            <sz val="9"/>
            <color indexed="81"/>
            <rFont val="Tahoma"/>
            <family val="2"/>
          </rPr>
          <t xml:space="preserve">
</t>
        </r>
      </text>
    </comment>
    <comment ref="AL1" authorId="1" shapeId="0" xr:uid="{00000000-0006-0000-0C00-000011000000}">
      <text>
        <r>
          <rPr>
            <b/>
            <sz val="9"/>
            <color indexed="81"/>
            <rFont val="Tahoma"/>
            <family val="2"/>
          </rPr>
          <t>Se quitó la coma (,) para poder ingresar el nombre de la celda.</t>
        </r>
        <r>
          <rPr>
            <sz val="9"/>
            <color indexed="81"/>
            <rFont val="Tahoma"/>
            <family val="2"/>
          </rPr>
          <t xml:space="preserve">
</t>
        </r>
      </text>
    </comment>
    <comment ref="AM1" authorId="1" shapeId="0" xr:uid="{00000000-0006-0000-0C00-000012000000}">
      <text>
        <r>
          <rPr>
            <b/>
            <sz val="9"/>
            <color indexed="81"/>
            <rFont val="Tahoma"/>
            <family val="2"/>
          </rPr>
          <t>Se quitó la coma (,) para poder ingresar el nombre de la celda.</t>
        </r>
        <r>
          <rPr>
            <sz val="9"/>
            <color indexed="81"/>
            <rFont val="Tahoma"/>
            <family val="2"/>
          </rPr>
          <t xml:space="preserve">
</t>
        </r>
      </text>
    </comment>
    <comment ref="AP1" authorId="1" shapeId="0" xr:uid="{00000000-0006-0000-0C00-000013000000}">
      <text>
        <r>
          <rPr>
            <b/>
            <sz val="9"/>
            <color indexed="81"/>
            <rFont val="Tahoma"/>
            <family val="2"/>
          </rPr>
          <t>Se quitó la coma (,) para poder ingresar el nombre de la celda.</t>
        </r>
      </text>
    </comment>
    <comment ref="AR1" authorId="1" shapeId="0" xr:uid="{00000000-0006-0000-0C00-000014000000}">
      <text>
        <r>
          <rPr>
            <b/>
            <sz val="9"/>
            <color indexed="81"/>
            <rFont val="Tahoma"/>
            <family val="2"/>
          </rPr>
          <t>Se quitó la coma (,) para poder ingresar el nombre de la celda.</t>
        </r>
      </text>
    </comment>
    <comment ref="AS1" authorId="1" shapeId="0" xr:uid="{00000000-0006-0000-0C00-000015000000}">
      <text>
        <r>
          <rPr>
            <b/>
            <sz val="9"/>
            <color indexed="81"/>
            <rFont val="Tahoma"/>
            <family val="2"/>
          </rPr>
          <t>Se quitó la coma (,) para poder ingresar el nombre de la celda.
Además se quitaron el punto final y los paréntesis</t>
        </r>
      </text>
    </comment>
    <comment ref="AU1" authorId="1" shapeId="0" xr:uid="{00000000-0006-0000-0C00-000016000000}">
      <text>
        <r>
          <rPr>
            <b/>
            <sz val="9"/>
            <color indexed="81"/>
            <rFont val="Tahoma"/>
            <family val="2"/>
          </rPr>
          <t>Se quitó la coma (,) para poder ingresar el nombre de la celda.</t>
        </r>
      </text>
    </comment>
    <comment ref="AV1" authorId="1" shapeId="0" xr:uid="{00000000-0006-0000-0C00-000017000000}">
      <text>
        <r>
          <rPr>
            <b/>
            <sz val="9"/>
            <color indexed="81"/>
            <rFont val="Tahoma"/>
            <family val="2"/>
          </rPr>
          <t>Se quitó la coma (,) para poder ingresar el nombre de la celda.
Además se quitaron los dos y los paréntesis  (Marcos legales de los pueblos étnicos)</t>
        </r>
      </text>
    </comment>
    <comment ref="AW1" authorId="1" shapeId="0" xr:uid="{00000000-0006-0000-0C00-000018000000}">
      <text>
        <r>
          <rPr>
            <b/>
            <sz val="9"/>
            <color indexed="81"/>
            <rFont val="Tahoma"/>
            <family val="2"/>
          </rPr>
          <t>Se quitó la coma (,) para poder ingresar el nombre de la celda.</t>
        </r>
      </text>
    </comment>
    <comment ref="AX1" authorId="1" shapeId="0" xr:uid="{00000000-0006-0000-0C00-000019000000}">
      <text>
        <r>
          <rPr>
            <b/>
            <sz val="9"/>
            <color indexed="81"/>
            <rFont val="Tahoma"/>
            <family val="2"/>
          </rPr>
          <t>Se quitó la coma (,) para poder ingresar el nombre de la celda.</t>
        </r>
      </text>
    </comment>
    <comment ref="A2" authorId="8" shapeId="0" xr:uid="{00000000-0006-0000-0C00-00001A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Otras estrategias de conservación: Rondas hídricas, corredores y demás medidas de la Corporación (zona ribereña), entre otras.
</t>
      </text>
    </comment>
    <comment ref="C2" authorId="9" shapeId="0" xr:uid="{00000000-0006-0000-0C00-00001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Este indicador contempla cantidad de agua por ser una relación entre oferta y demanda
Fórmula: Cantidad de niveles subsiguientes o subzonas hidrográficas con IUA muy alto/ Total de niveles subsiguientes o subzonas hidrográficas en la jurisdicción de Corantiquia </t>
      </text>
    </comment>
    <comment ref="F2" authorId="10" shapeId="0" xr:uid="{00000000-0006-0000-0C00-00001C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Evaluar otro indicador: 
Espacios habilitados para el aprovechamiento de los espacios naturales (públicos y privados)
(Hectáreas o número de predios?)</t>
      </text>
    </comment>
    <comment ref="G2" authorId="1" shapeId="0" xr:uid="{00000000-0006-0000-0C00-00001D000000}">
      <text>
        <r>
          <rPr>
            <sz val="9"/>
            <color indexed="81"/>
            <rFont val="Tahoma"/>
            <family val="2"/>
          </rPr>
          <t xml:space="preserve">• Este indicador también hace parte del Plan de acción de biodiversidad. 
• En la Resolución 667 de 2016: se denomina Áreas de ecosistemas en restauración, rehabilitación y reforestación (ha).
</t>
        </r>
      </text>
    </comment>
    <comment ref="H2" authorId="11" shapeId="0" xr:uid="{00000000-0006-0000-0C00-00001E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Uno de los criterios de la priorización son los municipios con POT 2000 y 2002.
+ aquellos que en su concertación no hayan considerado el decreto 1807, es decir, antes de 2015</t>
      </text>
    </comment>
    <comment ref="I2" authorId="12" shapeId="0" xr:uid="{00000000-0006-0000-0C00-00001F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Centrarse o plantear referntes: líneas de orientación en los aspectos que son comunes</t>
      </text>
    </comment>
    <comment ref="J2" authorId="13" shapeId="0" xr:uid="{00000000-0006-0000-0C00-000020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el plan de acción, se debe desarrollar una guía pedagógica que oriente sobre este tema</t>
      </text>
    </comment>
    <comment ref="K2" authorId="1" shapeId="0" xr:uid="{00000000-0006-0000-0C00-000021000000}">
      <text>
        <r>
          <rPr>
            <b/>
            <sz val="9"/>
            <color indexed="81"/>
            <rFont val="Tahoma"/>
            <family val="2"/>
          </rPr>
          <t xml:space="preserve">Fórmula:
</t>
        </r>
        <r>
          <rPr>
            <sz val="9"/>
            <color indexed="81"/>
            <rFont val="Tahoma"/>
            <family val="2"/>
          </rPr>
          <t>Hectáreas ecosistemas protegidas desde el gobierno propio en territorio titulado y ancestrales / hectáreas  identificadas de ecosistemas a proteger en territorios étnicos</t>
        </r>
        <r>
          <rPr>
            <b/>
            <sz val="9"/>
            <color indexed="81"/>
            <rFont val="Tahoma"/>
            <family val="2"/>
          </rPr>
          <t xml:space="preserve">
Nota: 
</t>
        </r>
        <r>
          <rPr>
            <sz val="9"/>
            <color indexed="81"/>
            <rFont val="Tahoma"/>
            <family val="2"/>
          </rPr>
          <t xml:space="preserve">▪ En este indicador se declarará el 40% de las ha que se identifiquen como susceptibles de proteger. 
</t>
        </r>
      </text>
    </comment>
    <comment ref="L2" authorId="1" shapeId="0" xr:uid="{00000000-0006-0000-0C00-000022000000}">
      <text>
        <r>
          <rPr>
            <b/>
            <sz val="9"/>
            <color indexed="81"/>
            <rFont val="Tahoma"/>
            <family val="2"/>
          </rPr>
          <t xml:space="preserve">Fórmula:
</t>
        </r>
        <r>
          <rPr>
            <sz val="9"/>
            <color indexed="81"/>
            <rFont val="Tahoma"/>
            <family val="2"/>
          </rPr>
          <t>Hectáreas ecosistemas protegidas desde el gobierno propio en territorio titulado y ancestrales con acciones de manejo / hectáreas  de ecosistemas protegidos desde el gobierno propio en territorio titulado y ancestrales</t>
        </r>
        <r>
          <rPr>
            <b/>
            <sz val="9"/>
            <color indexed="81"/>
            <rFont val="Tahoma"/>
            <family val="2"/>
          </rPr>
          <t xml:space="preserve">
Nota: 
</t>
        </r>
        <r>
          <rPr>
            <sz val="9"/>
            <color indexed="81"/>
            <rFont val="Tahoma"/>
            <family val="2"/>
          </rPr>
          <t>▪ en este indicador se realizaran acciones de manejo en el 40% de las ha declaradas en el indicador R10.1.</t>
        </r>
      </text>
    </comment>
    <comment ref="M2" authorId="14" shapeId="0" xr:uid="{00000000-0006-0000-0C00-000023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Antes: Área de frontera agropecuaria asociada a los sectores productivos agropecuarios con pactos de cero deforestación (ha) 
</t>
      </text>
    </comment>
    <comment ref="N2" authorId="1" shapeId="0" xr:uid="{00000000-0006-0000-0C00-00002400000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O2" authorId="15" shapeId="0" xr:uid="{00000000-0006-0000-0C00-000025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Incluir la fracción orgánica en de los residuos rurales </t>
      </text>
    </comment>
    <comment ref="P2" authorId="16" shapeId="0" xr:uid="{00000000-0006-0000-0C00-000026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Estudios de paisajes productivos realizados por la UDEA
Definir ecosistema y socioecosistema.
Que permita tener claridad frente a estos</t>
      </text>
    </comment>
    <comment ref="Q2" authorId="1" shapeId="0" xr:uid="{00000000-0006-0000-0C00-000027000000}">
      <text>
        <r>
          <rPr>
            <b/>
            <sz val="9"/>
            <color indexed="81"/>
            <rFont val="Tahoma"/>
            <family val="2"/>
          </rPr>
          <t xml:space="preserve">Nota: </t>
        </r>
        <r>
          <rPr>
            <sz val="9"/>
            <color indexed="81"/>
            <rFont val="Tahoma"/>
            <family val="2"/>
          </rPr>
          <t>Este indicador hace parte también de la línea 3, componente 9, reto 1</t>
        </r>
      </text>
    </comment>
    <comment ref="R2" authorId="17" shapeId="0" xr:uid="{00000000-0006-0000-0C00-00002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La Subdirección de Gestión Ambiental sugiere eliminar el reto dado que la Matriz está bajo la responsabilidad de las empresas generadoras, las cuales están por fuera de la competencia de la Corporación.
</t>
      </text>
    </comment>
    <comment ref="U2" authorId="1" shapeId="0" xr:uid="{00000000-0006-0000-0C00-00002900000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X2" authorId="18" shapeId="0" xr:uid="{00000000-0006-0000-0C00-00002A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Fórmula: Residuos totales generados (t/año)/PIB (billones de pesos)
</t>
      </text>
    </comment>
    <comment ref="AA2" authorId="19" shapeId="0" xr:uid="{00000000-0006-0000-0C00-00002B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No queda registrada la meta, dadas las dificultades. Se fortalecerá la red</t>
      </text>
    </comment>
    <comment ref="AE2" authorId="20" shapeId="0" xr:uid="{00000000-0006-0000-0C00-00002C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El Índice de Desempeño Institucional (IEDI) de las Corporaciones Autónomas Regionales y de Desarrollo Sostenible mide el desempeño institucional en el marco de las funciones misionales asignadas por la Ley 99 de 1993 y las relacionadas con el ejercicio de las funciones administrativas y los principios del Buen Gobierno.
NOTA: Fortalecer la red de monitorio de aire</t>
      </text>
    </comment>
    <comment ref="AF2" authorId="21" shapeId="0" xr:uid="{00000000-0006-0000-0C00-00002D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2019-10-09: inicialmente el indicador aparecia así: "Instrumentos de Planificación Ambiental Interinstitucional presentes en el territorio armonizados y orientados a una gestión articulada hacia la sostenibilidad ambiental del territorio"
</t>
      </text>
    </comment>
    <comment ref="AG2" authorId="1" shapeId="0" xr:uid="{00000000-0006-0000-0C00-00002E00000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AI2" authorId="1" shapeId="0" xr:uid="{00000000-0006-0000-0C00-00002F000000}">
      <text>
        <r>
          <rPr>
            <b/>
            <sz val="9"/>
            <color indexed="81"/>
            <rFont val="Tahoma"/>
            <family val="2"/>
          </rPr>
          <t>Incluye:</t>
        </r>
        <r>
          <rPr>
            <sz val="9"/>
            <color indexed="81"/>
            <rFont val="Tahoma"/>
            <family val="2"/>
          </rPr>
          <t xml:space="preserve"> Acuerdos, arreglos, agenda compartida, injerencia en las decisiones que intervienen el territorio</t>
        </r>
      </text>
    </comment>
    <comment ref="AN2" authorId="1" shapeId="0" xr:uid="{00000000-0006-0000-0C00-00003000000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AO2" authorId="22" shapeId="0" xr:uid="{00000000-0006-0000-0C00-00003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nombrar</t>
      </text>
    </comment>
    <comment ref="AR2" authorId="23" shapeId="0" xr:uid="{00000000-0006-0000-0C00-000032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Cultura y comunicaciones proponene este indicador:
Entes territoriales que incorporacn la comunicación y la educación ambiental en sus instrumentos de planeaciónl</t>
      </text>
    </comment>
    <comment ref="AV2" authorId="1" shapeId="0" xr:uid="{00000000-0006-0000-0C00-000033000000}">
      <text>
        <r>
          <rPr>
            <sz val="9"/>
            <color indexed="81"/>
            <rFont val="Tahoma"/>
            <family val="2"/>
          </rPr>
          <t xml:space="preserve">Acciones coordinadas efectivamente/acciones identificadas para la coordinación </t>
        </r>
      </text>
    </comment>
    <comment ref="AX2" authorId="1" shapeId="0" xr:uid="{00000000-0006-0000-0C00-00003400000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 ref="A3" authorId="1" shapeId="0" xr:uid="{00000000-0006-0000-0C00-000035000000}">
      <text>
        <r>
          <rPr>
            <b/>
            <sz val="9"/>
            <color indexed="81"/>
            <rFont val="Tahoma"/>
            <family val="2"/>
          </rPr>
          <t>Se quitó la coma (,) para poder ingresar el nombre de la celda.</t>
        </r>
      </text>
    </comment>
    <comment ref="C3" authorId="24" shapeId="0" xr:uid="{00000000-0006-0000-0C00-000036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2019-11-07: Nuevo indicador a incorporar por parte de la Subdirección de Ecosistemas.</t>
      </text>
    </comment>
    <comment ref="E3" authorId="25" shapeId="0" xr:uid="{00000000-0006-0000-0C00-000037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2019-11-07: Nuevo indicador a incorporar por parte de la Subdirección de Ecosistemas.</t>
      </text>
    </comment>
    <comment ref="F3" authorId="26" shapeId="0" xr:uid="{00000000-0006-0000-0C00-000038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Evaluar otro indicador: 
Espacios habilitados para el aprovechamiento de los espacios naturales (públicos y privados)
(Hectáreas o número de predios?)</t>
      </text>
    </comment>
    <comment ref="H3" authorId="27" shapeId="0" xr:uid="{00000000-0006-0000-0C00-000039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Revisar documento orientador o que dan conceptos a las Alcaldía en los planes de desarrollo</t>
      </text>
    </comment>
    <comment ref="M3" authorId="28" shapeId="0" xr:uid="{00000000-0006-0000-0C00-00003A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2019-11-07. Ana Maria Castano Rivas:
Estos indicadores requieren de una unidad de analisis de información que pueda proveer datos a partir de imágenes (SIG)
Pérdida de área de ecosistemas asociado a sectores productivos priorizados con respecto a línea base 2010 en bosque. Se elimina, no hay capacidad de medición actualmente.
Disminución del número de ha degradadas de bosque (ha). Se elimina, no hay capacidad de medición actualmente.
Disminución de la tasa de pérdida de bosques . Se fusiona con este indicador.</t>
      </text>
    </comment>
    <comment ref="O3" authorId="29" shapeId="0" xr:uid="{00000000-0006-0000-0C00-00003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crecimiento real en lugar de tasa
Ventas anualizadas negocios verdes
Número de empleo negocios verdes
</t>
      </text>
    </comment>
    <comment ref="P3" authorId="30" shapeId="0" xr:uid="{00000000-0006-0000-0C00-00003C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2019-10-09: Se había sugerido este indicador "Restauración en áreas susceptibles definidas por el Plan Nacional de Restauración Ecológica para la Rehabilitación y Recuperación de Áreas Disturbadas (ha)" pero no se considero pertinente para el reto. El cual fue tomado del Plan de acción de Biodiversidad y cuya meta 1.000.000 ha en proceso de restauración en áreas susceptibles definidas por el Plan Nacional de Restauración Ecológica para la Rehabilitación y Recuperación de Áreas Disturbadas.</t>
      </text>
    </comment>
    <comment ref="U3" authorId="1" shapeId="0" xr:uid="{00000000-0006-0000-0C00-00003D00000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 ref="W3" authorId="31" shapeId="0" xr:uid="{00000000-0006-0000-0C00-00003E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Antes 2019-10-23: Porcentaje (%) de las entidades territoriales de la jurisdicción con su PIGCCT formulado y en concordancia con los 8 PIGCCS.</t>
      </text>
    </comment>
    <comment ref="X3" authorId="32" shapeId="0" xr:uid="{00000000-0006-0000-0C00-00003F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Fórmula: (Residuos totales aprovechados/ Residuos totales aprovechables generados)*100
**Ajustar con fracción orgánico</t>
      </text>
    </comment>
    <comment ref="AC3" authorId="33" shapeId="0" xr:uid="{00000000-0006-0000-0C00-000040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Se calcula empresas con planes de movildiad / Número de empresas</t>
      </text>
    </comment>
    <comment ref="AE3" authorId="34" shapeId="0" xr:uid="{00000000-0006-0000-0C00-00004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entiende que un municipio tiene capacidad alta cuando cumple tres o más de los criterios que se exponen a continuación: 
Anualmente presentan informe anual de cumplimiento de las acciones ejecutadas derivadas del acta de concertación de su POT y de las funciones ambientales de la Ley 99 de 1993. 
Ejecuta el 1% de sus ingresos corrientes para la adquisición y mantenimiento de áreas de interés para acueductos municipales o para financiar esquemas de pago por servicios ambientales (artículo 111° Ley 99 de 1993).  
Tiene definido al menos una persona dedicada a las funciones ambientales 
Anualmente realizan al menos una intervención directa con una organización comunitaria reconocida para la gestión del patrimonio ambiental.  
Si el municipio cumple uno de los criterios se considera que tiene una capacidad baja. Si cumple dos de los criterios se considera que tiene capacidad media.  
</t>
      </text>
    </comment>
    <comment ref="AH3" authorId="1" shapeId="0" xr:uid="{00000000-0006-0000-0C00-000042000000}">
      <text>
        <r>
          <rPr>
            <b/>
            <sz val="9"/>
            <color indexed="81"/>
            <rFont val="Tahoma"/>
            <family val="2"/>
          </rPr>
          <t xml:space="preserve">
Incluye: </t>
        </r>
        <r>
          <rPr>
            <sz val="9"/>
            <color indexed="81"/>
            <rFont val="Tahoma"/>
            <family val="2"/>
          </rPr>
          <t xml:space="preserve">Aportes en recurso financiero y en meta cumplida. 
</t>
        </r>
      </text>
    </comment>
    <comment ref="M4" authorId="35" shapeId="0" xr:uid="{00000000-0006-0000-0C00-000043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2019-10-09: Indicador anterior "Porcentaje de zonas de producción agropecuaria gestionadas de manera sostenible, garantizándose la conservación de la diversidad biológica"
Para ello se realizaran Acuerdos cero deforestación consolidados y en implementación, según plan acordado, de cadenas de producción priorizadas</t>
      </text>
    </comment>
    <comment ref="O4" authorId="36" shapeId="0" xr:uid="{00000000-0006-0000-0C00-00004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Según el SI, t: tonelada
Según ISO 80000, a: año
</t>
      </text>
    </comment>
    <comment ref="W4" authorId="37" shapeId="0" xr:uid="{00000000-0006-0000-0C00-000045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Antes de 2019-10-23: Porcentaje (%) de las entidades territoriales de la jurisdicción con su PIGCCT en ejecución 
</t>
      </text>
    </comment>
    <comment ref="AA4" authorId="38" shapeId="0" xr:uid="{00000000-0006-0000-0C00-000046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9.4.1. Intensidad de emisiones de CO2 de las industrias respecto a valor agregado de la industria manufacturera (GIGA_CO2 por $ miles de millones) </t>
      </text>
    </comment>
    <comment ref="AE4" authorId="1" shapeId="0" xr:uid="{00000000-0006-0000-0C00-00004700000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Q5" authorId="1" shapeId="0" xr:uid="{00000000-0006-0000-0C00-00004800000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X5" authorId="39" shapeId="0" xr:uid="{00000000-0006-0000-0C00-000049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Fórmula: (equipos eliminados/equipos inventariados)*100 
</t>
      </text>
    </comment>
    <comment ref="AA5" authorId="40" shapeId="0" xr:uid="{00000000-0006-0000-0C00-00004A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Denominación del indicador según Resolución 667: Índice de calidad de aire en las localidades de especial interés por contaminación atmosférica
</t>
      </text>
    </comment>
    <comment ref="AC5" authorId="41" shapeId="0" xr:uid="{00000000-0006-0000-0C00-00004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Denominación del indicador según Resolución 667: Índice de calidad de aire en las localidades de especial interés por contaminación atmosférica
</t>
      </text>
    </comment>
    <comment ref="AE5" authorId="1" shapeId="0" xr:uid="{00000000-0006-0000-0C00-00004C00000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A6" authorId="42" shapeId="0" xr:uid="{00000000-0006-0000-0C00-00004D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Anteriormente estaba en la línea 3, componente 10
</t>
      </text>
    </comment>
    <comment ref="X6" authorId="1" shapeId="0" xr:uid="{00000000-0006-0000-0C00-00004E000000}">
      <text>
        <r>
          <rPr>
            <b/>
            <sz val="9"/>
            <color indexed="81"/>
            <rFont val="Tahoma"/>
            <family val="2"/>
          </rPr>
          <t xml:space="preserve">Nota: </t>
        </r>
        <r>
          <rPr>
            <sz val="9"/>
            <color indexed="81"/>
            <rFont val="Tahoma"/>
            <family val="2"/>
          </rPr>
          <t>Este indicador hace parte también de la línea 2, componente 6, reto 16</t>
        </r>
      </text>
    </comment>
    <comment ref="AA6" authorId="43" shapeId="0" xr:uid="{00000000-0006-0000-0C00-00004F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Denominación del indicador según Resolución 667: Índice de calidad de aire en las localidades de especial interés por contaminación atmosférica
</t>
      </text>
    </comment>
    <comment ref="AE6" authorId="1" shapeId="0" xr:uid="{00000000-0006-0000-0C00-00005000000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A7" authorId="1" shapeId="0" xr:uid="{00000000-0006-0000-0C00-000051000000}">
      <text>
        <r>
          <rPr>
            <b/>
            <sz val="9"/>
            <color indexed="81"/>
            <rFont val="Tahoma"/>
            <family val="2"/>
          </rPr>
          <t>Se quitó la coma (,) y el / para poder ingresar el nombre de la celda.</t>
        </r>
      </text>
    </comment>
    <comment ref="C7" authorId="1" shapeId="0" xr:uid="{00000000-0006-0000-0C00-000052000000}">
      <text>
        <r>
          <rPr>
            <sz val="9"/>
            <color indexed="81"/>
            <rFont val="Tahoma"/>
            <family val="2"/>
          </rPr>
          <t>Cuerpos de agua en este indicador se debe entender como cuenca o subzona hidrográfica nivel subsiguiente 1.</t>
        </r>
      </text>
    </comment>
    <comment ref="AA7" authorId="44" shapeId="0" xr:uid="{00000000-0006-0000-0C00-000053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Denominación del indicador según Resolución 667: Índice de calidad de aire en las localidades de especial interés por contaminación atmosférica
</t>
      </text>
    </comment>
    <comment ref="C9" authorId="45" shapeId="0" xr:uid="{00000000-0006-0000-0C00-000054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Fórmula de cálculo:
Número de cuerpos de agua con reglamentación de uso / número de cuerpos de agua priorizados en el Plan Hídrico Nacional</t>
      </text>
    </comment>
    <comment ref="X9" authorId="46" shapeId="0" xr:uid="{00000000-0006-0000-0C00-000055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Según el SI, t: tonelada
Según ISO 80000, a: año
</t>
      </text>
    </comment>
    <comment ref="A10" authorId="47" shapeId="0" xr:uid="{00000000-0006-0000-0C00-000056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2019-10-09: El nombre del reto "Armonizar los Planes Integrales de Gestión del Cambio Climático Sectoriales (PIGCCS) con la planeación ambiental" se actualizó.
</t>
      </text>
    </comment>
    <comment ref="C10" authorId="48" shapeId="0" xr:uid="{00000000-0006-0000-0C00-000057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Fórmula de cálculo:
Número de cuerpos de agua con objetivos de calidad alcanzados / número de cuerpos de agua con objetivo de calidad establecido mediante Resolución Corporativa.
Se ajustó el nombre del indicador y la meta (Jorge Ignacio Gaviria).</t>
      </text>
    </comment>
    <comment ref="X10" authorId="49" shapeId="0" xr:uid="{00000000-0006-0000-0C00-000058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Conversar con Claudia Andrea Díaz</t>
      </text>
    </comment>
    <comment ref="A11" authorId="1" shapeId="0" xr:uid="{00000000-0006-0000-0C00-000059000000}">
      <text>
        <r>
          <rPr>
            <b/>
            <sz val="9"/>
            <color indexed="81"/>
            <rFont val="Tahoma"/>
            <family val="2"/>
          </rPr>
          <t>Se quitó la coma (,) para poder ingresar el nombre de la celda.</t>
        </r>
      </text>
    </comment>
    <comment ref="C11" authorId="50" shapeId="0" xr:uid="{00000000-0006-0000-0C00-00005A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Fórmula de cálculo:
Número de cuerpos de agua con objetivos de calidad alcanzados / número de cuerpos de agua con objetivo de calidad establecido mediante Resolución Corporativa.
Se ajustó el nombre del indicador y la meta (Jorge Ignacio Gaviria).</t>
      </text>
    </comment>
    <comment ref="A12" authorId="1" shapeId="0" xr:uid="{00000000-0006-0000-0C00-00005B000000}">
      <text>
        <r>
          <rPr>
            <b/>
            <sz val="9"/>
            <color indexed="81"/>
            <rFont val="Tahoma"/>
            <family val="2"/>
          </rPr>
          <t>Se quitó la coma (,) para poder ingresar el nombre de la celda.</t>
        </r>
        <r>
          <rPr>
            <sz val="9"/>
            <color indexed="81"/>
            <rFont val="Tahoma"/>
            <family val="2"/>
          </rPr>
          <t xml:space="preserve">
</t>
        </r>
      </text>
    </comment>
    <comment ref="A14" authorId="51" shapeId="0" xr:uid="{00000000-0006-0000-0C00-00005C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Tener en consideración la áreas suburbuna en términos de desarrollo de actividad agropecuaria.
Revisar Resolución de agricultura familiar de la UPRA
Mapa de la UPRA
(Llevar a Línea 3, relacioado a vulnerabilidad)</t>
      </text>
    </comment>
    <comment ref="A15" authorId="52" shapeId="0" xr:uid="{00000000-0006-0000-0C00-00005D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2019-10-10: Este reto inicialmente estaba asociado al Componente 6. La ciudadanía y sus prácticas cotidianas; pero dada su temática se movió para el reto 4.
</t>
      </text>
    </comment>
    <comment ref="A19" authorId="1" shapeId="0" xr:uid="{00000000-0006-0000-0C00-00005E000000}">
      <text>
        <r>
          <rPr>
            <b/>
            <sz val="9"/>
            <color indexed="81"/>
            <rFont val="Tahoma"/>
            <family val="2"/>
          </rPr>
          <t>Se quitó el paréntesis (Intensidad energética) para poder ingresar el nombre de la celda.</t>
        </r>
      </text>
    </comment>
    <comment ref="A23" authorId="53" shapeId="0" xr:uid="{00000000-0006-0000-0C00-00005F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Ajustar reto</t>
      </text>
    </comment>
    <comment ref="A24" authorId="1" shapeId="0" xr:uid="{00000000-0006-0000-0C00-00006000000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A32" authorId="54" shapeId="0" xr:uid="{00000000-0006-0000-0C00-00006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Parques Nacionales, ANLA, Corporaciones vecinas</t>
      </text>
    </comment>
    <comment ref="A35" authorId="1" shapeId="0" xr:uid="{00000000-0006-0000-0C00-000062000000}">
      <text>
        <r>
          <rPr>
            <b/>
            <sz val="9"/>
            <color indexed="81"/>
            <rFont val="Tahoma"/>
            <family val="2"/>
          </rPr>
          <t>Se quitó la coma (,) para poder ingresar el nombre de la celda.</t>
        </r>
      </text>
    </comment>
    <comment ref="A36" authorId="1" shapeId="0" xr:uid="{00000000-0006-0000-0C00-000063000000}">
      <text>
        <r>
          <rPr>
            <b/>
            <sz val="9"/>
            <color indexed="81"/>
            <rFont val="Tahoma"/>
            <family val="2"/>
          </rPr>
          <t>Se quitó la coma (,) para poder ingresar el nombre de la celda.</t>
        </r>
      </text>
    </comment>
    <comment ref="A38" authorId="1" shapeId="0" xr:uid="{00000000-0006-0000-0C00-000064000000}">
      <text>
        <r>
          <rPr>
            <b/>
            <sz val="9"/>
            <color indexed="81"/>
            <rFont val="Tahoma"/>
            <family val="2"/>
          </rPr>
          <t>Se quitó la coma (,) para poder ingresar el nombre de la celda.</t>
        </r>
        <r>
          <rPr>
            <sz val="9"/>
            <color indexed="81"/>
            <rFont val="Tahoma"/>
            <family val="2"/>
          </rPr>
          <t xml:space="preserve">
</t>
        </r>
      </text>
    </comment>
    <comment ref="A39" authorId="1" shapeId="0" xr:uid="{00000000-0006-0000-0C00-000065000000}">
      <text>
        <r>
          <rPr>
            <b/>
            <sz val="9"/>
            <color indexed="81"/>
            <rFont val="Tahoma"/>
            <family val="2"/>
          </rPr>
          <t>Se quitó la coma (,) para poder ingresar el nombre de la celda.</t>
        </r>
        <r>
          <rPr>
            <sz val="9"/>
            <color indexed="81"/>
            <rFont val="Tahoma"/>
            <family val="2"/>
          </rPr>
          <t xml:space="preserve">
</t>
        </r>
      </text>
    </comment>
    <comment ref="A42" authorId="1" shapeId="0" xr:uid="{00000000-0006-0000-0C00-000066000000}">
      <text>
        <r>
          <rPr>
            <b/>
            <sz val="9"/>
            <color indexed="81"/>
            <rFont val="Tahoma"/>
            <family val="2"/>
          </rPr>
          <t>Se quitó la coma (,) para poder ingresar el nombre de la celda.</t>
        </r>
      </text>
    </comment>
    <comment ref="A44" authorId="1" shapeId="0" xr:uid="{00000000-0006-0000-0C00-000067000000}">
      <text>
        <r>
          <rPr>
            <b/>
            <sz val="9"/>
            <color indexed="81"/>
            <rFont val="Tahoma"/>
            <family val="2"/>
          </rPr>
          <t>Se quitó la coma (,) para poder ingresar el nombre de la celda.</t>
        </r>
      </text>
    </comment>
    <comment ref="A45" authorId="1" shapeId="0" xr:uid="{00000000-0006-0000-0C00-000068000000}">
      <text>
        <r>
          <rPr>
            <b/>
            <sz val="9"/>
            <color indexed="81"/>
            <rFont val="Tahoma"/>
            <family val="2"/>
          </rPr>
          <t>Se quitó la coma (,) para poder ingresar el nombre de la celda.
Además se quitaron el punto final y los paréntesis</t>
        </r>
      </text>
    </comment>
    <comment ref="A47" authorId="1" shapeId="0" xr:uid="{00000000-0006-0000-0C00-000069000000}">
      <text>
        <r>
          <rPr>
            <b/>
            <sz val="9"/>
            <color indexed="81"/>
            <rFont val="Tahoma"/>
            <family val="2"/>
          </rPr>
          <t>Se quitó la coma (,) para poder ingresar el nombre de la celda.</t>
        </r>
      </text>
    </comment>
    <comment ref="A48" authorId="1" shapeId="0" xr:uid="{00000000-0006-0000-0C00-00006A000000}">
      <text>
        <r>
          <rPr>
            <b/>
            <sz val="9"/>
            <color indexed="81"/>
            <rFont val="Tahoma"/>
            <family val="2"/>
          </rPr>
          <t>Se quitó la coma (,) para poder ingresar el nombre de la celda.
Además se quitaron los dos y los paréntesis  (Marcos legales de los pueblos étnicos)</t>
        </r>
      </text>
    </comment>
    <comment ref="A49" authorId="1" shapeId="0" xr:uid="{00000000-0006-0000-0C00-00006B000000}">
      <text>
        <r>
          <rPr>
            <b/>
            <sz val="9"/>
            <color indexed="81"/>
            <rFont val="Tahoma"/>
            <family val="2"/>
          </rPr>
          <t>Se quitó la coma (,) para poder ingresar el nombre de la celda.</t>
        </r>
      </text>
    </comment>
    <comment ref="A50" authorId="1" shapeId="0" xr:uid="{00000000-0006-0000-0C00-00006C000000}">
      <text>
        <r>
          <rPr>
            <b/>
            <sz val="9"/>
            <color indexed="81"/>
            <rFont val="Tahoma"/>
            <family val="2"/>
          </rPr>
          <t>Se quitó la coma (,) para poder ingresar el nombre de la celda.</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E4" authorId="0" shapeId="0" xr:uid="{00000000-0006-0000-0D00-000001000000}">
      <text>
        <r>
          <rPr>
            <b/>
            <sz val="9"/>
            <color indexed="81"/>
            <rFont val="Tahoma"/>
            <family val="2"/>
          </rPr>
          <t>Se quitó el símbolo (+) 
para poder ingresar el nombre de la celda.</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Administrador</author>
    <author>Marlo Giovanny Florez Mejia</author>
  </authors>
  <commentList>
    <comment ref="B1" authorId="0" shapeId="0" xr:uid="{00000000-0006-0000-0E00-000001000000}">
      <text>
        <r>
          <rPr>
            <sz val="9"/>
            <color rgb="FF000000"/>
            <rFont val="Tahoma"/>
            <family val="2"/>
          </rPr>
          <t>Proyecto 1. Incrementar y Proteger las áreas que proveen bienes y servicios ecosistémicos</t>
        </r>
      </text>
    </comment>
    <comment ref="C1" authorId="0" shapeId="0" xr:uid="{00000000-0006-0000-0E00-000002000000}">
      <text>
        <r>
          <rPr>
            <b/>
            <sz val="9"/>
            <color indexed="81"/>
            <rFont val="Tahoma"/>
            <family val="2"/>
          </rPr>
          <t>Administrador:</t>
        </r>
        <r>
          <rPr>
            <sz val="9"/>
            <color indexed="81"/>
            <rFont val="Tahoma"/>
            <family val="2"/>
          </rPr>
          <t xml:space="preserve">
Antes (13_02_2020):
Proyecto 2. Mejorar conectividad entre áreas que proveen bienes y servicios ecosistémicos
</t>
        </r>
      </text>
    </comment>
    <comment ref="D1" authorId="0" shapeId="0" xr:uid="{00000000-0006-0000-0E00-000003000000}">
      <text>
        <r>
          <rPr>
            <b/>
            <sz val="9"/>
            <color indexed="81"/>
            <rFont val="Tahoma"/>
            <family val="2"/>
          </rPr>
          <t>Hasta 2020-02-13:</t>
        </r>
        <r>
          <rPr>
            <sz val="9"/>
            <color indexed="81"/>
            <rFont val="Tahoma"/>
            <family val="2"/>
          </rPr>
          <t xml:space="preserve"> Planificación hídrica
</t>
        </r>
        <r>
          <rPr>
            <b/>
            <sz val="9"/>
            <color indexed="81"/>
            <rFont val="Tahoma"/>
            <family val="2"/>
          </rPr>
          <t xml:space="preserve">Hasta 2020-03-06:
</t>
        </r>
        <r>
          <rPr>
            <sz val="9"/>
            <color indexed="81"/>
            <rFont val="Tahoma"/>
            <family val="2"/>
          </rPr>
          <t>Proyecto 3. Planificando el uso del agua</t>
        </r>
      </text>
    </comment>
    <comment ref="E1" authorId="1" shapeId="0" xr:uid="{00000000-0006-0000-0E00-000004000000}">
      <text>
        <r>
          <rPr>
            <b/>
            <sz val="9"/>
            <color indexed="81"/>
            <rFont val="Tahoma"/>
            <family val="2"/>
          </rPr>
          <t xml:space="preserve">Incorporado </t>
        </r>
        <r>
          <rPr>
            <sz val="9"/>
            <color indexed="81"/>
            <rFont val="Tahoma"/>
            <family val="2"/>
          </rPr>
          <t xml:space="preserve">el 2020-02-07
</t>
        </r>
        <r>
          <rPr>
            <b/>
            <sz val="9"/>
            <color indexed="81"/>
            <rFont val="Tahoma"/>
            <family val="2"/>
          </rPr>
          <t>Hasta 2020-03-06:</t>
        </r>
        <r>
          <rPr>
            <sz val="9"/>
            <color indexed="81"/>
            <rFont val="Tahoma"/>
            <family val="2"/>
          </rPr>
          <t xml:space="preserve"> Proyecto 4. Gestionando el uso del agua.</t>
        </r>
      </text>
    </comment>
    <comment ref="F1" authorId="0" shapeId="0" xr:uid="{00000000-0006-0000-0E00-000005000000}">
      <text>
        <r>
          <rPr>
            <b/>
            <sz val="9"/>
            <color indexed="81"/>
            <rFont val="Tahoma"/>
            <family val="2"/>
          </rPr>
          <t xml:space="preserve">2020-02-14: </t>
        </r>
        <r>
          <rPr>
            <sz val="9"/>
            <color indexed="81"/>
            <rFont val="Tahoma"/>
            <family val="2"/>
          </rPr>
          <t xml:space="preserve">Fortalecimiento y articulación de los instrumentos de planificación 
</t>
        </r>
        <r>
          <rPr>
            <b/>
            <sz val="9"/>
            <color indexed="81"/>
            <rFont val="Tahoma"/>
            <family val="2"/>
          </rPr>
          <t>Hasta 2020-03-06:</t>
        </r>
        <r>
          <rPr>
            <sz val="9"/>
            <color indexed="81"/>
            <rFont val="Tahoma"/>
            <family val="2"/>
          </rPr>
          <t xml:space="preserve"> Proyecto 5.  Planificando nuestro territorio</t>
        </r>
      </text>
    </comment>
    <comment ref="G1" authorId="1" shapeId="0" xr:uid="{00000000-0006-0000-0E00-000006000000}">
      <text>
        <r>
          <rPr>
            <b/>
            <sz val="9"/>
            <color rgb="FF000000"/>
            <rFont val="Tahoma"/>
            <family val="2"/>
          </rPr>
          <t>Hasta 2020-02-06:</t>
        </r>
        <r>
          <rPr>
            <sz val="9"/>
            <color rgb="FF000000"/>
            <rFont val="Tahoma"/>
            <family val="2"/>
          </rPr>
          <t xml:space="preserve"> Proyecto 4. Fortalecer el Cambio climático y gestión del riesgo en los instrumentos de planificación
</t>
        </r>
      </text>
    </comment>
    <comment ref="J1" authorId="1" shapeId="0" xr:uid="{00000000-0006-0000-0E00-000007000000}">
      <text>
        <r>
          <rPr>
            <b/>
            <sz val="9"/>
            <color indexed="81"/>
            <rFont val="Tahoma"/>
            <family val="2"/>
          </rPr>
          <t>Hasta 2020-02-10:</t>
        </r>
        <r>
          <rPr>
            <sz val="9"/>
            <color indexed="81"/>
            <rFont val="Tahoma"/>
            <family val="2"/>
          </rPr>
          <t xml:space="preserve"> Control y seguimiento a la producción sostenible</t>
        </r>
      </text>
    </comment>
    <comment ref="A2" authorId="0" shapeId="0" xr:uid="{00000000-0006-0000-0E00-000008000000}">
      <text>
        <r>
          <rPr>
            <sz val="9"/>
            <color rgb="FF000000"/>
            <rFont val="Tahoma"/>
            <family val="2"/>
          </rPr>
          <t>Proyecto 1. Incrementar y Proteger las áreas que proveen bienes y servicios ecosistémicos</t>
        </r>
      </text>
    </comment>
    <comment ref="A3" authorId="0" shapeId="0" xr:uid="{00000000-0006-0000-0E00-000009000000}">
      <text>
        <r>
          <rPr>
            <b/>
            <sz val="9"/>
            <color indexed="81"/>
            <rFont val="Tahoma"/>
            <family val="2"/>
          </rPr>
          <t>Administrador:</t>
        </r>
        <r>
          <rPr>
            <sz val="9"/>
            <color indexed="81"/>
            <rFont val="Tahoma"/>
            <family val="2"/>
          </rPr>
          <t xml:space="preserve">
Antes (13_02_2020):
Proyecto 2. Mejorar conectividad entre áreas que proveen bienes y servicios ecosistémicos
</t>
        </r>
      </text>
    </comment>
    <comment ref="A4" authorId="0" shapeId="0" xr:uid="{00000000-0006-0000-0E00-00000A000000}">
      <text>
        <r>
          <rPr>
            <b/>
            <sz val="9"/>
            <color indexed="81"/>
            <rFont val="Tahoma"/>
            <family val="2"/>
          </rPr>
          <t>Hasta 2020-02-13:</t>
        </r>
        <r>
          <rPr>
            <sz val="9"/>
            <color indexed="81"/>
            <rFont val="Tahoma"/>
            <family val="2"/>
          </rPr>
          <t xml:space="preserve"> Planificación hídrica
</t>
        </r>
        <r>
          <rPr>
            <b/>
            <sz val="9"/>
            <color indexed="81"/>
            <rFont val="Tahoma"/>
            <family val="2"/>
          </rPr>
          <t xml:space="preserve">Hasta 2020-03-06:
</t>
        </r>
        <r>
          <rPr>
            <sz val="9"/>
            <color indexed="81"/>
            <rFont val="Tahoma"/>
            <family val="2"/>
          </rPr>
          <t>Proyecto 3. Planificando el uso del agua</t>
        </r>
      </text>
    </comment>
    <comment ref="A5" authorId="1" shapeId="0" xr:uid="{00000000-0006-0000-0E00-00000B000000}">
      <text>
        <r>
          <rPr>
            <b/>
            <sz val="9"/>
            <color indexed="81"/>
            <rFont val="Tahoma"/>
            <family val="2"/>
          </rPr>
          <t xml:space="preserve">Incorporado </t>
        </r>
        <r>
          <rPr>
            <sz val="9"/>
            <color indexed="81"/>
            <rFont val="Tahoma"/>
            <family val="2"/>
          </rPr>
          <t xml:space="preserve">el 2020-02-07
</t>
        </r>
        <r>
          <rPr>
            <b/>
            <sz val="9"/>
            <color indexed="81"/>
            <rFont val="Tahoma"/>
            <family val="2"/>
          </rPr>
          <t>Hasta 2020-03-06:</t>
        </r>
        <r>
          <rPr>
            <sz val="9"/>
            <color indexed="81"/>
            <rFont val="Tahoma"/>
            <family val="2"/>
          </rPr>
          <t xml:space="preserve"> Proyecto 4. Gestionando el uso del agua.</t>
        </r>
      </text>
    </comment>
    <comment ref="A6" authorId="0" shapeId="0" xr:uid="{00000000-0006-0000-0E00-00000C000000}">
      <text>
        <r>
          <rPr>
            <b/>
            <sz val="9"/>
            <color indexed="81"/>
            <rFont val="Tahoma"/>
            <family val="2"/>
          </rPr>
          <t xml:space="preserve">2020-02-14: </t>
        </r>
        <r>
          <rPr>
            <sz val="9"/>
            <color indexed="81"/>
            <rFont val="Tahoma"/>
            <family val="2"/>
          </rPr>
          <t xml:space="preserve">Fortalecimiento y articulación de los instrumentos de planificación 
</t>
        </r>
        <r>
          <rPr>
            <b/>
            <sz val="9"/>
            <color indexed="81"/>
            <rFont val="Tahoma"/>
            <family val="2"/>
          </rPr>
          <t>Hasta 2020-03-06:</t>
        </r>
        <r>
          <rPr>
            <sz val="9"/>
            <color indexed="81"/>
            <rFont val="Tahoma"/>
            <family val="2"/>
          </rPr>
          <t xml:space="preserve"> Proyecto 5.  Planificando nuestro territorio</t>
        </r>
      </text>
    </comment>
    <comment ref="A7" authorId="1" shapeId="0" xr:uid="{00000000-0006-0000-0E00-00000D000000}">
      <text>
        <r>
          <rPr>
            <b/>
            <sz val="9"/>
            <color rgb="FF000000"/>
            <rFont val="Tahoma"/>
            <family val="2"/>
          </rPr>
          <t>Hasta 2020-02-06:</t>
        </r>
        <r>
          <rPr>
            <sz val="9"/>
            <color rgb="FF000000"/>
            <rFont val="Tahoma"/>
            <family val="2"/>
          </rPr>
          <t xml:space="preserve"> Proyecto 4. Fortalecer el Cambio climático y gestión del riesgo en los instrumentos de planificación
</t>
        </r>
      </text>
    </comment>
    <comment ref="A10" authorId="1" shapeId="0" xr:uid="{00000000-0006-0000-0E00-00000E000000}">
      <text>
        <r>
          <rPr>
            <b/>
            <sz val="9"/>
            <color indexed="81"/>
            <rFont val="Tahoma"/>
            <family val="2"/>
          </rPr>
          <t>Hasta 2020-02-10:</t>
        </r>
        <r>
          <rPr>
            <sz val="9"/>
            <color indexed="81"/>
            <rFont val="Tahoma"/>
            <family val="2"/>
          </rPr>
          <t xml:space="preserve"> Control y seguimiento a la producción sostenible</t>
        </r>
      </text>
    </comment>
    <comment ref="H11" authorId="1" shapeId="0" xr:uid="{00000000-0006-0000-0E00-00000F000000}">
      <text>
        <r>
          <rPr>
            <b/>
            <sz val="9"/>
            <color indexed="81"/>
            <rFont val="Tahoma"/>
            <family val="2"/>
          </rPr>
          <t>Se quitó el y/o</t>
        </r>
      </text>
    </comment>
    <comment ref="H13" authorId="1" shapeId="0" xr:uid="{00000000-0006-0000-0E00-000010000000}">
      <text>
        <r>
          <rPr>
            <b/>
            <sz val="9"/>
            <color indexed="81"/>
            <rFont val="Tahoma"/>
            <family val="2"/>
          </rPr>
          <t>Se quitó el y/o</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Pablo Andrés Barrera Bolaños</author>
    <author>Administrador</author>
    <author>Marlo Giovanny Florez Mejia</author>
  </authors>
  <commentList>
    <comment ref="B1" authorId="0" shapeId="0" xr:uid="{00000000-0006-0000-0F00-000001000000}">
      <text>
        <r>
          <rPr>
            <sz val="9"/>
            <color rgb="FF000000"/>
            <rFont val="Tahoma"/>
            <family val="2"/>
          </rPr>
          <t xml:space="preserve">2020_02_12
</t>
        </r>
        <r>
          <rPr>
            <sz val="9"/>
            <color rgb="FF000000"/>
            <rFont val="Tahoma"/>
            <family val="2"/>
          </rPr>
          <t xml:space="preserve">
</t>
        </r>
        <r>
          <rPr>
            <sz val="9"/>
            <color rgb="FF000000"/>
            <rFont val="Tahoma"/>
            <family val="2"/>
          </rPr>
          <t xml:space="preserve">Programa I. Gestión integral de áreas protegidas y otras estrategias de conservación en la jurisdicción de Corantioquia 
</t>
        </r>
        <r>
          <rPr>
            <sz val="9"/>
            <color rgb="FF000000"/>
            <rFont val="Tahoma"/>
            <family val="2"/>
          </rPr>
          <t xml:space="preserve">
</t>
        </r>
        <r>
          <rPr>
            <sz val="9"/>
            <color rgb="FF000000"/>
            <rFont val="Tahoma"/>
            <family val="2"/>
          </rPr>
          <t xml:space="preserve">2020_02_21_
</t>
        </r>
        <r>
          <rPr>
            <sz val="9"/>
            <color rgb="FF000000"/>
            <rFont val="Tahoma"/>
            <family val="2"/>
          </rPr>
          <t xml:space="preserve">
</t>
        </r>
        <r>
          <rPr>
            <sz val="9"/>
            <color rgb="FF000000"/>
            <rFont val="Tahoma"/>
            <family val="2"/>
          </rPr>
          <t>Programa I. Nuestros ecosistemas estratégicos</t>
        </r>
      </text>
    </comment>
    <comment ref="C1" authorId="1" shapeId="0" xr:uid="{00000000-0006-0000-0F00-000002000000}">
      <text>
        <r>
          <rPr>
            <b/>
            <sz val="9"/>
            <color rgb="FF000000"/>
            <rFont val="Tahoma"/>
            <family val="2"/>
          </rPr>
          <t xml:space="preserve">Hasta 2020-02-13: </t>
        </r>
        <r>
          <rPr>
            <sz val="9"/>
            <color rgb="FF000000"/>
            <rFont val="Tahoma"/>
            <family val="2"/>
          </rPr>
          <t xml:space="preserve">Gestión integral del recurso hídrico
</t>
        </r>
        <r>
          <rPr>
            <b/>
            <sz val="9"/>
            <color rgb="FF000000"/>
            <rFont val="Tahoma"/>
            <family val="2"/>
          </rPr>
          <t xml:space="preserve">Hasta 2020-03-06:
</t>
        </r>
        <r>
          <rPr>
            <sz val="9"/>
            <color rgb="FF000000"/>
            <rFont val="Tahoma"/>
            <family val="2"/>
          </rPr>
          <t>Programa II. Agua para la vida</t>
        </r>
      </text>
    </comment>
    <comment ref="F1" authorId="2" shapeId="0" xr:uid="{00000000-0006-0000-0F00-000003000000}">
      <text>
        <r>
          <rPr>
            <b/>
            <sz val="9"/>
            <color indexed="81"/>
            <rFont val="Tahoma"/>
            <family val="2"/>
          </rPr>
          <t>Hasta 2020-02-27:</t>
        </r>
        <r>
          <rPr>
            <sz val="9"/>
            <color indexed="81"/>
            <rFont val="Tahoma"/>
            <family val="2"/>
          </rPr>
          <t xml:space="preserve"> Juntos por el ambiente
</t>
        </r>
      </text>
    </comment>
    <comment ref="A2" authorId="0" shapeId="0" xr:uid="{00000000-0006-0000-0F00-000004000000}">
      <text>
        <r>
          <rPr>
            <sz val="9"/>
            <color rgb="FF000000"/>
            <rFont val="Tahoma"/>
            <family val="2"/>
          </rPr>
          <t xml:space="preserve">2020_02_12
</t>
        </r>
        <r>
          <rPr>
            <sz val="9"/>
            <color rgb="FF000000"/>
            <rFont val="Tahoma"/>
            <family val="2"/>
          </rPr>
          <t xml:space="preserve">
</t>
        </r>
        <r>
          <rPr>
            <sz val="9"/>
            <color rgb="FF000000"/>
            <rFont val="Tahoma"/>
            <family val="2"/>
          </rPr>
          <t xml:space="preserve">Programa I. Gestión integral de áreas protegidas y otras estrategias de conservación en la jurisdicción de Corantioquia 
</t>
        </r>
        <r>
          <rPr>
            <sz val="9"/>
            <color rgb="FF000000"/>
            <rFont val="Tahoma"/>
            <family val="2"/>
          </rPr>
          <t xml:space="preserve">
</t>
        </r>
        <r>
          <rPr>
            <sz val="9"/>
            <color rgb="FF000000"/>
            <rFont val="Tahoma"/>
            <family val="2"/>
          </rPr>
          <t xml:space="preserve">2020_02_21_
</t>
        </r>
        <r>
          <rPr>
            <sz val="9"/>
            <color rgb="FF000000"/>
            <rFont val="Tahoma"/>
            <family val="2"/>
          </rPr>
          <t xml:space="preserve">
</t>
        </r>
        <r>
          <rPr>
            <sz val="9"/>
            <color rgb="FF000000"/>
            <rFont val="Tahoma"/>
            <family val="2"/>
          </rPr>
          <t>Programa I. Nuestros ecosistemas estratégicos</t>
        </r>
      </text>
    </comment>
    <comment ref="B2" authorId="1" shapeId="0" xr:uid="{00000000-0006-0000-0F00-000005000000}">
      <text>
        <r>
          <rPr>
            <sz val="9"/>
            <color rgb="FF000000"/>
            <rFont val="Tahoma"/>
            <family val="2"/>
          </rPr>
          <t>Proyecto 1. Incrementar y Proteger las áreas que proveen bienes y servicios ecosistémicos</t>
        </r>
      </text>
    </comment>
    <comment ref="C2" authorId="1" shapeId="0" xr:uid="{00000000-0006-0000-0F00-000006000000}">
      <text>
        <r>
          <rPr>
            <b/>
            <sz val="9"/>
            <color indexed="81"/>
            <rFont val="Tahoma"/>
            <family val="2"/>
          </rPr>
          <t>Hasta 2020-02-13:</t>
        </r>
        <r>
          <rPr>
            <sz val="9"/>
            <color indexed="81"/>
            <rFont val="Tahoma"/>
            <family val="2"/>
          </rPr>
          <t xml:space="preserve"> Planificación hídrica
</t>
        </r>
        <r>
          <rPr>
            <b/>
            <sz val="9"/>
            <color indexed="81"/>
            <rFont val="Tahoma"/>
            <family val="2"/>
          </rPr>
          <t xml:space="preserve">Hasta 2020-03-06:
</t>
        </r>
        <r>
          <rPr>
            <sz val="9"/>
            <color indexed="81"/>
            <rFont val="Tahoma"/>
            <family val="2"/>
          </rPr>
          <t>Proyecto 3. Planificando el uso del agua</t>
        </r>
      </text>
    </comment>
    <comment ref="D2" authorId="1" shapeId="0" xr:uid="{00000000-0006-0000-0F00-000007000000}">
      <text>
        <r>
          <rPr>
            <b/>
            <sz val="9"/>
            <color indexed="81"/>
            <rFont val="Tahoma"/>
            <family val="2"/>
          </rPr>
          <t xml:space="preserve">2020-02-14: </t>
        </r>
        <r>
          <rPr>
            <sz val="9"/>
            <color indexed="81"/>
            <rFont val="Tahoma"/>
            <family val="2"/>
          </rPr>
          <t xml:space="preserve">Fortalecimiento y articulación de los instrumentos de planificación 
</t>
        </r>
        <r>
          <rPr>
            <b/>
            <sz val="9"/>
            <color indexed="81"/>
            <rFont val="Tahoma"/>
            <family val="2"/>
          </rPr>
          <t>Hasta 2020-03-06:</t>
        </r>
        <r>
          <rPr>
            <sz val="9"/>
            <color indexed="81"/>
            <rFont val="Tahoma"/>
            <family val="2"/>
          </rPr>
          <t xml:space="preserve"> Proyecto 5.  Planificando nuestro territorio</t>
        </r>
      </text>
    </comment>
    <comment ref="F2" authorId="2" shapeId="0" xr:uid="{00000000-0006-0000-0F00-000008000000}">
      <text>
        <r>
          <rPr>
            <b/>
            <sz val="9"/>
            <color indexed="81"/>
            <rFont val="Tahoma"/>
            <family val="2"/>
          </rPr>
          <t>Hasta 2020-02-10:</t>
        </r>
        <r>
          <rPr>
            <sz val="9"/>
            <color indexed="81"/>
            <rFont val="Tahoma"/>
            <family val="2"/>
          </rPr>
          <t xml:space="preserve"> Control y seguimiento a la producción sostenible</t>
        </r>
      </text>
    </comment>
    <comment ref="A3" authorId="1" shapeId="0" xr:uid="{00000000-0006-0000-0F00-000009000000}">
      <text>
        <r>
          <rPr>
            <b/>
            <sz val="9"/>
            <color rgb="FF000000"/>
            <rFont val="Tahoma"/>
            <family val="2"/>
          </rPr>
          <t xml:space="preserve">Hasta 2020-02-13: </t>
        </r>
        <r>
          <rPr>
            <sz val="9"/>
            <color rgb="FF000000"/>
            <rFont val="Tahoma"/>
            <family val="2"/>
          </rPr>
          <t xml:space="preserve">Gestión integral del recurso hídrico
</t>
        </r>
        <r>
          <rPr>
            <b/>
            <sz val="9"/>
            <color rgb="FF000000"/>
            <rFont val="Tahoma"/>
            <family val="2"/>
          </rPr>
          <t xml:space="preserve">Hasta 2020-03-06:
</t>
        </r>
        <r>
          <rPr>
            <sz val="9"/>
            <color rgb="FF000000"/>
            <rFont val="Tahoma"/>
            <family val="2"/>
          </rPr>
          <t>Programa II. Agua para la vida</t>
        </r>
      </text>
    </comment>
    <comment ref="B3" authorId="1" shapeId="0" xr:uid="{00000000-0006-0000-0F00-00000A000000}">
      <text>
        <r>
          <rPr>
            <b/>
            <sz val="9"/>
            <color indexed="81"/>
            <rFont val="Tahoma"/>
            <family val="2"/>
          </rPr>
          <t>Administrador:</t>
        </r>
        <r>
          <rPr>
            <sz val="9"/>
            <color indexed="81"/>
            <rFont val="Tahoma"/>
            <family val="2"/>
          </rPr>
          <t xml:space="preserve">
Antes (13_02_2020):
Proyecto 2. Mejorar conectividad entre áreas que proveen bienes y servicios ecosistémicos
</t>
        </r>
      </text>
    </comment>
    <comment ref="C3" authorId="2" shapeId="0" xr:uid="{00000000-0006-0000-0F00-00000B000000}">
      <text>
        <r>
          <rPr>
            <b/>
            <sz val="9"/>
            <color indexed="81"/>
            <rFont val="Tahoma"/>
            <family val="2"/>
          </rPr>
          <t xml:space="preserve">Incorporado </t>
        </r>
        <r>
          <rPr>
            <sz val="9"/>
            <color indexed="81"/>
            <rFont val="Tahoma"/>
            <family val="2"/>
          </rPr>
          <t xml:space="preserve">el 2020-02-07
</t>
        </r>
        <r>
          <rPr>
            <b/>
            <sz val="9"/>
            <color indexed="81"/>
            <rFont val="Tahoma"/>
            <family val="2"/>
          </rPr>
          <t>Hasta 2020-03-06:</t>
        </r>
        <r>
          <rPr>
            <sz val="9"/>
            <color indexed="81"/>
            <rFont val="Tahoma"/>
            <family val="2"/>
          </rPr>
          <t xml:space="preserve"> Proyecto 4. Gestionando el uso del agua.</t>
        </r>
      </text>
    </comment>
    <comment ref="D3" authorId="2" shapeId="0" xr:uid="{00000000-0006-0000-0F00-00000C000000}">
      <text>
        <r>
          <rPr>
            <b/>
            <sz val="9"/>
            <color rgb="FF000000"/>
            <rFont val="Tahoma"/>
            <family val="2"/>
          </rPr>
          <t>Hasta 2020-02-06:</t>
        </r>
        <r>
          <rPr>
            <sz val="9"/>
            <color rgb="FF000000"/>
            <rFont val="Tahoma"/>
            <family val="2"/>
          </rPr>
          <t xml:space="preserve"> Proyecto 4. Fortalecer el Cambio climático y gestión del riesgo en los instrumentos de planificación
</t>
        </r>
      </text>
    </comment>
    <comment ref="A6" authorId="2" shapeId="0" xr:uid="{00000000-0006-0000-0F00-00000D000000}">
      <text>
        <r>
          <rPr>
            <b/>
            <sz val="9"/>
            <color indexed="81"/>
            <rFont val="Tahoma"/>
            <family val="2"/>
          </rPr>
          <t>Hasta 2020-02-27:</t>
        </r>
        <r>
          <rPr>
            <sz val="9"/>
            <color indexed="81"/>
            <rFont val="Tahoma"/>
            <family val="2"/>
          </rPr>
          <t xml:space="preserve"> Juntos por el ambiente
</t>
        </r>
      </text>
    </comment>
  </commentList>
</comments>
</file>

<file path=xl/sharedStrings.xml><?xml version="1.0" encoding="utf-8"?>
<sst xmlns="http://schemas.openxmlformats.org/spreadsheetml/2006/main" count="5388" uniqueCount="1965">
  <si>
    <t>Indicadores mínimos</t>
  </si>
  <si>
    <t>Tipo</t>
  </si>
  <si>
    <t>Tema medición</t>
  </si>
  <si>
    <t>Indicador</t>
  </si>
  <si>
    <t>Nota: Los indicadores de desarrollo sostenible: Buscan medir el impacto de la gestión ambiental orientada hacia el Desarrollo Sostenible, en términos de: Consolidar las acciones orientadas a la conservación del patrimonio natural, disminuir el riesgo de desabastecimiento de agua; racionalizar y optimizar el consumo de recursos naturales renovables, generar empleos e ingresos por el uso sostenible de la biodiversidad y sistemas de producción sostenibles, reducir los efectos en la salud asociados a problemas ambientales y disminuir la población en riesgo asociada a fenómenos naturales.</t>
  </si>
  <si>
    <t>Desarrollo sostenible</t>
  </si>
  <si>
    <t>Consolidar las acciones orientadas a la conservación del patrimonio natural</t>
  </si>
  <si>
    <t>Número de hectáreas en áreas protegidas con régimen especial.</t>
  </si>
  <si>
    <t>Los indicadores ambientales: Están orientadas a monitorear los cambios en la cantidad y calidad de los recursos naturales renovables y el medio ambiente, y la presión que se ejerce sobre ellos como resultado de su uso y aprovechamiento.</t>
  </si>
  <si>
    <t>Tasa de deforestación.</t>
  </si>
  <si>
    <t>Los indicadores de gestión: Tienen por objeto medir el avance del cumplimiento del Plan de Acción Cuatrienal de las Corporaciones autónomas regionales y de desarrollo sostenible.</t>
  </si>
  <si>
    <t>Incremento de cobertura vegetal.</t>
  </si>
  <si>
    <t>Disminución del riesgo por desabastecimiento de agua</t>
  </si>
  <si>
    <t>Población en alto riesgo por desabastecimiento de agua.</t>
  </si>
  <si>
    <t xml:space="preserve"> Índice de escasez.</t>
  </si>
  <si>
    <t>Racionalizar y optimizar el consumo de recursos naturales renovables</t>
  </si>
  <si>
    <t>Intensidad energética, medida como la relación entre barriles equivalentes de petróleo y millones de pesos de PIB departamental (BEP/M$PIB).</t>
  </si>
  <si>
    <t>Consumo de agua en los sectores productivos (industrial, comercial, agrícola y pecuario) medido como consumo de agua, en metros cúbicos, sobre producción o hectáreas.</t>
  </si>
  <si>
    <t>Residuos sólidos aprovechados, medido en toneladas, sobre generación total de residuos.</t>
  </si>
  <si>
    <t>Residuos sólidos dispuestos adecuadamente, medidos en toneladas, sobre generación total de residuos.</t>
  </si>
  <si>
    <t>Generación de empleos o ingresos por el uso sostenible de la biodiversidad y sistemas de producción sostenible</t>
  </si>
  <si>
    <t>Volumen de ventas, medido en millones de pesos, de las empresas dedicadas a mercados verdes.</t>
  </si>
  <si>
    <t>Reducción de los efectos en la salud asociados a problemas ambientales</t>
  </si>
  <si>
    <t>Tasa de morbimortalidad por Infección Respiratoria Aguda (IRA).</t>
  </si>
  <si>
    <t>Tasa de morbimortalidad por Enfermedad Diarreica Aguda (EDA).</t>
  </si>
  <si>
    <t>Tasa de morbimortalidad por Dengue.</t>
  </si>
  <si>
    <t>Disminución de población en riesgo asociado a fenómenos naturales</t>
  </si>
  <si>
    <t>Número de personas afectadas a causa de fenómenos naturales en el año.</t>
  </si>
  <si>
    <t>Pérdidas económicas a causa de fenómenos naturales al año, medidas en millones de pesos.</t>
  </si>
  <si>
    <t>Ambientales</t>
  </si>
  <si>
    <t>Número de hectáreas de ecosistemas naturales en jurisdicción de las Corporaciones (bosques naturales, páramos y humedales).</t>
  </si>
  <si>
    <t>Tipos de ecosistemas en la jurisdicción de las Corporaciones.</t>
  </si>
  <si>
    <t>Número de especies amenazadas.</t>
  </si>
  <si>
    <t>Índice de fragmentación de bosques.</t>
  </si>
  <si>
    <t>Tasa promedio anual de deforestación.</t>
  </si>
  <si>
    <t>Índice de conservación de suelos.</t>
  </si>
  <si>
    <t>Caudal mínimo anual de la corriente en cada bocatoma de acueductos en centros poblados, medido en litros por segundo (l/seg).</t>
  </si>
  <si>
    <t>Índice de calidad de agua en la corriente, aguas arriba de las bocatomas de cabeceras municipales.</t>
  </si>
  <si>
    <t>Consumo de agua per cápita (residencial), medido en litros por habitante por día, (l/ hab./día).</t>
  </si>
  <si>
    <t>Número de hectáreas de cobertura boscosa en cuencas abastecedoras de acueductos.</t>
  </si>
  <si>
    <t>Porcentaje de energía consumida de fuentes renovables con respecto al total de energía consumida.</t>
  </si>
  <si>
    <t>Consumo de agua por unidad de producción (industrial y comercial).</t>
  </si>
  <si>
    <t>Consumo de agua en el sector agrícola (por hectárea) y pecuario (por cabeza).</t>
  </si>
  <si>
    <t>Número de especies de fauna y flora vinculadas a procesos de mercados verdes.</t>
  </si>
  <si>
    <t>Toneladas de residuos sólidos aprovechados.</t>
  </si>
  <si>
    <t>Número de empresas, grupos asociativos y comunidades organizadas, dedicadas a mercados verdes.</t>
  </si>
  <si>
    <t>Índice de calidad de aire en las localidades de especial interés por contaminación atmosférica.</t>
  </si>
  <si>
    <t>Concentración de agentes patógenos entéricos en cada bocatoma de acueductos en centros poblados.</t>
  </si>
  <si>
    <t>Accesibilidad a agua potable para consumo humano.</t>
  </si>
  <si>
    <t>Disponibilidad efectiva de sistemas de tratamiento de aguas residuales domésticas.</t>
  </si>
  <si>
    <t>Toneladas de residuos sólidos dispuestos inadecuadamente.</t>
  </si>
  <si>
    <t>Población localizada en áreas susceptibles de inundación.</t>
  </si>
  <si>
    <t>Población localizada en áreas susceptibles a deslizamientos.</t>
  </si>
  <si>
    <t>Número de hectáreas susceptibles a afectación por incendios forestales.</t>
  </si>
  <si>
    <t>Gestión</t>
  </si>
  <si>
    <t>Medir las acciones de Planificación, Ordenamiento y Coordinación Ambiental:</t>
  </si>
  <si>
    <t>Porcentaje de avance en la formulación y/o ajuste de los Planes de Ordenación y Manejo de Cuencas (POMCAS), Planes de Manejo de Acuíferos (PMA) y Planes de Manejo de Microcuencas (PMM).</t>
  </si>
  <si>
    <t>Porcentaje de cuerpos de agua con plan de ordenamiento del recurso hídrico (PORH) adoptados.</t>
  </si>
  <si>
    <t>Porcentaje de entes territoriales asesorados en la incorporación, planificación y ejecución de acciones relacionadas con cambio climático en el marco de los instrumentos de planificación territorial.</t>
  </si>
  <si>
    <t xml:space="preserve">Porcentaje de la superficie de áreas protegidas regionales declaradas, homologadas o recategorizadas, inscritas en el RUNAP </t>
  </si>
  <si>
    <t>Porcentaje de avance en la formulación del Plan de Ordenación Forestal.</t>
  </si>
  <si>
    <t>Porcentaje de páramos delimitados por el MADS, con zonificación y régimen de usos adoptados por la CAR.</t>
  </si>
  <si>
    <t>Porcentaje de municipios asesorados o asistidos en la inclusión del componente ambiental en los procesos de planificación y ordenamiento territorial, con énfasis en la incorporación de las determinantes ambientales para la revisión y ajuste de los POT.</t>
  </si>
  <si>
    <t>Porcentaje de redes y estaciones de monitoreo en operación.</t>
  </si>
  <si>
    <t>Porcentaje de actualización y reporte de la información en el SIAC.</t>
  </si>
  <si>
    <t>Medir las acciones de Administración, Control y Vigilancia del ambiente, sus recursos naturales renovables y ecosistemas estratégicos:</t>
  </si>
  <si>
    <t>Porcentaje de Planes de Saneamiento y Manejo de Vertimientos (PSMV) con seguimiento.</t>
  </si>
  <si>
    <t>Porcentaje de cuerpos de agua con reglamentación del uso de las aguas.</t>
  </si>
  <si>
    <t>Porcentaje de Programas de Uso Eficiente y Ahorro del Agua (PUEAA) con seguimiento.</t>
  </si>
  <si>
    <t>Porcentaje de Planes de Gestión Integral de Residuos Sólidos (PGIRS) con seguimiento a metas de aprovechamiento.</t>
  </si>
  <si>
    <t>Porcentaje de autorizaciones ambientales con seguimiento.</t>
  </si>
  <si>
    <t>Tiempo promedio de trámite para la resolución de autorizaciones ambientales otorgadas por la corporación.</t>
  </si>
  <si>
    <t>Porcentaje de Procesos Sancionatorios Resueltos.</t>
  </si>
  <si>
    <t>Medir las acciones de Protección Ambiental y Planificación del Desarrollo Sostenible.</t>
  </si>
  <si>
    <t>Porcentaje de Planes de Ordenación y Manejo de Cuencas (POMCAS), Planes de Manejo de Acuíferos (PMA) y Planes de Manejo de Microcuencas (PMM) en ejecución.</t>
  </si>
  <si>
    <t>Porcentaje de suelos degradados en recuperación o rehabilitación.</t>
  </si>
  <si>
    <t>Porcentaje de áreas protegidas con planes de manejo en ejecución.</t>
  </si>
  <si>
    <t>Porcentaje de especies amenazadas con medidas de conservación y manejo en ejecución.</t>
  </si>
  <si>
    <t>Porcentaje de especies invasoras con medidas de prevención, control y manejo en ejecución.</t>
  </si>
  <si>
    <t>Porcentaje de áreas de ecosistemas en restauración, rehabilitación y reforestación.</t>
  </si>
  <si>
    <t>Implementación de acciones en manejo integrado de zonas costeras.</t>
  </si>
  <si>
    <t>Porcentaje de sectores con acompañamiento para la reconversión hacia sistemas sostenibles de producción.</t>
  </si>
  <si>
    <t>Ejecución de acciones en gestión ambiental urbana.</t>
  </si>
  <si>
    <t>Implementación del programa regional de negocios verdes por la autoridad ambiental.</t>
  </si>
  <si>
    <t>Ejecución de acciones en educación ambiental.</t>
  </si>
  <si>
    <r>
      <rPr>
        <b/>
        <sz val="10"/>
        <color theme="1"/>
        <rFont val="Arial Narrow"/>
        <family val="2"/>
      </rPr>
      <t>Línea 1:</t>
    </r>
    <r>
      <rPr>
        <sz val="10"/>
        <color theme="1"/>
        <rFont val="Arial Narrow"/>
        <family val="2"/>
      </rPr>
      <t xml:space="preserve"> Planificación ambiental territorial y protección de áreas que proveen servicios ecosistémicos.</t>
    </r>
  </si>
  <si>
    <t>No.</t>
  </si>
  <si>
    <t>Componente</t>
  </si>
  <si>
    <t>Reto</t>
  </si>
  <si>
    <t>Indicadores de resultado</t>
  </si>
  <si>
    <t>línea base</t>
  </si>
  <si>
    <t>Referenciación</t>
  </si>
  <si>
    <t>Línea base</t>
  </si>
  <si>
    <t>Meta</t>
  </si>
  <si>
    <t>Actores</t>
  </si>
  <si>
    <t>Protección de biodiversidad y servicios ecosistémicos</t>
  </si>
  <si>
    <t>Aumentar la superficie de áreas protegidas y otras estrategias de conservación en la jurisdicción</t>
  </si>
  <si>
    <t>15.1.1. Hectáreas de áreas protegidas (ha) declaradas en la vigencia del PGAR</t>
  </si>
  <si>
    <t>329.604,7 ha</t>
  </si>
  <si>
    <t>350.000 ha</t>
  </si>
  <si>
    <t>Objetivo de desarrollo sostenible</t>
  </si>
  <si>
    <t xml:space="preserve">▪ Colombia: 62.168.854.403 ha
▪ PGAR: 329.604,7 ha </t>
  </si>
  <si>
    <r>
      <t xml:space="preserve">▪ Agenda 2030: 30.620.000 ha
▪ PGAR: 350.000 ha (corresponden al REAA) de un total de 1.080.713,1 ha factibles de proteger.
</t>
    </r>
    <r>
      <rPr>
        <b/>
        <sz val="10"/>
        <color theme="1"/>
        <rFont val="Arial Narrow"/>
        <family val="2"/>
      </rPr>
      <t xml:space="preserve">Nota: </t>
    </r>
    <r>
      <rPr>
        <sz val="10"/>
        <color theme="1"/>
        <rFont val="Arial Narrow"/>
        <family val="2"/>
      </rPr>
      <t xml:space="preserve">Se sumarían unas 680.000 ha que corresponderían al 20% del territorio corporativo. </t>
    </r>
  </si>
  <si>
    <t xml:space="preserve">▪ Comunidades
▪ Gobernación de Antioquia.
▪ Municipios de la jurisdicción.
▪ ONG´s nacionales e internacionales afines al tema de la conservación de áreas protegidas.
▪ Sector público y privado con incidencia en áreas de conservación, que puedan hacer inversión como parte de sus estrategias de actuación. </t>
  </si>
  <si>
    <t>Hectáreas en otras estrategias de conservación en la jurisdicción adoptadas en la vigencia del PGAR</t>
  </si>
  <si>
    <t>510.744 ha</t>
  </si>
  <si>
    <t>150.000 ha</t>
  </si>
  <si>
    <t>Corantioquia</t>
  </si>
  <si>
    <t>PGAR: 510.744 ha</t>
  </si>
  <si>
    <t>PGAR: 150.000 ha</t>
  </si>
  <si>
    <t>Proteger el agua como derecho y medio de vida, en el marco de la planeación integral de las cuencas hidrográficas</t>
  </si>
  <si>
    <t>6.4.1 Subzonas hidrográficas con Índice de Uso del Agua (IUA) muy alto o crítico (%)</t>
  </si>
  <si>
    <t>14,7%</t>
  </si>
  <si>
    <r>
      <rPr>
        <b/>
        <sz val="10"/>
        <color theme="1"/>
        <rFont val="Arial Narrow"/>
        <family val="2"/>
      </rPr>
      <t>PGAR (2016):</t>
    </r>
    <r>
      <rPr>
        <sz val="10"/>
        <color theme="1"/>
        <rFont val="Arial Narrow"/>
        <family val="2"/>
      </rPr>
      <t xml:space="preserve"> 14.7% muy alto, fuente: ERA</t>
    </r>
  </si>
  <si>
    <r>
      <t xml:space="preserve">▪ </t>
    </r>
    <r>
      <rPr>
        <b/>
        <sz val="10"/>
        <rFont val="Arial Narrow"/>
        <family val="2"/>
      </rPr>
      <t>Agenda 2030:</t>
    </r>
    <r>
      <rPr>
        <sz val="10"/>
        <rFont val="Arial Narrow"/>
        <family val="2"/>
      </rPr>
      <t xml:space="preserve"> 17.8% 
▪ </t>
    </r>
    <r>
      <rPr>
        <b/>
        <sz val="10"/>
        <rFont val="Arial Narrow"/>
        <family val="2"/>
      </rPr>
      <t>PGAR:</t>
    </r>
    <r>
      <rPr>
        <sz val="10"/>
        <rFont val="Arial Narrow"/>
        <family val="2"/>
      </rPr>
      <t xml:space="preserve"> 14.7% (Mantener, 5 subzonas hidrográficas con Índice de Uso del Agua (IUA) muy alto o crítico /34 subzonas hidrográficas)</t>
    </r>
  </si>
  <si>
    <t>▪ Asociaciones de pequeños y medianos productores  
▪ Comunidades Étnicas
▪ Gobernación de Antioquia.
▪ Ministerio de Ambiente y Desarrollo Sostenible 
▪ Municipios de la jurisdicción 
▪ ONG 
▪ Sector académico/Institutos de investigación  
▪ Sectores productivos</t>
  </si>
  <si>
    <t>Hectáreas de humedales con acciones de manejo</t>
  </si>
  <si>
    <r>
      <rPr>
        <sz val="10"/>
        <color theme="1"/>
        <rFont val="Calibri"/>
        <family val="2"/>
      </rPr>
      <t>•</t>
    </r>
    <r>
      <rPr>
        <sz val="10"/>
        <color theme="1"/>
        <rFont val="Arial Narrow"/>
        <family val="2"/>
      </rPr>
      <t xml:space="preserve"> ha con acciones de conservación: </t>
    </r>
    <r>
      <rPr>
        <sz val="10"/>
        <rFont val="Arial Narrow"/>
        <family val="2"/>
      </rPr>
      <t>45.463,86 ha</t>
    </r>
    <r>
      <rPr>
        <sz val="10"/>
        <color theme="1"/>
        <rFont val="Arial Narrow"/>
        <family val="2"/>
      </rPr>
      <t xml:space="preserve">
</t>
    </r>
    <r>
      <rPr>
        <sz val="10"/>
        <color theme="1"/>
        <rFont val="Calibri"/>
        <family val="2"/>
      </rPr>
      <t>•</t>
    </r>
    <r>
      <rPr>
        <sz val="10"/>
        <color theme="1"/>
        <rFont val="Arial Narrow"/>
        <family val="2"/>
      </rPr>
      <t xml:space="preserve"> ha totales de humedales: 315.543 ha</t>
    </r>
  </si>
  <si>
    <t>10% adicional de ha de humedales con acciones de conservación respecto a la línea base 2019, lo que equivale a 4.546,39 ha</t>
  </si>
  <si>
    <t>Rondas hídricas priorizadas delimitadas y reguladas (%)</t>
  </si>
  <si>
    <t>100% de las rondas hídricas priorizadas</t>
  </si>
  <si>
    <t>Hectáreas de las cuencas abastecedoras con acciones de manejo</t>
  </si>
  <si>
    <r>
      <rPr>
        <sz val="10"/>
        <color theme="1"/>
        <rFont val="Calibri"/>
        <family val="2"/>
      </rPr>
      <t>•</t>
    </r>
    <r>
      <rPr>
        <sz val="10"/>
        <color theme="1"/>
        <rFont val="Arial Narrow"/>
        <family val="2"/>
      </rPr>
      <t xml:space="preserve"> ha de cuencas abastecedoras con acciones de conservación: </t>
    </r>
    <r>
      <rPr>
        <sz val="10"/>
        <rFont val="Arial Narrow"/>
        <family val="2"/>
      </rPr>
      <t>26.053,06 ha.</t>
    </r>
    <r>
      <rPr>
        <sz val="10"/>
        <color theme="1"/>
        <rFont val="Arial Narrow"/>
        <family val="2"/>
      </rPr>
      <t xml:space="preserve">
</t>
    </r>
    <r>
      <rPr>
        <sz val="10"/>
        <color theme="1"/>
        <rFont val="Calibri"/>
        <family val="2"/>
      </rPr>
      <t>•</t>
    </r>
    <r>
      <rPr>
        <sz val="10"/>
        <color theme="1"/>
        <rFont val="Arial Narrow"/>
        <family val="2"/>
      </rPr>
      <t xml:space="preserve"> ha totales de las cuencas abastecedoras: 138.903 ha.</t>
    </r>
  </si>
  <si>
    <t>10% adicional de la superficie total de cuencas abastecedoras con acciones y medidas de protección respecto a la línea base 2019, lo que equivale a 2.605,31 ha</t>
  </si>
  <si>
    <t>Hectáreas de cobertura boscosa en cuencas abastecedoras de acueductos y en ecosistemas estratégicos</t>
  </si>
  <si>
    <t>18.633,45 ha</t>
  </si>
  <si>
    <t>23.633,5 ha</t>
  </si>
  <si>
    <t>Resolución 667 de 2016</t>
  </si>
  <si>
    <r>
      <rPr>
        <b/>
        <sz val="10"/>
        <color theme="1"/>
        <rFont val="Arial Narrow"/>
        <family val="2"/>
      </rPr>
      <t>▪ PGAR (ha conservadas entre los años 2013 al 2019):</t>
    </r>
    <r>
      <rPr>
        <sz val="10"/>
        <color theme="1"/>
        <rFont val="Arial Narrow"/>
        <family val="2"/>
      </rPr>
      <t xml:space="preserve"> 7000 ha
▪ </t>
    </r>
    <r>
      <rPr>
        <b/>
        <sz val="10"/>
        <color theme="1"/>
        <rFont val="Arial Narrow"/>
        <family val="2"/>
      </rPr>
      <t>Línea base PGAR 2019:</t>
    </r>
    <r>
      <rPr>
        <sz val="10"/>
        <color theme="1"/>
        <rFont val="Arial Narrow"/>
        <family val="2"/>
      </rPr>
      <t xml:space="preserve"> 18.633 ha (cuencas, bosques, humedales, bosques asociados y páramos)</t>
    </r>
  </si>
  <si>
    <r>
      <rPr>
        <b/>
        <sz val="10"/>
        <rFont val="Arial Narrow"/>
        <family val="2"/>
      </rPr>
      <t>PGAR:</t>
    </r>
    <r>
      <rPr>
        <sz val="10"/>
        <rFont val="Arial Narrow"/>
        <family val="2"/>
      </rPr>
      <t xml:space="preserve"> 23.633.5 ha, lo que implica 5000 ha adicionales a las 18.633 ha existentes por parte de Corantioquia</t>
    </r>
    <r>
      <rPr>
        <sz val="10"/>
        <color rgb="FFFF0000"/>
        <rFont val="Arial Narrow"/>
        <family val="2"/>
      </rPr>
      <t/>
    </r>
  </si>
  <si>
    <t>Cuerpos de agua con plan de ordenamiento del recurso hídrico (PORH) adoptados (%)</t>
  </si>
  <si>
    <r>
      <rPr>
        <b/>
        <sz val="10"/>
        <color theme="1"/>
        <rFont val="Arial Narrow"/>
        <family val="2"/>
      </rPr>
      <t>PGAR:</t>
    </r>
    <r>
      <rPr>
        <sz val="10"/>
        <color theme="1"/>
        <rFont val="Arial Narrow"/>
        <family val="2"/>
      </rPr>
      <t xml:space="preserve"> 24,6% de los cuerpos de agua con PORH (17 PORH de un total de 69).</t>
    </r>
  </si>
  <si>
    <r>
      <rPr>
        <b/>
        <sz val="10"/>
        <color theme="1"/>
        <rFont val="Arial Narrow"/>
        <family val="2"/>
      </rPr>
      <t>PGAR:</t>
    </r>
    <r>
      <rPr>
        <sz val="10"/>
        <color theme="1"/>
        <rFont val="Arial Narrow"/>
        <family val="2"/>
      </rPr>
      <t xml:space="preserve"> 46,4% de los cuerpos de agua (equivalente a formular 15 PORH adicionales a los 17 existentes de un total de 69 cuerpos de agua receptores de vertimientos)</t>
    </r>
  </si>
  <si>
    <t>36,0%</t>
  </si>
  <si>
    <t>100,0%</t>
  </si>
  <si>
    <t>Política Nacional para la Gestión Integral del Recurso Hídrico y Resolución 667 de 2016</t>
  </si>
  <si>
    <r>
      <rPr>
        <b/>
        <sz val="10"/>
        <color theme="1"/>
        <rFont val="Arial Narrow"/>
        <family val="2"/>
      </rPr>
      <t xml:space="preserve">Línea base PGAR (2019): </t>
    </r>
    <r>
      <rPr>
        <sz val="10"/>
        <color theme="1"/>
        <rFont val="Arial Narrow"/>
        <family val="2"/>
      </rPr>
      <t>36% (4 corrientes reglamentadas de un total de 11 corrientes priorizadas según planes programáticos de los PORH de los Ríos Aurra, ITe,  Amagá, Mulatos y Quebrada La Sopetrana y POMCA del Río Aurra)</t>
    </r>
  </si>
  <si>
    <r>
      <rPr>
        <b/>
        <sz val="10"/>
        <color theme="1"/>
        <rFont val="Arial Narrow"/>
        <family val="2"/>
      </rPr>
      <t xml:space="preserve">Meta PGAR: </t>
    </r>
    <r>
      <rPr>
        <sz val="10"/>
        <color theme="1"/>
        <rFont val="Arial Narrow"/>
        <family val="2"/>
      </rPr>
      <t>100% de los priorizados por los instrumentos de planificación hidrológica (7 en total) o derivados control y seguimiento al territorio.</t>
    </r>
  </si>
  <si>
    <t>Política Nacional para la Gestión Integral del Recurso Hídrico</t>
  </si>
  <si>
    <r>
      <rPr>
        <b/>
        <sz val="10"/>
        <color theme="1"/>
        <rFont val="Arial Narrow"/>
        <family val="2"/>
      </rPr>
      <t>PGAR (2018):</t>
    </r>
    <r>
      <rPr>
        <sz val="10"/>
        <color theme="1"/>
        <rFont val="Arial Narrow"/>
        <family val="2"/>
      </rPr>
      <t xml:space="preserve"> El 86 % de los cuerpos de agua cumplieron con el límite establecido para el parámetro DBO</t>
    </r>
    <r>
      <rPr>
        <vertAlign val="subscript"/>
        <sz val="10"/>
        <color theme="1"/>
        <rFont val="Arial Narrow"/>
        <family val="2"/>
      </rPr>
      <t>5</t>
    </r>
    <r>
      <rPr>
        <sz val="10"/>
        <color theme="1"/>
        <rFont val="Arial Narrow"/>
        <family val="2"/>
      </rPr>
      <t>, mientras que para el parámetro SST se tuvo un cumplimiento del 30%. (Según Resolución 9503 de 2007)</t>
    </r>
  </si>
  <si>
    <r>
      <rPr>
        <b/>
        <sz val="10"/>
        <color theme="1"/>
        <rFont val="Arial Narrow"/>
        <family val="2"/>
      </rPr>
      <t xml:space="preserve">PGAR: </t>
    </r>
    <r>
      <rPr>
        <sz val="10"/>
        <color theme="1"/>
        <rFont val="Arial Narrow"/>
        <family val="2"/>
      </rPr>
      <t>90% para DBO</t>
    </r>
    <r>
      <rPr>
        <vertAlign val="subscript"/>
        <sz val="10"/>
        <color theme="1"/>
        <rFont val="Arial Narrow"/>
        <family val="2"/>
      </rPr>
      <t>5</t>
    </r>
    <r>
      <rPr>
        <sz val="10"/>
        <color theme="1"/>
        <rFont val="Arial Narrow"/>
        <family val="2"/>
      </rPr>
      <t xml:space="preserve"> (63 cuerpos de agua con objetivos de calidad alcanzados /70 total cuerpos de agua con objetivos de calidad establecidos), 40% para SST (28 cuerpos de agua con objetivos de calidad alcanzados /70 total cuerpos de agua con objetivos de calidad establecidos) (Se aplica la Resolución 040-RES1806-3603)</t>
    </r>
  </si>
  <si>
    <t>Administrar efectivamente las áreas protegidas y otras estrategias de conservación</t>
  </si>
  <si>
    <t>Efectividad del manejo de áreas protegidas declaradas priorizadas</t>
  </si>
  <si>
    <t>Sin medir</t>
  </si>
  <si>
    <t>90% en áreas declaradas con 5 años de anterioridad</t>
  </si>
  <si>
    <t>Sin medición</t>
  </si>
  <si>
    <t>Efectividad mayor al 90% en áreas declaradas con 5 años de anterioridad</t>
  </si>
  <si>
    <r>
      <t xml:space="preserve">▪ Gobernación de Antioquia
▪ Institutos de investigación del Sistema Nacional Ambiental - SINA
▪ Municipios de la jurisdicción
▪ Parques Nacionales Naturales 
</t>
    </r>
    <r>
      <rPr>
        <sz val="10"/>
        <color theme="1"/>
        <rFont val="Calibri"/>
        <family val="2"/>
      </rPr>
      <t/>
    </r>
  </si>
  <si>
    <t>Efectividad del manejo de estrategias complementarias de conservación priorizadas</t>
  </si>
  <si>
    <t>90% en áreas adoptadas con 5 años de anterioridad</t>
  </si>
  <si>
    <t>Efectividad mayor al 90% en áreas adoptadas con 5 años de anterioridad</t>
  </si>
  <si>
    <t>Aumentar la conectividad y diversidad biológica en predios públicos y privados para consolidar la estructura ecológica del territorio</t>
  </si>
  <si>
    <t xml:space="preserve">Interacciones negativas de la actividad humana con la fauna silvestre priorizada </t>
  </si>
  <si>
    <r>
      <t xml:space="preserve">2004-2019: </t>
    </r>
    <r>
      <rPr>
        <sz val="10"/>
        <rFont val="Arial Narrow"/>
        <family val="2"/>
      </rPr>
      <t>208 interacciones negativas con felinos (Fuente: PQRS - Factor clave)</t>
    </r>
  </si>
  <si>
    <t>Disminución del 50% de los conflictos que se identifiquen en la línea base (104)</t>
  </si>
  <si>
    <r>
      <t xml:space="preserve">Línea base PGAR (2004-2019): </t>
    </r>
    <r>
      <rPr>
        <sz val="10"/>
        <rFont val="Arial Narrow"/>
        <family val="2"/>
      </rPr>
      <t>208 interacciones negativas con felinos (Fuente: PQRS - Factor clave)</t>
    </r>
  </si>
  <si>
    <t>50% de los conflictos que se identifiquen en la línea base (104)</t>
  </si>
  <si>
    <t>Hectáreas que generan conectividad biológica entre áreas priorizadas</t>
  </si>
  <si>
    <t>• ha totales de conectividad entre áreas estratégicas naturales: 190.165
• ha con acciones de conectividad: 128.303</t>
  </si>
  <si>
    <t>10% adicional de ha de conectividad entre áreas estratégicas respecto a la línea base 2019, lo que equivale a 12.830,3 ha</t>
  </si>
  <si>
    <r>
      <rPr>
        <sz val="10"/>
        <rFont val="Calibri"/>
        <family val="2"/>
      </rPr>
      <t>•</t>
    </r>
    <r>
      <rPr>
        <sz val="10"/>
        <rFont val="Arial Narrow"/>
        <family val="2"/>
      </rPr>
      <t xml:space="preserve"> ha totales de conectividad entre áreas estratégicas naturales: 190.165
</t>
    </r>
    <r>
      <rPr>
        <sz val="10"/>
        <rFont val="Calibri"/>
        <family val="2"/>
      </rPr>
      <t>•</t>
    </r>
    <r>
      <rPr>
        <sz val="10"/>
        <rFont val="Arial Narrow"/>
        <family val="2"/>
      </rPr>
      <t xml:space="preserve"> ha con acciones de conectividad: 128.303</t>
    </r>
  </si>
  <si>
    <t>Hectáreas de coberturas boscosas al interior de áreas protegidas y otros instrumentos de conservación, que generan conectividad biológica dentro de cada área</t>
  </si>
  <si>
    <t>• ha con acciones de conservación dentro de las áreas protegidas y otros instrumentos de conservación: 1.191.717,18 ha
• ha de áreas protegidas corporativas: 332.877 ha</t>
  </si>
  <si>
    <t xml:space="preserve">10% adicional de ha a la proporción conectividad actual respecto a la línea base 2019, lo que equivale a 119.171,72 ha
</t>
  </si>
  <si>
    <r>
      <rPr>
        <sz val="10"/>
        <rFont val="Calibri"/>
        <family val="2"/>
      </rPr>
      <t>•</t>
    </r>
    <r>
      <rPr>
        <sz val="10"/>
        <rFont val="Arial Narrow"/>
        <family val="2"/>
      </rPr>
      <t xml:space="preserve"> ha con acciones de conservación dentro de las áreas protegidas y otros instrumentos de conservación: 1.191.717,18 ha
</t>
    </r>
    <r>
      <rPr>
        <sz val="10"/>
        <rFont val="Calibri"/>
        <family val="2"/>
      </rPr>
      <t>•</t>
    </r>
    <r>
      <rPr>
        <sz val="10"/>
        <rFont val="Arial Narrow"/>
        <family val="2"/>
      </rPr>
      <t xml:space="preserve"> ha de áreas protegidas corporativas: 332.877 ha</t>
    </r>
  </si>
  <si>
    <t>Identificar, proteger y manejar los elementos naturales del espacio público</t>
  </si>
  <si>
    <t>Decreto 1077 de 2015</t>
  </si>
  <si>
    <r>
      <t xml:space="preserve">▪ </t>
    </r>
    <r>
      <rPr>
        <b/>
        <sz val="10"/>
        <rFont val="Arial Narrow"/>
        <family val="2"/>
      </rPr>
      <t>Valor de referencia superficie verde por habitante:</t>
    </r>
    <r>
      <rPr>
        <sz val="10"/>
        <rFont val="Arial Narrow"/>
        <family val="2"/>
      </rPr>
      <t xml:space="preserve"> Mayor a 7,5 m</t>
    </r>
    <r>
      <rPr>
        <vertAlign val="superscript"/>
        <sz val="10"/>
        <rFont val="Arial Narrow"/>
        <family val="2"/>
      </rPr>
      <t>2</t>
    </r>
    <r>
      <rPr>
        <sz val="10"/>
        <rFont val="Arial Narrow"/>
        <family val="2"/>
      </rPr>
      <t xml:space="preserve">/hab. 
▪ </t>
    </r>
    <r>
      <rPr>
        <b/>
        <sz val="10"/>
        <rFont val="Arial Narrow"/>
        <family val="2"/>
      </rPr>
      <t>Valor de referencia EPEH</t>
    </r>
    <r>
      <rPr>
        <sz val="10"/>
        <rFont val="Arial Narrow"/>
        <family val="2"/>
      </rPr>
      <t>: Mayor a 6 m</t>
    </r>
    <r>
      <rPr>
        <vertAlign val="superscript"/>
        <sz val="10"/>
        <rFont val="Arial Narrow"/>
        <family val="2"/>
      </rPr>
      <t>2</t>
    </r>
    <r>
      <rPr>
        <sz val="10"/>
        <rFont val="Arial Narrow"/>
        <family val="2"/>
      </rPr>
      <t xml:space="preserve">/hab.
▪ </t>
    </r>
    <r>
      <rPr>
        <b/>
        <sz val="10"/>
        <rFont val="Arial Narrow"/>
        <family val="2"/>
      </rPr>
      <t>Línea base Medellín superficie verde por habitante:</t>
    </r>
    <r>
      <rPr>
        <sz val="10"/>
        <rFont val="Arial Narrow"/>
        <family val="2"/>
      </rPr>
      <t xml:space="preserve"> 9.36 m</t>
    </r>
    <r>
      <rPr>
        <vertAlign val="superscript"/>
        <sz val="10"/>
        <rFont val="Arial Narrow"/>
        <family val="2"/>
      </rPr>
      <t>2</t>
    </r>
    <r>
      <rPr>
        <sz val="10"/>
        <rFont val="Arial Narrow"/>
        <family val="2"/>
      </rPr>
      <t xml:space="preserve">/hab. 
▪ </t>
    </r>
    <r>
      <rPr>
        <b/>
        <sz val="10"/>
        <rFont val="Arial Narrow"/>
        <family val="2"/>
      </rPr>
      <t>Línea base Bogotá superficie verde por habitante:</t>
    </r>
    <r>
      <rPr>
        <sz val="10"/>
        <rFont val="Arial Narrow"/>
        <family val="2"/>
      </rPr>
      <t xml:space="preserve"> 3.9 m</t>
    </r>
    <r>
      <rPr>
        <vertAlign val="superscript"/>
        <sz val="10"/>
        <rFont val="Arial Narrow"/>
        <family val="2"/>
      </rPr>
      <t>2</t>
    </r>
    <r>
      <rPr>
        <sz val="10"/>
        <rFont val="Arial Narrow"/>
        <family val="2"/>
      </rPr>
      <t xml:space="preserve">/hab. 
▪ </t>
    </r>
    <r>
      <rPr>
        <b/>
        <sz val="10"/>
        <rFont val="Arial Narrow"/>
        <family val="2"/>
      </rPr>
      <t>Línea base Medellín EPEH (2013):</t>
    </r>
    <r>
      <rPr>
        <sz val="10"/>
        <rFont val="Arial Narrow"/>
        <family val="2"/>
      </rPr>
      <t xml:space="preserve"> 3.80 m</t>
    </r>
    <r>
      <rPr>
        <vertAlign val="superscript"/>
        <sz val="10"/>
        <rFont val="Arial Narrow"/>
        <family val="2"/>
      </rPr>
      <t>2</t>
    </r>
    <r>
      <rPr>
        <sz val="10"/>
        <rFont val="Arial Narrow"/>
        <family val="2"/>
      </rPr>
      <t xml:space="preserve">/habitante 
▪ </t>
    </r>
    <r>
      <rPr>
        <b/>
        <sz val="10"/>
        <rFont val="Arial Narrow"/>
        <family val="2"/>
      </rPr>
      <t>Línea base Bogotá EPEH (2013):</t>
    </r>
    <r>
      <rPr>
        <sz val="10"/>
        <rFont val="Arial Narrow"/>
        <family val="2"/>
      </rPr>
      <t xml:space="preserve"> 4.5 m</t>
    </r>
    <r>
      <rPr>
        <vertAlign val="superscript"/>
        <sz val="10"/>
        <rFont val="Arial Narrow"/>
        <family val="2"/>
      </rPr>
      <t>2</t>
    </r>
    <r>
      <rPr>
        <sz val="10"/>
        <rFont val="Arial Narrow"/>
        <family val="2"/>
      </rPr>
      <t xml:space="preserve">/habitante.
▪ </t>
    </r>
    <r>
      <rPr>
        <b/>
        <sz val="10"/>
        <rFont val="Arial Narrow"/>
        <family val="2"/>
      </rPr>
      <t>Línea base PGAR:</t>
    </r>
    <r>
      <rPr>
        <sz val="10"/>
        <rFont val="Arial Narrow"/>
        <family val="2"/>
      </rPr>
      <t xml:space="preserve"> Sin medir.</t>
    </r>
  </si>
  <si>
    <r>
      <rPr>
        <b/>
        <sz val="10"/>
        <color theme="1"/>
        <rFont val="Arial Narrow"/>
        <family val="2"/>
      </rPr>
      <t>▪ Meta Colombia (Decreto 1077 de 2015, artículo 2.2.3.2.7) Índice mínimo de EPEH:</t>
    </r>
    <r>
      <rPr>
        <sz val="10"/>
        <color theme="1"/>
        <rFont val="Arial Narrow"/>
        <family val="2"/>
      </rPr>
      <t xml:space="preserve"> 15 m</t>
    </r>
    <r>
      <rPr>
        <vertAlign val="superscript"/>
        <sz val="10"/>
        <color theme="1"/>
        <rFont val="Arial Narrow"/>
        <family val="2"/>
      </rPr>
      <t>2</t>
    </r>
    <r>
      <rPr>
        <sz val="10"/>
        <color theme="1"/>
        <rFont val="Arial Narrow"/>
        <family val="2"/>
      </rPr>
      <t xml:space="preserve">/hab. 
▪ </t>
    </r>
    <r>
      <rPr>
        <b/>
        <sz val="10"/>
        <color theme="1"/>
        <rFont val="Arial Narrow"/>
        <family val="2"/>
      </rPr>
      <t>Meta superficie verde por habitante (OMS):</t>
    </r>
    <r>
      <rPr>
        <sz val="10"/>
        <color theme="1"/>
        <rFont val="Arial Narrow"/>
        <family val="2"/>
      </rPr>
      <t xml:space="preserve"> 9 m</t>
    </r>
    <r>
      <rPr>
        <vertAlign val="superscript"/>
        <sz val="10"/>
        <color theme="1"/>
        <rFont val="Arial Narrow"/>
        <family val="2"/>
      </rPr>
      <t>2</t>
    </r>
    <r>
      <rPr>
        <sz val="10"/>
        <color theme="1"/>
        <rFont val="Arial Narrow"/>
        <family val="2"/>
      </rPr>
      <t xml:space="preserve">/hab. 
▪ </t>
    </r>
    <r>
      <rPr>
        <b/>
        <sz val="10"/>
        <color theme="1"/>
        <rFont val="Arial Narrow"/>
        <family val="2"/>
      </rPr>
      <t xml:space="preserve">Meta PGAR: </t>
    </r>
    <r>
      <rPr>
        <sz val="10"/>
        <color theme="1"/>
        <rFont val="Arial Narrow"/>
        <family val="2"/>
      </rPr>
      <t>Aumentar el área de elementos naturales de espacio público en el 30% de los asentamientos humanos con más de 30.000 habitantes, y el 20% en asentamientos humanos de menos de 30.000 habitantes.</t>
    </r>
  </si>
  <si>
    <t xml:space="preserve">▪ Academia  
▪ Gobernación de Antioquia  
▪ Gremios, en especial de la construcción 
▪ Institutos de investigación 
▪ Ministerio de Ambiente y Desarrollo Sostenible 
▪ Ministerio de Vivienda, Ciudad y Territorio 
▪ Municipios de la jurisdicción  
▪ Sociedad civil </t>
  </si>
  <si>
    <t xml:space="preserve">Deforestación 2010-2018: 87.000 ha
Mapa de área degradadas 2010-2011: 160.000 ha.
Humedales degradados: 4.052 ha 
Suelos degradados por minería (títulos mineros no diferenciados): 14.285 ha </t>
  </si>
  <si>
    <t>30.000 ha</t>
  </si>
  <si>
    <t>Objetivo de desarrollo sostenible/ Plan de acción de biodiversidad/ Resolución 667 de 2016</t>
  </si>
  <si>
    <t xml:space="preserve">Deforestación 2010-2018: 87.000 ha
Mapa de área degradadas 2010-2011: 160.000 ha.
Humedales degradados: 4.052 ha 
Suelos degradados por minería: 14.285 Ha </t>
  </si>
  <si>
    <r>
      <rPr>
        <b/>
        <sz val="10"/>
        <color theme="1"/>
        <rFont val="Arial Narrow"/>
        <family val="2"/>
      </rPr>
      <t>Colombia:</t>
    </r>
    <r>
      <rPr>
        <sz val="10"/>
        <color theme="1"/>
        <rFont val="Arial Narrow"/>
        <family val="2"/>
      </rPr>
      <t xml:space="preserve"> 1.000.000 ha 
</t>
    </r>
    <r>
      <rPr>
        <b/>
        <sz val="10"/>
        <color theme="1"/>
        <rFont val="Arial Narrow"/>
        <family val="2"/>
      </rPr>
      <t>PGAR Corantioquia:</t>
    </r>
    <r>
      <rPr>
        <sz val="10"/>
        <color theme="1"/>
        <rFont val="Arial Narrow"/>
        <family val="2"/>
      </rPr>
      <t xml:space="preserve"> 30.000 ha</t>
    </r>
  </si>
  <si>
    <t>▪ Corporaciones Autónomas Regionales limítrofes
▪ Gobernación de Antioquia  
▪ Gobierno Nacional 
▪ Ministerios 
▪ Municipios de la jurisdicción 
▪ Sectores productivos</t>
  </si>
  <si>
    <t>Suelos degradados en recuperación o rehabilitación (%)</t>
  </si>
  <si>
    <t>PGAR (2010-2011):  160.000 ha</t>
  </si>
  <si>
    <t>PGAR Corantioquia: 1%
PGAR resto jurisdicción: 5%
PGAR: 6%</t>
  </si>
  <si>
    <t>Armonización de lo ambiental en la planeación territorial y sectorial</t>
  </si>
  <si>
    <t>Desarrollar modelos municipales de ocupación sostenible e integración con planes étnicos</t>
  </si>
  <si>
    <r>
      <rPr>
        <b/>
        <sz val="10"/>
        <color theme="1"/>
        <rFont val="Arial Narrow"/>
        <family val="2"/>
      </rPr>
      <t>PGAR:</t>
    </r>
    <r>
      <rPr>
        <sz val="10"/>
        <color theme="1"/>
        <rFont val="Arial Narrow"/>
        <family val="2"/>
      </rPr>
      <t xml:space="preserve"> Sin medir dado que el PGAR comienza a regir a partir de 2020.</t>
    </r>
  </si>
  <si>
    <t>PGAR: 100% de municipios priorizados (teniendo en cuenta en la priorización entre otros: los ritmos de degradación ambiental y que no han actualizado su POT;  sin embargo, queda abierta la opción para que un municipio por dinámica propia realice revisión de su POT, en el momento que lo considere necesario)</t>
  </si>
  <si>
    <t>▪ Empresas consultoras. 
▪ Gobernación de Antioquia. 
▪ Departamento Nacional de Planeación – DNP. 
▪ Ministerio de Ambiente y Desarrollo Sostenible – MADS. 
▪ Ministerio de Vivienda, Ciudad y Territorio – MVCT. 
▪ Municipios de la jurisdicción.</t>
  </si>
  <si>
    <t>Planes de desarrollo que incorporan decisiones de planeación territorial de los municipios fundamentados en los POT actualizados y en las determinantes ambientales adoptadas a la fecha (%)</t>
  </si>
  <si>
    <t>100% de los planes de desarrollo territoriales acatan las decisiones ambientales</t>
  </si>
  <si>
    <t>Promover planes de acción ambientales de esquemas asociativos para la incorporación de los asuntos y determinantes ambientales</t>
  </si>
  <si>
    <t>Plan de acción de Biodiversidad</t>
  </si>
  <si>
    <r>
      <rPr>
        <b/>
        <sz val="10"/>
        <color theme="1"/>
        <rFont val="Arial Narrow"/>
        <family val="2"/>
      </rPr>
      <t>PGAR:</t>
    </r>
    <r>
      <rPr>
        <sz val="10"/>
        <color theme="1"/>
        <rFont val="Arial Narrow"/>
        <family val="2"/>
      </rPr>
      <t xml:space="preserve"> Sin medición dado que es primera vez que se afrontará este tema.</t>
    </r>
  </si>
  <si>
    <t>▪ Colombia: 100% de regiones de esquemas asociativos con modelos de ocupación integrados en lo ambiental y planes de acción ambiental y de desarrollo sostenible de orden regional  en ejecución
▪ PGAR: 100% (de los esquemas asociativos)</t>
  </si>
  <si>
    <t>▪ Departamento Nacional de Planeación – DNP.  
▪ Empresas consultoras. 
▪ Esquemas asociativos conformados. 
▪ Gobernación de Antioquia. 
▪ Ministerio de Ambiente y Desarrollo Sostenible – MADS. 
▪ Ministerio de Vivienda, Ciudad y Territorio – MVCT. 
▪ Municipios de la jurisdicción.</t>
  </si>
  <si>
    <t>Armonizar la planeación ambiental de la jurisdicción con los Planes Integrales de Gestión del Cambio Climático Sectoriales (PIGCCS)</t>
  </si>
  <si>
    <t xml:space="preserve">Entidades territoriales de la jurisdicción con su PIGCCT formulado y en concordancia con los 8 PIGCCS o los que se hayan formulado a la fecha (%) </t>
  </si>
  <si>
    <t>▪ Colombia: 100% 
▪ PGAR: 100% (es decir, los 80 municipios de la jurisdicción)</t>
  </si>
  <si>
    <t xml:space="preserve">▪ Academia 
▪ Gobernación de Antioquia  
▪ Ministerios 
▪ Municipios de la jurisdicción 
▪ Sectores productivos </t>
  </si>
  <si>
    <t>_x000D_40%</t>
  </si>
  <si>
    <r>
      <rPr>
        <b/>
        <sz val="10"/>
        <color theme="1"/>
        <rFont val="Arial Narrow"/>
        <family val="2"/>
      </rPr>
      <t>Línea 2:</t>
    </r>
    <r>
      <rPr>
        <sz val="10"/>
        <color theme="1"/>
        <rFont val="Arial Narrow"/>
        <family val="2"/>
      </rPr>
      <t xml:space="preserve"> Corresponsabilidad del sistema económico hacia territorios sostenibles</t>
    </r>
  </si>
  <si>
    <t>Modelos sostenibles desde sectores económicos, integrando el ciclo de vida del producto</t>
  </si>
  <si>
    <t xml:space="preserve">Lograr cero deforestación en cadenas productivas priorizadas </t>
  </si>
  <si>
    <r>
      <t>ha de bosques en agroecosistemas: 539.829,75 ha</t>
    </r>
    <r>
      <rPr>
        <sz val="10"/>
        <color theme="1"/>
        <rFont val="Calibri"/>
        <family val="2"/>
      </rPr>
      <t/>
    </r>
  </si>
  <si>
    <t xml:space="preserve">0 ha deforestadas de bosques en agroecosistemas </t>
  </si>
  <si>
    <r>
      <rPr>
        <b/>
        <sz val="10"/>
        <color theme="1"/>
        <rFont val="Arial Narrow"/>
        <family val="2"/>
      </rPr>
      <t>Línea base PGAR (2019)</t>
    </r>
    <r>
      <rPr>
        <sz val="10"/>
        <color theme="1"/>
        <rFont val="Arial Narrow"/>
        <family val="2"/>
      </rPr>
      <t xml:space="preserve">:
</t>
    </r>
    <r>
      <rPr>
        <sz val="10"/>
        <color theme="1"/>
        <rFont val="Calibri"/>
        <family val="2"/>
      </rPr>
      <t>•</t>
    </r>
    <r>
      <rPr>
        <sz val="10"/>
        <color theme="1"/>
        <rFont val="Arial Narrow"/>
        <family val="2"/>
      </rPr>
      <t xml:space="preserve"> ha de bosques en agroecosistemas: 539.829 ha
</t>
    </r>
    <r>
      <rPr>
        <sz val="10"/>
        <color theme="1"/>
        <rFont val="Calibri"/>
        <family val="2"/>
      </rPr>
      <t>•</t>
    </r>
    <r>
      <rPr>
        <sz val="10"/>
        <color theme="1"/>
        <rFont val="Arial Narrow"/>
        <family val="2"/>
      </rPr>
      <t xml:space="preserve"> ha totales en agroecosistemas: 1.954.943 ha</t>
    </r>
  </si>
  <si>
    <r>
      <rPr>
        <b/>
        <sz val="10"/>
        <color theme="1"/>
        <rFont val="Arial Narrow"/>
        <family val="2"/>
      </rPr>
      <t>Línea base PGAR (2019)</t>
    </r>
    <r>
      <rPr>
        <sz val="10"/>
        <color theme="1"/>
        <rFont val="Arial Narrow"/>
        <family val="2"/>
      </rPr>
      <t>: 
•  ha de ecosistemas naturales: 1.191.717 ha</t>
    </r>
  </si>
  <si>
    <t>166.380 ha de ecosistemas naturales corporativos recuperados</t>
  </si>
  <si>
    <r>
      <rPr>
        <b/>
        <sz val="10"/>
        <color theme="1"/>
        <rFont val="Arial Narrow"/>
        <family val="2"/>
      </rPr>
      <t>Línea base PGAR (2019)</t>
    </r>
    <r>
      <rPr>
        <sz val="10"/>
        <color theme="1"/>
        <rFont val="Arial Narrow"/>
        <family val="2"/>
      </rPr>
      <t>: 
•  ha de ecosistemas naturales: 1.191.717 ha
• ha totales territorio Corporativo: 3.597.025 ha</t>
    </r>
  </si>
  <si>
    <t>Mantener la visión del mapa de Ecosistemas IDEAM 2017 de 1.663.779 ha, lo cual tiene una transformación (1.663.779-1.191.717 = 472.062 ). El % de esta transformación detectada por el Plan de Ordenamiento Forestal de la Corporación es del   28,37%. Como es muy ambiciosa, proponemos recuperar el 10%, que equivalen a: 166.380 ha recuperadas</t>
  </si>
  <si>
    <t xml:space="preserve">Cero deforestación en cadenas de producción priorizadas </t>
  </si>
  <si>
    <t>Cero deforestación en por lo menos 5 cadenas productivas priorizadas</t>
  </si>
  <si>
    <r>
      <rPr>
        <b/>
        <sz val="10"/>
        <color theme="1"/>
        <rFont val="Arial Narrow"/>
        <family val="2"/>
      </rPr>
      <t>Línea base PGAR:</t>
    </r>
    <r>
      <rPr>
        <sz val="10"/>
        <color theme="1"/>
        <rFont val="Arial Narrow"/>
        <family val="2"/>
      </rPr>
      <t xml:space="preserve"> Sin medición</t>
    </r>
  </si>
  <si>
    <r>
      <rPr>
        <b/>
        <sz val="10"/>
        <color theme="1"/>
        <rFont val="Arial Narrow"/>
        <family val="2"/>
      </rPr>
      <t>PGAR:</t>
    </r>
    <r>
      <rPr>
        <sz val="10"/>
        <color theme="1"/>
        <rFont val="Arial Narrow"/>
        <family val="2"/>
      </rPr>
      <t xml:space="preserve"> </t>
    </r>
    <r>
      <rPr>
        <sz val="10"/>
        <rFont val="Arial Narrow"/>
        <family val="2"/>
      </rPr>
      <t>Cero deforestación en por lo menos 5 cadenas productivas priorizadas</t>
    </r>
  </si>
  <si>
    <t>Fortalecer la sostenibilidad de áreas de producción campesina y de grupos étnicos</t>
  </si>
  <si>
    <t xml:space="preserve">Sin medir </t>
  </si>
  <si>
    <r>
      <rPr>
        <sz val="10"/>
        <color theme="1"/>
        <rFont val="Calibri"/>
        <family val="2"/>
      </rPr>
      <t>▪</t>
    </r>
    <r>
      <rPr>
        <sz val="10"/>
        <color theme="1"/>
        <rFont val="Arial Narrow"/>
        <family val="2"/>
      </rPr>
      <t>Municipios de a jurisdicción
Gobernación
▪ Comunidades rurales (Campesinos) 
▪ Pueblos indígenas</t>
    </r>
  </si>
  <si>
    <t>Fortalecimiento de sostenibilidad en producción agropecuaria en territorios étnicos (%)</t>
  </si>
  <si>
    <r>
      <rPr>
        <sz val="10"/>
        <color theme="1"/>
        <rFont val="Calibri"/>
        <family val="2"/>
      </rPr>
      <t>▪Municipios de a jurisdicción
Gobernación
▪</t>
    </r>
    <r>
      <rPr>
        <sz val="10"/>
        <color theme="1"/>
        <rFont val="Arial Narrow"/>
        <family val="2"/>
      </rPr>
      <t xml:space="preserve"> Comunidades afrocolombianos 
▪ Pueblos indígenas</t>
    </r>
  </si>
  <si>
    <t>Aumentar los ingresos asociados a los negocios verdes y a bioeconomía</t>
  </si>
  <si>
    <r>
      <t xml:space="preserve">▪ </t>
    </r>
    <r>
      <rPr>
        <b/>
        <sz val="10"/>
        <color theme="1"/>
        <rFont val="Arial Narrow"/>
        <family val="2"/>
      </rPr>
      <t>Valor de referencia 2015:</t>
    </r>
    <r>
      <rPr>
        <sz val="10"/>
        <color theme="1"/>
        <rFont val="Arial Narrow"/>
        <family val="2"/>
      </rPr>
      <t xml:space="preserve"> Mayor al 20% del total de residuos sólidos generados56 
▪ </t>
    </r>
    <r>
      <rPr>
        <b/>
        <sz val="10"/>
        <color theme="1"/>
        <rFont val="Arial Narrow"/>
        <family val="2"/>
      </rPr>
      <t>Línea base Medellín (2013):</t>
    </r>
    <r>
      <rPr>
        <sz val="10"/>
        <color theme="1"/>
        <rFont val="Arial Narrow"/>
        <family val="2"/>
      </rPr>
      <t xml:space="preserve"> 19.11%57 
▪ </t>
    </r>
    <r>
      <rPr>
        <b/>
        <sz val="10"/>
        <color theme="1"/>
        <rFont val="Arial Narrow"/>
        <family val="2"/>
      </rPr>
      <t>Línea base Colombia (2015):</t>
    </r>
    <r>
      <rPr>
        <sz val="10"/>
        <color theme="1"/>
        <rFont val="Arial Narrow"/>
        <family val="2"/>
      </rPr>
      <t xml:space="preserve"> 17% 
▪ </t>
    </r>
    <r>
      <rPr>
        <b/>
        <sz val="10"/>
        <color theme="1"/>
        <rFont val="Arial Narrow"/>
        <family val="2"/>
      </rPr>
      <t>Línea base PGAR (2017):</t>
    </r>
    <r>
      <rPr>
        <sz val="10"/>
        <color theme="1"/>
        <rFont val="Arial Narrow"/>
        <family val="2"/>
      </rPr>
      <t xml:space="preserve"> 26.69%  
▪ </t>
    </r>
    <r>
      <rPr>
        <b/>
        <sz val="10"/>
        <color theme="1"/>
        <rFont val="Arial Narrow"/>
        <family val="2"/>
      </rPr>
      <t>Residuos totales aprovechados:</t>
    </r>
    <r>
      <rPr>
        <sz val="10"/>
        <color theme="1"/>
        <rFont val="Arial Narrow"/>
        <family val="2"/>
      </rPr>
      <t xml:space="preserve"> 255.369 toneladas/año  
▪ </t>
    </r>
    <r>
      <rPr>
        <b/>
        <sz val="10"/>
        <color theme="1"/>
        <rFont val="Arial Narrow"/>
        <family val="2"/>
      </rPr>
      <t>Residuos aprovechables generados:</t>
    </r>
    <r>
      <rPr>
        <sz val="10"/>
        <color theme="1"/>
        <rFont val="Arial Narrow"/>
        <family val="2"/>
      </rPr>
      <t xml:space="preserve"> 956.843 toneladas/año </t>
    </r>
  </si>
  <si>
    <r>
      <rPr>
        <sz val="10"/>
        <color theme="1"/>
        <rFont val="Calibri"/>
        <family val="2"/>
      </rPr>
      <t>▪</t>
    </r>
    <r>
      <rPr>
        <sz val="10"/>
        <color theme="1"/>
        <rFont val="Arial Narrow"/>
        <family val="2"/>
      </rPr>
      <t xml:space="preserve"> </t>
    </r>
    <r>
      <rPr>
        <b/>
        <sz val="10"/>
        <color theme="1"/>
        <rFont val="Arial Narrow"/>
        <family val="2"/>
      </rPr>
      <t>Meta agenda 2030:</t>
    </r>
    <r>
      <rPr>
        <sz val="10"/>
        <color theme="1"/>
        <rFont val="Arial Narrow"/>
        <family val="2"/>
      </rPr>
      <t xml:space="preserve"> 35% 
▪ </t>
    </r>
    <r>
      <rPr>
        <b/>
        <sz val="10"/>
        <color theme="1"/>
        <rFont val="Arial Narrow"/>
        <family val="2"/>
      </rPr>
      <t>Meta PGAR:</t>
    </r>
    <r>
      <rPr>
        <sz val="10"/>
        <color theme="1"/>
        <rFont val="Arial Narrow"/>
        <family val="2"/>
      </rPr>
      <t xml:space="preserve"> 35% 
</t>
    </r>
    <r>
      <rPr>
        <b/>
        <sz val="10"/>
        <color theme="1"/>
        <rFont val="Arial Narrow"/>
        <family val="2"/>
      </rPr>
      <t xml:space="preserve">Nota: </t>
    </r>
    <r>
      <rPr>
        <sz val="10"/>
        <color theme="1"/>
        <rFont val="Arial Narrow"/>
        <family val="2"/>
      </rPr>
      <t>Incluye residuos reciclables y orgánicos.</t>
    </r>
  </si>
  <si>
    <r>
      <rPr>
        <sz val="10"/>
        <color theme="1"/>
        <rFont val="Calibri"/>
        <family val="2"/>
      </rPr>
      <t>▪</t>
    </r>
    <r>
      <rPr>
        <sz val="10"/>
        <color theme="1"/>
        <rFont val="Arial Narrow"/>
        <family val="2"/>
      </rPr>
      <t xml:space="preserve"> Cámara de Comercio  
▪ Departamento de Antioquia. 
▪ Incubadoras de empresas 
▪ Instituciones de educación superior 
▪ Ministerio de Ambiente y Desarrollo Sostenible 
▪ Secretaria de Competitividad y productividad. 
▪ SENA </t>
    </r>
  </si>
  <si>
    <t xml:space="preserve">Crecimiento mayor al IPC </t>
  </si>
  <si>
    <r>
      <rPr>
        <sz val="10"/>
        <color theme="1"/>
        <rFont val="Bookman Old Style"/>
        <family val="1"/>
      </rPr>
      <t>→</t>
    </r>
    <r>
      <rPr>
        <sz val="10"/>
        <color theme="1"/>
        <rFont val="Arial Narrow"/>
        <family val="2"/>
      </rPr>
      <t xml:space="preserve"> </t>
    </r>
    <r>
      <rPr>
        <b/>
        <sz val="10"/>
        <color theme="1"/>
        <rFont val="Arial Narrow"/>
        <family val="2"/>
      </rPr>
      <t>Residuos orgánicos aprovechados (t/a):</t>
    </r>
    <r>
      <rPr>
        <sz val="10"/>
        <color theme="1"/>
        <rFont val="Arial Narrow"/>
        <family val="2"/>
      </rPr>
      <t xml:space="preserve"> 7.428 t/a
</t>
    </r>
    <r>
      <rPr>
        <sz val="10"/>
        <color theme="1"/>
        <rFont val="Bookman Old Style"/>
        <family val="1"/>
      </rPr>
      <t>→</t>
    </r>
    <r>
      <rPr>
        <sz val="10"/>
        <color theme="1"/>
        <rFont val="Arial Narrow"/>
        <family val="2"/>
      </rPr>
      <t xml:space="preserve"> </t>
    </r>
    <r>
      <rPr>
        <b/>
        <sz val="10"/>
        <color theme="1"/>
        <rFont val="Arial Narrow"/>
        <family val="2"/>
      </rPr>
      <t>Residuos orgánicos generados (t/a):</t>
    </r>
    <r>
      <rPr>
        <sz val="10"/>
        <color theme="1"/>
        <rFont val="Arial Narrow"/>
        <family val="2"/>
      </rPr>
      <t xml:space="preserve"> 586.458 t/a
</t>
    </r>
    <r>
      <rPr>
        <sz val="10"/>
        <color theme="1"/>
        <rFont val="Bookman Old Style"/>
        <family val="1"/>
      </rPr>
      <t>→</t>
    </r>
    <r>
      <rPr>
        <sz val="10"/>
        <color theme="1"/>
        <rFont val="Arial Narrow"/>
        <family val="2"/>
      </rPr>
      <t xml:space="preserve"> </t>
    </r>
    <r>
      <rPr>
        <b/>
        <sz val="10"/>
        <color theme="1"/>
        <rFont val="Arial Narrow"/>
        <family val="2"/>
      </rPr>
      <t>Línea base PGAR:</t>
    </r>
    <r>
      <rPr>
        <sz val="10"/>
        <color theme="1"/>
        <rFont val="Arial Narrow"/>
        <family val="2"/>
      </rPr>
      <t xml:space="preserve"> 1,3%</t>
    </r>
  </si>
  <si>
    <t>Paisajes-socioecosistemas con transición a la sostenibilidad ambiental</t>
  </si>
  <si>
    <t>Priorizar e intervenir los socioecosistemas en paisajes productivos con sostenibilidad ambiental</t>
  </si>
  <si>
    <t>Alto para mínimo10 socioecosistemas.</t>
  </si>
  <si>
    <r>
      <rPr>
        <sz val="10"/>
        <color theme="1"/>
        <rFont val="Calibri"/>
        <family val="2"/>
      </rPr>
      <t>▪</t>
    </r>
    <r>
      <rPr>
        <sz val="10"/>
        <color theme="1"/>
        <rFont val="Arial Narrow"/>
        <family val="2"/>
      </rPr>
      <t xml:space="preserve"> Agremiaciones de productores  
▪ Municipios de la jurisdicción (UMATAS) 
▪ Sector productivo </t>
    </r>
  </si>
  <si>
    <t>Ecosistemas 2017: 
Ha sistemas agroforestales: 31.787 ha
ha silvopastoriles: 558.393 ha</t>
  </si>
  <si>
    <t>10% de áreas que incorporan la conservación de la biodiversidad en su manejo productivo en sistemas agroforestales respecto a la línea base 2019, lo que equivale a: 3.178,7 ha
10% de áreas que incorporan la conservación de la biodiversidad en su manejo productivo en silvopastoriles respecto a la línea base 2019, lo que equivale a: 55.839,3</t>
  </si>
  <si>
    <t>La ciudadanía y sus prácticas cotidianas</t>
  </si>
  <si>
    <t>Transformar los hábitos de consumo, hacia un consumo sostenible</t>
  </si>
  <si>
    <r>
      <t xml:space="preserve">▪ </t>
    </r>
    <r>
      <rPr>
        <b/>
        <sz val="10"/>
        <color theme="1"/>
        <rFont val="Arial Narrow"/>
        <family val="2"/>
      </rPr>
      <t>Línea base PGAR (2017):</t>
    </r>
    <r>
      <rPr>
        <sz val="10"/>
        <color theme="1"/>
        <rFont val="Arial Narrow"/>
        <family val="2"/>
      </rPr>
      <t xml:space="preserve"> 5% 
▪ </t>
    </r>
    <r>
      <rPr>
        <b/>
        <sz val="10"/>
        <color theme="1"/>
        <rFont val="Arial Narrow"/>
        <family val="2"/>
      </rPr>
      <t>Residuos reciclables aprovechados:</t>
    </r>
    <r>
      <rPr>
        <sz val="10"/>
        <color theme="1"/>
        <rFont val="Arial Narrow"/>
        <family val="2"/>
      </rPr>
      <t xml:space="preserve"> 18.408 toneladas/año 
▪ </t>
    </r>
    <r>
      <rPr>
        <b/>
        <sz val="10"/>
        <color theme="1"/>
        <rFont val="Arial Narrow"/>
        <family val="2"/>
      </rPr>
      <t>Residuos reciclables generados:</t>
    </r>
    <r>
      <rPr>
        <sz val="10"/>
        <color theme="1"/>
        <rFont val="Arial Narrow"/>
        <family val="2"/>
      </rPr>
      <t xml:space="preserve"> 370.384 toneladas/año</t>
    </r>
  </si>
  <si>
    <r>
      <rPr>
        <b/>
        <sz val="10"/>
        <rFont val="Calibri"/>
        <family val="2"/>
      </rPr>
      <t>▪</t>
    </r>
    <r>
      <rPr>
        <b/>
        <sz val="10"/>
        <rFont val="Arial Narrow"/>
        <family val="2"/>
      </rPr>
      <t xml:space="preserve"> Agenda 2030:</t>
    </r>
    <r>
      <rPr>
        <sz val="10"/>
        <rFont val="Arial Narrow"/>
        <family val="2"/>
      </rPr>
      <t xml:space="preserve"> 17,9%
</t>
    </r>
    <r>
      <rPr>
        <sz val="10"/>
        <rFont val="Calibri"/>
        <family val="2"/>
      </rPr>
      <t>▪</t>
    </r>
    <r>
      <rPr>
        <b/>
        <sz val="10"/>
        <rFont val="Arial Narrow"/>
        <family val="2"/>
      </rPr>
      <t xml:space="preserve"> PGAR:</t>
    </r>
    <r>
      <rPr>
        <sz val="10"/>
        <rFont val="Arial Narrow"/>
        <family val="2"/>
      </rPr>
      <t xml:space="preserve"> 35%</t>
    </r>
  </si>
  <si>
    <r>
      <rPr>
        <sz val="10"/>
        <color theme="1"/>
        <rFont val="Calibri"/>
        <family val="2"/>
      </rPr>
      <t>▪</t>
    </r>
    <r>
      <rPr>
        <sz val="10"/>
        <color theme="1"/>
        <rFont val="Arial Narrow"/>
        <family val="2"/>
      </rPr>
      <t xml:space="preserve"> Asociaciones de consumidores 
▪ Comunidades organizadas 
▪ Empresas prestadoras de servicios públicos 
▪ Instituciones de educación superior 
▪ Gobernación de Antioquia 
▪ Ministerios de Ambiente-Agricultura 
Sociedad civil </t>
    </r>
  </si>
  <si>
    <t>Aplicación de criterios de sostenibilidad para bienes y servicios incluidos en el plan anual de adquisiciones que pueden ser incluidos como condiciones de compra (%)</t>
  </si>
  <si>
    <t>Empresas con calificación AAA del sello de sostenibilidad de Corantioquia (%)</t>
  </si>
  <si>
    <t>10% de las empresas habilitadas</t>
  </si>
  <si>
    <r>
      <rPr>
        <b/>
        <sz val="10"/>
        <color theme="1"/>
        <rFont val="Arial Narrow"/>
        <family val="2"/>
      </rPr>
      <t>Colombia (2008):</t>
    </r>
    <r>
      <rPr>
        <sz val="10"/>
        <color theme="1"/>
        <rFont val="Arial Narrow"/>
        <family val="2"/>
      </rPr>
      <t xml:space="preserve"> 0.072825
</t>
    </r>
    <r>
      <rPr>
        <b/>
        <sz val="10"/>
        <color theme="1"/>
        <rFont val="Arial Narrow"/>
        <family val="2"/>
      </rPr>
      <t xml:space="preserve">PGAR: </t>
    </r>
    <r>
      <rPr>
        <sz val="10"/>
        <color theme="1"/>
        <rFont val="Arial Narrow"/>
        <family val="2"/>
      </rPr>
      <t>Sin medición</t>
    </r>
  </si>
  <si>
    <r>
      <rPr>
        <b/>
        <sz val="10"/>
        <color theme="1"/>
        <rFont val="Calibri"/>
        <family val="2"/>
      </rPr>
      <t>▪</t>
    </r>
    <r>
      <rPr>
        <b/>
        <sz val="10"/>
        <color theme="1"/>
        <rFont val="Arial Narrow"/>
        <family val="2"/>
      </rPr>
      <t xml:space="preserve"> Colombia (2019):</t>
    </r>
    <r>
      <rPr>
        <sz val="10"/>
        <color theme="1"/>
        <rFont val="Arial Narrow"/>
        <family val="2"/>
      </rPr>
      <t xml:space="preserve"> Reducción 10%
</t>
    </r>
    <r>
      <rPr>
        <sz val="10"/>
        <color theme="1"/>
        <rFont val="Calibri"/>
        <family val="2"/>
      </rPr>
      <t>▪</t>
    </r>
    <r>
      <rPr>
        <sz val="10"/>
        <color theme="1"/>
        <rFont val="Arial Narrow"/>
        <family val="2"/>
      </rPr>
      <t xml:space="preserve"> </t>
    </r>
    <r>
      <rPr>
        <b/>
        <sz val="10"/>
        <rFont val="Arial Narrow"/>
        <family val="2"/>
      </rPr>
      <t>PGAR:</t>
    </r>
    <r>
      <rPr>
        <sz val="10"/>
        <rFont val="Arial Narrow"/>
        <family val="2"/>
      </rPr>
      <t xml:space="preserve"> Reducción 10%</t>
    </r>
  </si>
  <si>
    <t>Relacionamientos comerciales entre productores cero deforestación y compradores (número)</t>
  </si>
  <si>
    <t>10 casos de relacionamiento</t>
  </si>
  <si>
    <t>Uso de energías renovables</t>
  </si>
  <si>
    <t>Aumentar la proporción de uso de energías alternativas en la matriz energética de la jurisdicción</t>
  </si>
  <si>
    <t xml:space="preserve">Capacidad instalada de generación de energía eléctrica que corresponde a fuentes renovables (%) </t>
  </si>
  <si>
    <t>Aumentar al menos el 10%  de la capacidad instalada de generación de energía eléctrica que corresponde a fuentes renovables</t>
  </si>
  <si>
    <r>
      <rPr>
        <b/>
        <sz val="10"/>
        <color theme="1"/>
        <rFont val="Arial Narrow"/>
        <family val="2"/>
      </rPr>
      <t xml:space="preserve">Agenda 2030: </t>
    </r>
    <r>
      <rPr>
        <sz val="10"/>
        <color theme="1"/>
        <rFont val="Arial Narrow"/>
        <family val="2"/>
      </rPr>
      <t xml:space="preserve">73,3%
</t>
    </r>
    <r>
      <rPr>
        <b/>
        <sz val="10"/>
        <rFont val="Arial Narrow"/>
        <family val="2"/>
      </rPr>
      <t>PGAR:</t>
    </r>
    <r>
      <rPr>
        <sz val="10"/>
        <rFont val="Arial Narrow"/>
        <family val="2"/>
      </rPr>
      <t xml:space="preserve"> 73,3%</t>
    </r>
    <r>
      <rPr>
        <sz val="10"/>
        <color rgb="FFFF0000"/>
        <rFont val="Arial Narrow"/>
        <family val="2"/>
      </rPr>
      <t xml:space="preserve"> </t>
    </r>
    <r>
      <rPr>
        <b/>
        <sz val="10"/>
        <color rgb="FFFF0000"/>
        <rFont val="Arial Narrow"/>
        <family val="2"/>
      </rPr>
      <t>Confirmar dato con Gestión Ambiental</t>
    </r>
  </si>
  <si>
    <t>▪ Empresas generadoras de energía
▪ Icontec
▪ Ministerio de Minas y Energía</t>
  </si>
  <si>
    <t>Uso de energías renovales</t>
  </si>
  <si>
    <t>Aumentar el uso eficiente de energías limpias (Intensidad energética)</t>
  </si>
  <si>
    <t>7.3.1. Intensidad energética kilovatio hora pico</t>
  </si>
  <si>
    <t>245 kilovatio hora pico</t>
  </si>
  <si>
    <t>10.000 kilovatio hora pico</t>
  </si>
  <si>
    <r>
      <rPr>
        <b/>
        <sz val="10"/>
        <color theme="1"/>
        <rFont val="Arial Narrow"/>
        <family val="2"/>
      </rPr>
      <t>Colombia (2015):</t>
    </r>
    <r>
      <rPr>
        <sz val="10"/>
        <color theme="1"/>
        <rFont val="Arial Narrow"/>
        <family val="2"/>
      </rPr>
      <t xml:space="preserve"> 3,7 TJ/CO$
</t>
    </r>
    <r>
      <rPr>
        <b/>
        <sz val="10"/>
        <color theme="1"/>
        <rFont val="Arial Narrow"/>
        <family val="2"/>
      </rPr>
      <t>PGAR:</t>
    </r>
    <r>
      <rPr>
        <sz val="10"/>
        <color theme="1"/>
        <rFont val="Arial Narrow"/>
        <family val="2"/>
      </rPr>
      <t xml:space="preserve"> Sin medición</t>
    </r>
  </si>
  <si>
    <r>
      <rPr>
        <b/>
        <sz val="10"/>
        <color theme="1"/>
        <rFont val="Arial Narrow"/>
        <family val="2"/>
      </rPr>
      <t xml:space="preserve">Agenda 2030: </t>
    </r>
    <r>
      <rPr>
        <sz val="10"/>
        <color theme="1"/>
        <rFont val="Arial Narrow"/>
        <family val="2"/>
      </rPr>
      <t xml:space="preserve">2,9 TJ/CO$
</t>
    </r>
    <r>
      <rPr>
        <b/>
        <sz val="10"/>
        <rFont val="Arial Narrow"/>
        <family val="2"/>
      </rPr>
      <t xml:space="preserve">PGAR: </t>
    </r>
    <r>
      <rPr>
        <sz val="10"/>
        <color theme="1"/>
        <rFont val="Arial Narrow"/>
        <family val="2"/>
      </rPr>
      <t xml:space="preserve">2,9 TJ/CO$  </t>
    </r>
    <r>
      <rPr>
        <b/>
        <sz val="10"/>
        <color rgb="FFFF0000"/>
        <rFont val="Arial Narrow"/>
        <family val="2"/>
      </rPr>
      <t>Confirmar dato con Gestión Ambiental</t>
    </r>
  </si>
  <si>
    <t xml:space="preserve">▪ Consumidor  
▪ Icontec 
▪ Empresas generadoras de energía 
▪ Ministerio de Minas y Energía 
▪ Sector productivo </t>
  </si>
  <si>
    <t>Esquemas asociativos propios de las comunidades étnicas  en lo productivo implementados según regulación propia, que incorporan uso de la biodiversidad</t>
  </si>
  <si>
    <t>8
Indígena: 4 (uno por zona)
Afro: 4 con alcance en los 16 municipios incluyendo propuestas de asociatividad y uso de biodiversidad</t>
  </si>
  <si>
    <t xml:space="preserve">Generación de valor y desarrollo tecnológico en los procesos y medios de la producción de las comunidades en los territorios étnicos. </t>
  </si>
  <si>
    <t>5_x000D_
Para cada grupo étnico</t>
  </si>
  <si>
    <r>
      <rPr>
        <b/>
        <sz val="10"/>
        <color theme="1"/>
        <rFont val="Arial Narrow"/>
        <family val="2"/>
      </rPr>
      <t>Línea 3:</t>
    </r>
    <r>
      <rPr>
        <sz val="10"/>
        <color theme="1"/>
        <rFont val="Arial Narrow"/>
        <family val="2"/>
      </rPr>
      <t xml:space="preserve"> Consolidación de un entorno saludable y seguro</t>
    </r>
  </si>
  <si>
    <t>Adaptación al cambio climático y Gestión Integral del Riesgo</t>
  </si>
  <si>
    <t>Disminuir el número de casos de mortalidad por desastres asociados a fenómenos naturales y antrópicos</t>
  </si>
  <si>
    <t>47 por 100.000 habitantes</t>
  </si>
  <si>
    <r>
      <rPr>
        <b/>
        <sz val="10"/>
        <color theme="1"/>
        <rFont val="Arial Narrow"/>
        <family val="2"/>
      </rPr>
      <t>Agenda 2030:</t>
    </r>
    <r>
      <rPr>
        <sz val="10"/>
        <color theme="1"/>
        <rFont val="Arial Narrow"/>
        <family val="2"/>
      </rPr>
      <t xml:space="preserve"> 47 por 100.000 habitantes
</t>
    </r>
    <r>
      <rPr>
        <b/>
        <sz val="10"/>
        <color theme="1"/>
        <rFont val="Arial Narrow"/>
        <family val="2"/>
      </rPr>
      <t>PGAR:</t>
    </r>
    <r>
      <rPr>
        <sz val="10"/>
        <color theme="1"/>
        <rFont val="Arial Narrow"/>
        <family val="2"/>
      </rPr>
      <t xml:space="preserve"> </t>
    </r>
    <r>
      <rPr>
        <sz val="10"/>
        <rFont val="Arial Narrow"/>
        <family val="2"/>
      </rPr>
      <t>47 por 100.000 habitantes</t>
    </r>
  </si>
  <si>
    <t>▪ Comunidades  
▪ Corporaciones Autónomas Regionales limítrofes 
▪ Empresas  
▪ Gobernación de Antioquia, Departamento Administrativo del Sistema para la Prevención, Atención y Recuperación de Desastres (DAPARD) 
▪ Municipios de la jurisdicción 
▪ Organismos de socorro 
▪ Unidad Nacional para la Gestión del Riesgo de Desastres</t>
  </si>
  <si>
    <t>13.1.1. Mortalidad causada por eventos recurrentes (muertes) </t>
  </si>
  <si>
    <t>0 muertes</t>
  </si>
  <si>
    <r>
      <rPr>
        <b/>
        <sz val="10"/>
        <rFont val="Arial Narrow"/>
        <family val="2"/>
      </rPr>
      <t>Agenda 2030:</t>
    </r>
    <r>
      <rPr>
        <sz val="10"/>
        <rFont val="Arial Narrow"/>
        <family val="2"/>
      </rPr>
      <t xml:space="preserve"> 0 muertes
</t>
    </r>
    <r>
      <rPr>
        <b/>
        <sz val="10"/>
        <rFont val="Arial Narrow"/>
        <family val="2"/>
      </rPr>
      <t>PGAR:</t>
    </r>
    <r>
      <rPr>
        <sz val="10"/>
        <rFont val="Arial Narrow"/>
        <family val="2"/>
      </rPr>
      <t xml:space="preserve"> 0 muertes</t>
    </r>
  </si>
  <si>
    <t>Áreas urbanas preparadas para afrontar riesgos de origen natural y antrópico</t>
  </si>
  <si>
    <t>80 áreas urbanas</t>
  </si>
  <si>
    <t>Política de Gestión Ambiental Urbana</t>
  </si>
  <si>
    <t>PGAR: 80 áreas urbanas</t>
  </si>
  <si>
    <t xml:space="preserve">Disminuir la pérdida de los servicios ecosistémicos a causa de los efectos del cambio climático </t>
  </si>
  <si>
    <r>
      <t>Nivel de absorción de CO</t>
    </r>
    <r>
      <rPr>
        <vertAlign val="subscript"/>
        <sz val="10"/>
        <color theme="1"/>
        <rFont val="Arial Narrow"/>
        <family val="2"/>
      </rPr>
      <t>2</t>
    </r>
  </si>
  <si>
    <r>
      <t>Plan Regional de Cambio Climático (dato 2010): 7.300 Gg de CO</t>
    </r>
    <r>
      <rPr>
        <vertAlign val="subscript"/>
        <sz val="10"/>
        <color theme="1"/>
        <rFont val="Arial Narrow"/>
        <family val="2"/>
      </rPr>
      <t>2</t>
    </r>
    <r>
      <rPr>
        <sz val="10"/>
        <color theme="1"/>
        <rFont val="Arial Narrow"/>
        <family val="2"/>
      </rPr>
      <t>eq/año</t>
    </r>
  </si>
  <si>
    <r>
      <t>Aumentar un 3%, lo que equivale 7.495 Gg de CO</t>
    </r>
    <r>
      <rPr>
        <vertAlign val="subscript"/>
        <sz val="10"/>
        <color theme="1"/>
        <rFont val="Arial Narrow"/>
        <family val="2"/>
      </rPr>
      <t>2</t>
    </r>
    <r>
      <rPr>
        <sz val="10"/>
        <color theme="1"/>
        <rFont val="Arial Narrow"/>
        <family val="2"/>
      </rPr>
      <t>eq/año</t>
    </r>
  </si>
  <si>
    <t>Solicitar información a Ecosistemas</t>
  </si>
  <si>
    <t>▪ Comunidad en general 
▪ Entidades territoriales 
▪ Gobernación de Antioquia  
▪ Sectores económicos</t>
  </si>
  <si>
    <t>Entidades territoriales de la jurisdicción con medidas de adaptación y mitigación de Cambio Climático implementadas de acuerdo a los PIGCCT (%)</t>
  </si>
  <si>
    <t>Línea base PGAR: 2.5% (2/80)</t>
  </si>
  <si>
    <r>
      <rPr>
        <b/>
        <sz val="10"/>
        <color theme="1"/>
        <rFont val="Arial Narrow"/>
        <family val="2"/>
      </rPr>
      <t>Meta Colombia:</t>
    </r>
    <r>
      <rPr>
        <sz val="10"/>
        <color theme="1"/>
        <rFont val="Arial Narrow"/>
        <family val="2"/>
      </rPr>
      <t xml:space="preserve"> 100% 
</t>
    </r>
    <r>
      <rPr>
        <b/>
        <sz val="10"/>
        <color theme="1"/>
        <rFont val="Arial Narrow"/>
        <family val="2"/>
      </rPr>
      <t>Meta PGAR:</t>
    </r>
    <r>
      <rPr>
        <sz val="10"/>
        <color theme="1"/>
        <rFont val="Arial Narrow"/>
        <family val="2"/>
      </rPr>
      <t xml:space="preserve"> 100% (80/80)</t>
    </r>
  </si>
  <si>
    <t>Sectores formuladores de los PIGCCS que han ejecutado medidas de adaptación y mitigación de Cambio Climático en coordinación con entidades territoriales (%)</t>
  </si>
  <si>
    <t>Saneamiento ambiental</t>
  </si>
  <si>
    <t>Disminuir las toneladas de residuos sólidos en los sitios de disposición final de residuos ordinarios, especiales y peligrosos</t>
  </si>
  <si>
    <r>
      <t>▪ PIB jurisdicción 2017 (Billones de pesos a precios constantes):</t>
    </r>
    <r>
      <rPr>
        <sz val="10"/>
        <color theme="1"/>
        <rFont val="Arial Narrow"/>
        <family val="2"/>
      </rPr>
      <t xml:space="preserve"> 100.425</t>
    </r>
    <r>
      <rPr>
        <b/>
        <sz val="10"/>
        <color theme="1"/>
        <rFont val="Arial Narrow"/>
        <family val="2"/>
      </rPr>
      <t xml:space="preserve">
▪ Residuos totales generados Corantioquia (2017):</t>
    </r>
    <r>
      <rPr>
        <sz val="10"/>
        <color theme="1"/>
        <rFont val="Arial Narrow"/>
        <family val="2"/>
      </rPr>
      <t xml:space="preserve"> 1.395.865 t
• </t>
    </r>
    <r>
      <rPr>
        <b/>
        <sz val="10"/>
        <color theme="1"/>
        <rFont val="Arial Narrow"/>
        <family val="2"/>
      </rPr>
      <t>Línea base PGAR (2017):</t>
    </r>
    <r>
      <rPr>
        <sz val="10"/>
        <color theme="1"/>
        <rFont val="Arial Narrow"/>
        <family val="2"/>
      </rPr>
      <t xml:space="preserve"> 13.90 toneladas/billón de pesos</t>
    </r>
  </si>
  <si>
    <r>
      <rPr>
        <b/>
        <sz val="10"/>
        <color theme="1"/>
        <rFont val="Arial Narrow"/>
        <family val="2"/>
      </rPr>
      <t xml:space="preserve">• Agenda 2030: </t>
    </r>
    <r>
      <rPr>
        <sz val="10"/>
        <color theme="1"/>
        <rFont val="Arial Narrow"/>
        <family val="2"/>
      </rPr>
      <t xml:space="preserve">15.788 toneladas por billón de pesos
• </t>
    </r>
    <r>
      <rPr>
        <b/>
        <sz val="10"/>
        <rFont val="Arial Narrow"/>
        <family val="2"/>
      </rPr>
      <t xml:space="preserve">PGAR: </t>
    </r>
    <r>
      <rPr>
        <sz val="10"/>
        <rFont val="Arial Narrow"/>
        <family val="2"/>
      </rPr>
      <t>8 toneladas/billón de pesos</t>
    </r>
  </si>
  <si>
    <t xml:space="preserve">▪ Departamento Nacional de Planeación 
▪ Empresas 
▪ Gobernación de Antioquia  
▪ Ministerio de Ambiente y Desarrollo Sostenible 
▪ Ministerio de Educación Nacional 
▪ Ministerio de Minas y Energía 
▪ Ministerio de Vivienda, Ciudad y Territorio 
▪ Municipios de la jurisdicción 
▪ Sociedad civil </t>
  </si>
  <si>
    <r>
      <t xml:space="preserve">▪ </t>
    </r>
    <r>
      <rPr>
        <b/>
        <sz val="10"/>
        <color theme="1"/>
        <rFont val="Arial Narrow"/>
        <family val="2"/>
      </rPr>
      <t>Valor de referencia 2015:</t>
    </r>
    <r>
      <rPr>
        <sz val="10"/>
        <color theme="1"/>
        <rFont val="Arial Narrow"/>
        <family val="2"/>
      </rPr>
      <t xml:space="preserve"> Mayor al 20% del total de residuos sólidos generados
▪ </t>
    </r>
    <r>
      <rPr>
        <b/>
        <sz val="10"/>
        <color theme="1"/>
        <rFont val="Arial Narrow"/>
        <family val="2"/>
      </rPr>
      <t>Línea base Medellín (2013):</t>
    </r>
    <r>
      <rPr>
        <sz val="10"/>
        <color theme="1"/>
        <rFont val="Arial Narrow"/>
        <family val="2"/>
      </rPr>
      <t xml:space="preserve"> 19.11%
▪ </t>
    </r>
    <r>
      <rPr>
        <b/>
        <sz val="10"/>
        <color theme="1"/>
        <rFont val="Arial Narrow"/>
        <family val="2"/>
      </rPr>
      <t>Línea base Colombia (2015):</t>
    </r>
    <r>
      <rPr>
        <sz val="10"/>
        <color theme="1"/>
        <rFont val="Arial Narrow"/>
        <family val="2"/>
      </rPr>
      <t xml:space="preserve"> 17% 
▪ </t>
    </r>
    <r>
      <rPr>
        <b/>
        <sz val="10"/>
        <color theme="1"/>
        <rFont val="Arial Narrow"/>
        <family val="2"/>
      </rPr>
      <t>Línea base PGAR (2017):</t>
    </r>
    <r>
      <rPr>
        <sz val="10"/>
        <color theme="1"/>
        <rFont val="Arial Narrow"/>
        <family val="2"/>
      </rPr>
      <t xml:space="preserve"> 26.69%  
▪ </t>
    </r>
    <r>
      <rPr>
        <b/>
        <sz val="10"/>
        <color theme="1"/>
        <rFont val="Arial Narrow"/>
        <family val="2"/>
      </rPr>
      <t>Residuos totales aprovechados:</t>
    </r>
    <r>
      <rPr>
        <sz val="10"/>
        <color theme="1"/>
        <rFont val="Arial Narrow"/>
        <family val="2"/>
      </rPr>
      <t xml:space="preserve"> 255.369 toneladas/año  
▪ </t>
    </r>
    <r>
      <rPr>
        <b/>
        <sz val="10"/>
        <color theme="1"/>
        <rFont val="Arial Narrow"/>
        <family val="2"/>
      </rPr>
      <t>Residuos aprovechables generados:</t>
    </r>
    <r>
      <rPr>
        <sz val="10"/>
        <color theme="1"/>
        <rFont val="Arial Narrow"/>
        <family val="2"/>
      </rPr>
      <t xml:space="preserve"> 956.843 toneladas/año </t>
    </r>
  </si>
  <si>
    <r>
      <t xml:space="preserve">▪ </t>
    </r>
    <r>
      <rPr>
        <b/>
        <sz val="10"/>
        <color theme="1"/>
        <rFont val="Arial Narrow"/>
        <family val="2"/>
      </rPr>
      <t>Meta agenda 2030:</t>
    </r>
    <r>
      <rPr>
        <sz val="10"/>
        <color theme="1"/>
        <rFont val="Arial Narrow"/>
        <family val="2"/>
      </rPr>
      <t xml:space="preserve"> 35% 
▪ </t>
    </r>
    <r>
      <rPr>
        <b/>
        <sz val="10"/>
        <color theme="1"/>
        <rFont val="Arial Narrow"/>
        <family val="2"/>
      </rPr>
      <t>Meta PGAR:</t>
    </r>
    <r>
      <rPr>
        <sz val="10"/>
        <color theme="1"/>
        <rFont val="Arial Narrow"/>
        <family val="2"/>
      </rPr>
      <t xml:space="preserve"> 35% 
</t>
    </r>
    <r>
      <rPr>
        <b/>
        <sz val="10"/>
        <color theme="1"/>
        <rFont val="Arial Narrow"/>
        <family val="2"/>
      </rPr>
      <t xml:space="preserve">Nota: </t>
    </r>
    <r>
      <rPr>
        <sz val="10"/>
        <color theme="1"/>
        <rFont val="Arial Narrow"/>
        <family val="2"/>
      </rPr>
      <t>Incluye residuos reciclables y orgánicos.</t>
    </r>
  </si>
  <si>
    <t>12.4.1. Residuos peligrosos aprovechados y tratados (t) </t>
  </si>
  <si>
    <t>53.956 t</t>
  </si>
  <si>
    <t>5% adicional de la línea base 2019, lo que equivale a: 56.654 t  </t>
  </si>
  <si>
    <r>
      <rPr>
        <b/>
        <sz val="10"/>
        <color theme="1"/>
        <rFont val="Arial Narrow"/>
        <family val="2"/>
      </rPr>
      <t>Línea base PGAR (2018):</t>
    </r>
    <r>
      <rPr>
        <sz val="10"/>
        <color theme="1"/>
        <rFont val="Arial Narrow"/>
        <family val="2"/>
      </rPr>
      <t xml:space="preserve"> 53.956 t </t>
    </r>
  </si>
  <si>
    <r>
      <rPr>
        <b/>
        <sz val="10"/>
        <color theme="1"/>
        <rFont val="Arial Narrow"/>
        <family val="2"/>
      </rPr>
      <t>▪ Agenda 2030:</t>
    </r>
    <r>
      <rPr>
        <sz val="10"/>
        <color theme="1"/>
        <rFont val="Arial Narrow"/>
        <family val="2"/>
      </rPr>
      <t xml:space="preserve"> 2.806.130 t
▪</t>
    </r>
    <r>
      <rPr>
        <sz val="10"/>
        <rFont val="Arial Narrow"/>
        <family val="2"/>
      </rPr>
      <t xml:space="preserve"> </t>
    </r>
    <r>
      <rPr>
        <b/>
        <sz val="10"/>
        <rFont val="Arial Narrow"/>
        <family val="2"/>
      </rPr>
      <t xml:space="preserve">PGAR: </t>
    </r>
    <r>
      <rPr>
        <sz val="10"/>
        <rFont val="Arial Narrow"/>
        <family val="2"/>
      </rPr>
      <t>2.698 t (5%)</t>
    </r>
  </si>
  <si>
    <t>12.4.2. Equipos y desechos de policlorobifenilos (PCB) eliminados (%) </t>
  </si>
  <si>
    <r>
      <rPr>
        <b/>
        <sz val="10"/>
        <color theme="1"/>
        <rFont val="Arial Narrow"/>
        <family val="2"/>
      </rPr>
      <t>Línea base PGAR:</t>
    </r>
    <r>
      <rPr>
        <sz val="10"/>
        <color theme="1"/>
        <rFont val="Arial Narrow"/>
        <family val="2"/>
      </rPr>
      <t xml:space="preserve"> 0%</t>
    </r>
  </si>
  <si>
    <r>
      <rPr>
        <b/>
        <sz val="10"/>
        <rFont val="Arial Narrow"/>
        <family val="2"/>
      </rPr>
      <t>▪ Agenda 2030</t>
    </r>
    <r>
      <rPr>
        <sz val="10"/>
        <rFont val="Arial Narrow"/>
        <family val="2"/>
      </rPr>
      <t xml:space="preserve">: 100%
</t>
    </r>
    <r>
      <rPr>
        <b/>
        <sz val="10"/>
        <rFont val="Arial Narrow"/>
        <family val="2"/>
      </rPr>
      <t>▪ PGAR:</t>
    </r>
    <r>
      <rPr>
        <sz val="10"/>
        <rFont val="Arial Narrow"/>
        <family val="2"/>
      </rPr>
      <t xml:space="preserve"> 100%</t>
    </r>
  </si>
  <si>
    <r>
      <rPr>
        <b/>
        <sz val="10"/>
        <rFont val="Arial Narrow"/>
        <family val="2"/>
      </rPr>
      <t>▪ Agenda 2030:</t>
    </r>
    <r>
      <rPr>
        <sz val="10"/>
        <rFont val="Arial Narrow"/>
        <family val="2"/>
      </rPr>
      <t xml:space="preserve"> 17,9%
▪</t>
    </r>
    <r>
      <rPr>
        <b/>
        <sz val="10"/>
        <rFont val="Arial Narrow"/>
        <family val="2"/>
      </rPr>
      <t xml:space="preserve"> PGAR:</t>
    </r>
    <r>
      <rPr>
        <sz val="10"/>
        <rFont val="Arial Narrow"/>
        <family val="2"/>
      </rPr>
      <t xml:space="preserve"> 35%</t>
    </r>
  </si>
  <si>
    <t>Residuos sólidos dispuestos adecuadamente (%)</t>
  </si>
  <si>
    <r>
      <rPr>
        <b/>
        <sz val="10"/>
        <color theme="1"/>
        <rFont val="Arial Narrow"/>
        <family val="2"/>
      </rPr>
      <t>▪ Línea base PGAR (2016 y 2017):</t>
    </r>
    <r>
      <rPr>
        <sz val="10"/>
        <color theme="1"/>
        <rFont val="Arial Narrow"/>
        <family val="2"/>
      </rPr>
      <t xml:space="preserve"> 99.71%
</t>
    </r>
    <r>
      <rPr>
        <b/>
        <sz val="10"/>
        <color theme="1"/>
        <rFont val="Arial Narrow"/>
        <family val="2"/>
      </rPr>
      <t>▪ Residuos dispuestos adecuadamente:</t>
    </r>
    <r>
      <rPr>
        <sz val="10"/>
        <color theme="1"/>
        <rFont val="Arial Narrow"/>
        <family val="2"/>
      </rPr>
      <t xml:space="preserve"> 1.147.687 toneladas/año 
</t>
    </r>
    <r>
      <rPr>
        <b/>
        <sz val="10"/>
        <color theme="1"/>
        <rFont val="Arial Narrow"/>
        <family val="2"/>
      </rPr>
      <t>▪ Residuos totales dispuestos:</t>
    </r>
    <r>
      <rPr>
        <sz val="10"/>
        <color theme="1"/>
        <rFont val="Arial Narrow"/>
        <family val="2"/>
      </rPr>
      <t xml:space="preserve"> 1.150.970 toneladas/año
</t>
    </r>
    <r>
      <rPr>
        <b/>
        <sz val="10"/>
        <color theme="1"/>
        <rFont val="Arial Narrow"/>
        <family val="2"/>
      </rPr>
      <t xml:space="preserve">Nota: </t>
    </r>
    <r>
      <rPr>
        <sz val="10"/>
        <color theme="1"/>
        <rFont val="Arial Narrow"/>
        <family val="2"/>
      </rPr>
      <t xml:space="preserve">En la jurisdicción de Corantioquia, un municipio dispone sus residuos en botadero a cielo abierto. </t>
    </r>
  </si>
  <si>
    <r>
      <rPr>
        <b/>
        <sz val="10"/>
        <color theme="1"/>
        <rFont val="Arial Narrow"/>
        <family val="2"/>
      </rPr>
      <t>▪ Colombia:</t>
    </r>
    <r>
      <rPr>
        <sz val="10"/>
        <color theme="1"/>
        <rFont val="Arial Narrow"/>
        <family val="2"/>
      </rPr>
      <t xml:space="preserve"> 100% 
</t>
    </r>
    <r>
      <rPr>
        <b/>
        <sz val="10"/>
        <color theme="1"/>
        <rFont val="Arial Narrow"/>
        <family val="2"/>
      </rPr>
      <t>▪ PGAR: 100%.</t>
    </r>
    <r>
      <rPr>
        <sz val="10"/>
        <color theme="1"/>
        <rFont val="Arial Narrow"/>
        <family val="2"/>
      </rPr>
      <t xml:space="preserve"> El 100% se calcula sobre los residuos que no son aprovechados (inservibles + aprovechables no separados en la fuente), no sobre el total de generados.</t>
    </r>
  </si>
  <si>
    <t>Residuos sólidos aprovechados (%)</t>
  </si>
  <si>
    <r>
      <t xml:space="preserve">▪ </t>
    </r>
    <r>
      <rPr>
        <b/>
        <sz val="10"/>
        <rFont val="Arial Narrow"/>
        <family val="2"/>
      </rPr>
      <t>Línea base PGAR (2017):</t>
    </r>
    <r>
      <rPr>
        <sz val="10"/>
        <rFont val="Arial Narrow"/>
        <family val="2"/>
      </rPr>
      <t xml:space="preserve"> 18.29% 
▪ </t>
    </r>
    <r>
      <rPr>
        <b/>
        <sz val="10"/>
        <rFont val="Arial Narrow"/>
        <family val="2"/>
      </rPr>
      <t>Residuos totales aprovechados:</t>
    </r>
    <r>
      <rPr>
        <sz val="10"/>
        <rFont val="Arial Narrow"/>
        <family val="2"/>
      </rPr>
      <t xml:space="preserve"> 255.369 toneladas/año 
▪ </t>
    </r>
    <r>
      <rPr>
        <b/>
        <sz val="10"/>
        <rFont val="Arial Narrow"/>
        <family val="2"/>
      </rPr>
      <t>Residuos totales generados:</t>
    </r>
    <r>
      <rPr>
        <sz val="10"/>
        <rFont val="Arial Narrow"/>
        <family val="2"/>
      </rPr>
      <t xml:space="preserve"> 1.395.865 toneladas/año </t>
    </r>
  </si>
  <si>
    <r>
      <rPr>
        <b/>
        <sz val="10"/>
        <rFont val="Arial Narrow"/>
        <family val="2"/>
      </rPr>
      <t xml:space="preserve">▪ Colombia: </t>
    </r>
    <r>
      <rPr>
        <sz val="10"/>
        <rFont val="Arial Narrow"/>
        <family val="2"/>
      </rPr>
      <t xml:space="preserve">20% 
</t>
    </r>
    <r>
      <rPr>
        <b/>
        <sz val="10"/>
        <rFont val="Arial Narrow"/>
        <family val="2"/>
      </rPr>
      <t>▪ PGAR:</t>
    </r>
    <r>
      <rPr>
        <sz val="10"/>
        <rFont val="Arial Narrow"/>
        <family val="2"/>
      </rPr>
      <t xml:space="preserve"> 50% del total aprovechable generado (orgánicos + reciclables)</t>
    </r>
  </si>
  <si>
    <t>Política Ambiental para la Gestión Integral de Residuos o Desechos Peligrosos</t>
  </si>
  <si>
    <r>
      <rPr>
        <b/>
        <sz val="10"/>
        <rFont val="Arial Narrow"/>
        <family val="2"/>
      </rPr>
      <t>Línea base PGAR (2018):</t>
    </r>
    <r>
      <rPr>
        <sz val="10"/>
        <rFont val="Arial Narrow"/>
        <family val="2"/>
      </rPr>
      <t xml:space="preserve"> 0%
▪</t>
    </r>
    <r>
      <rPr>
        <b/>
        <sz val="10"/>
        <rFont val="Arial Narrow"/>
        <family val="2"/>
      </rPr>
      <t xml:space="preserve"> t RESPEL reducidas (2017-2018):</t>
    </r>
    <r>
      <rPr>
        <sz val="10"/>
        <rFont val="Arial Narrow"/>
        <family val="2"/>
      </rPr>
      <t xml:space="preserve"> 0 t
▪</t>
    </r>
    <r>
      <rPr>
        <b/>
        <sz val="10"/>
        <rFont val="Arial Narrow"/>
        <family val="2"/>
      </rPr>
      <t xml:space="preserve"> t RESPEL generadas:</t>
    </r>
    <r>
      <rPr>
        <sz val="10"/>
        <rFont val="Arial Narrow"/>
        <family val="2"/>
      </rPr>
      <t xml:space="preserve"> 54.895,01 t
</t>
    </r>
    <r>
      <rPr>
        <b/>
        <sz val="10"/>
        <rFont val="Arial Narrow"/>
        <family val="2"/>
      </rPr>
      <t>Nota:</t>
    </r>
    <r>
      <rPr>
        <sz val="10"/>
        <rFont val="Arial Narrow"/>
        <family val="2"/>
      </rPr>
      <t xml:space="preserve">
Indicadores plataforma SIUR Gestión</t>
    </r>
  </si>
  <si>
    <r>
      <rPr>
        <b/>
        <sz val="10"/>
        <color theme="1"/>
        <rFont val="Arial Narrow"/>
        <family val="2"/>
      </rPr>
      <t>▪ Colombia:</t>
    </r>
    <r>
      <rPr>
        <sz val="10"/>
        <color theme="1"/>
        <rFont val="Arial Narrow"/>
        <family val="2"/>
      </rPr>
      <t xml:space="preserve"> Reducir el 40% de los RESPEL generados
</t>
    </r>
    <r>
      <rPr>
        <b/>
        <sz val="10"/>
        <color theme="1"/>
        <rFont val="Arial Narrow"/>
        <family val="2"/>
      </rPr>
      <t xml:space="preserve">▪ </t>
    </r>
    <r>
      <rPr>
        <b/>
        <sz val="10"/>
        <rFont val="Arial Narrow"/>
        <family val="2"/>
      </rPr>
      <t>PGAR:</t>
    </r>
    <r>
      <rPr>
        <sz val="10"/>
        <rFont val="Arial Narrow"/>
        <family val="2"/>
      </rPr>
      <t xml:space="preserve"> Reducir el 40% de los RESPEL generados</t>
    </r>
  </si>
  <si>
    <t>6.2.1. Población con acceso a métodos de saneamiento adecuados (%) </t>
  </si>
  <si>
    <t>85,7%</t>
  </si>
  <si>
    <r>
      <rPr>
        <b/>
        <sz val="10"/>
        <rFont val="Arial Narrow"/>
        <family val="2"/>
      </rPr>
      <t xml:space="preserve">Población que tiene acceso a métodos de saneamiento adecuados: </t>
    </r>
    <r>
      <rPr>
        <sz val="10"/>
        <rFont val="Arial Narrow"/>
        <family val="2"/>
      </rPr>
      <t xml:space="preserve">657.391 habitantes
</t>
    </r>
    <r>
      <rPr>
        <b/>
        <sz val="10"/>
        <rFont val="Arial Narrow"/>
        <family val="2"/>
      </rPr>
      <t>Población jurisdicción censo 2018:</t>
    </r>
    <r>
      <rPr>
        <sz val="10"/>
        <rFont val="Arial Narrow"/>
        <family val="2"/>
      </rPr>
      <t xml:space="preserve"> 1.417.208 habitantes
</t>
    </r>
    <r>
      <rPr>
        <b/>
        <sz val="10"/>
        <rFont val="Arial Narrow"/>
        <family val="2"/>
      </rPr>
      <t>Línea base 2018:</t>
    </r>
    <r>
      <rPr>
        <sz val="10"/>
        <rFont val="Arial Narrow"/>
        <family val="2"/>
      </rPr>
      <t xml:space="preserve"> 46%</t>
    </r>
  </si>
  <si>
    <r>
      <rPr>
        <b/>
        <sz val="10"/>
        <color theme="1"/>
        <rFont val="Arial Narrow"/>
        <family val="2"/>
      </rPr>
      <t>Agenda 2030:</t>
    </r>
    <r>
      <rPr>
        <sz val="10"/>
        <color theme="1"/>
        <rFont val="Arial Narrow"/>
        <family val="2"/>
      </rPr>
      <t xml:space="preserve"> 92,6%
</t>
    </r>
    <r>
      <rPr>
        <b/>
        <sz val="10"/>
        <rFont val="Arial Narrow"/>
        <family val="2"/>
      </rPr>
      <t xml:space="preserve">PGAR: </t>
    </r>
    <r>
      <rPr>
        <sz val="10"/>
        <rFont val="Arial Narrow"/>
        <family val="2"/>
      </rPr>
      <t>85,7%</t>
    </r>
  </si>
  <si>
    <t xml:space="preserve">▪ Departamento Nacional de Planeación  
▪ Gobernación de Antioquia  
▪ Ministerio de Ambiente y Desarrollo Sostenible 
▪ Municipios de la jurisdicción </t>
  </si>
  <si>
    <t>6.3.1. Aguas residuales urbanas domésticas tratadas de manera segura (%) </t>
  </si>
  <si>
    <r>
      <rPr>
        <b/>
        <sz val="10"/>
        <color theme="1"/>
        <rFont val="Arial Narrow"/>
        <family val="2"/>
      </rPr>
      <t>Línea base 2018:</t>
    </r>
    <r>
      <rPr>
        <sz val="10"/>
        <color theme="1"/>
        <rFont val="Arial Narrow"/>
        <family val="2"/>
      </rPr>
      <t xml:space="preserve"> 38,27%
</t>
    </r>
    <r>
      <rPr>
        <b/>
        <sz val="10"/>
        <color theme="1"/>
        <rFont val="Arial Narrow"/>
        <family val="2"/>
      </rPr>
      <t xml:space="preserve">Población urbana de la jurisdicción: </t>
    </r>
    <r>
      <rPr>
        <sz val="10"/>
        <color theme="1"/>
        <rFont val="Arial Narrow"/>
        <family val="2"/>
      </rPr>
      <t>622.438</t>
    </r>
    <r>
      <rPr>
        <b/>
        <sz val="10"/>
        <color theme="1"/>
        <rFont val="Arial Narrow"/>
        <family val="2"/>
      </rPr>
      <t xml:space="preserve">
Población urbana con PTAR:</t>
    </r>
    <r>
      <rPr>
        <sz val="10"/>
        <color theme="1"/>
        <rFont val="Arial Narrow"/>
        <family val="2"/>
      </rPr>
      <t xml:space="preserve"> 238.224 habitantes</t>
    </r>
  </si>
  <si>
    <r>
      <rPr>
        <b/>
        <sz val="10"/>
        <color theme="1"/>
        <rFont val="Arial Narrow"/>
        <family val="2"/>
      </rPr>
      <t>Agenda 2030:</t>
    </r>
    <r>
      <rPr>
        <sz val="10"/>
        <color theme="1"/>
        <rFont val="Arial Narrow"/>
        <family val="2"/>
      </rPr>
      <t xml:space="preserve"> 68.6%
</t>
    </r>
    <r>
      <rPr>
        <b/>
        <sz val="10"/>
        <rFont val="Arial Narrow"/>
        <family val="2"/>
      </rPr>
      <t>PGAR:</t>
    </r>
    <r>
      <rPr>
        <sz val="10"/>
        <rFont val="Arial Narrow"/>
        <family val="2"/>
      </rPr>
      <t>85.3%</t>
    </r>
  </si>
  <si>
    <t>6.3.2. Aguas residuales industriales tratadas (%)</t>
  </si>
  <si>
    <r>
      <rPr>
        <b/>
        <sz val="10"/>
        <color theme="1"/>
        <rFont val="Arial Narrow"/>
        <family val="2"/>
      </rPr>
      <t xml:space="preserve">Línea base PGAR (2019): </t>
    </r>
    <r>
      <rPr>
        <sz val="10"/>
        <color theme="1"/>
        <rFont val="Arial Narrow"/>
        <family val="2"/>
      </rPr>
      <t xml:space="preserve">78,5%
</t>
    </r>
    <r>
      <rPr>
        <sz val="10"/>
        <color theme="1"/>
        <rFont val="Calibri"/>
        <family val="2"/>
      </rPr>
      <t>▪</t>
    </r>
    <r>
      <rPr>
        <sz val="10"/>
        <color theme="1"/>
        <rFont val="Arial Narrow"/>
        <family val="2"/>
      </rPr>
      <t xml:space="preserve"> </t>
    </r>
    <r>
      <rPr>
        <b/>
        <sz val="10"/>
        <color theme="1"/>
        <rFont val="Arial Narrow"/>
        <family val="2"/>
      </rPr>
      <t>Usuarios industriales:</t>
    </r>
    <r>
      <rPr>
        <sz val="10"/>
        <color theme="1"/>
        <rFont val="Arial Narrow"/>
        <family val="2"/>
      </rPr>
      <t xml:space="preserve"> 293
</t>
    </r>
    <r>
      <rPr>
        <sz val="10"/>
        <color theme="1"/>
        <rFont val="Calibri"/>
        <family val="2"/>
      </rPr>
      <t>▪</t>
    </r>
    <r>
      <rPr>
        <sz val="10"/>
        <color theme="1"/>
        <rFont val="Arial Narrow"/>
        <family val="2"/>
      </rPr>
      <t xml:space="preserve"> </t>
    </r>
    <r>
      <rPr>
        <b/>
        <sz val="10"/>
        <color theme="1"/>
        <rFont val="Arial Narrow"/>
        <family val="2"/>
      </rPr>
      <t>Usuarios con tratamiento de aguas residuales:</t>
    </r>
    <r>
      <rPr>
        <sz val="10"/>
        <color theme="1"/>
        <rFont val="Arial Narrow"/>
        <family val="2"/>
      </rPr>
      <t xml:space="preserve"> 251.
</t>
    </r>
    <r>
      <rPr>
        <sz val="10"/>
        <color theme="1"/>
        <rFont val="Calibri"/>
        <family val="2"/>
      </rPr>
      <t>▪</t>
    </r>
    <r>
      <rPr>
        <sz val="10"/>
        <color theme="1"/>
        <rFont val="Arial Narrow"/>
        <family val="2"/>
      </rPr>
      <t xml:space="preserve"> </t>
    </r>
    <r>
      <rPr>
        <b/>
        <sz val="10"/>
        <color theme="1"/>
        <rFont val="Arial Narrow"/>
        <family val="2"/>
      </rPr>
      <t>Usuarios con plantas de tratamiento funcionando:</t>
    </r>
    <r>
      <rPr>
        <sz val="10"/>
        <color theme="1"/>
        <rFont val="Arial Narrow"/>
        <family val="2"/>
      </rPr>
      <t xml:space="preserve"> 230</t>
    </r>
  </si>
  <si>
    <r>
      <rPr>
        <b/>
        <sz val="10"/>
        <rFont val="Arial Narrow"/>
        <family val="2"/>
      </rPr>
      <t>Agenda 2030:</t>
    </r>
    <r>
      <rPr>
        <sz val="10"/>
        <rFont val="Arial Narrow"/>
        <family val="2"/>
      </rPr>
      <t xml:space="preserve"> 92%
</t>
    </r>
    <r>
      <rPr>
        <b/>
        <sz val="10"/>
        <rFont val="Arial Narrow"/>
        <family val="2"/>
      </rPr>
      <t>PGAR:</t>
    </r>
    <r>
      <rPr>
        <sz val="10"/>
        <rFont val="Arial Narrow"/>
        <family val="2"/>
      </rPr>
      <t xml:space="preserve"> 92%</t>
    </r>
  </si>
  <si>
    <t>Cobertura efectiva de sistemas de tratamiento de aguas residuales domésticas (número de personas)</t>
  </si>
  <si>
    <t>562.546 personas</t>
  </si>
  <si>
    <t>1.231.050 personas</t>
  </si>
  <si>
    <r>
      <rPr>
        <b/>
        <sz val="10"/>
        <color theme="1"/>
        <rFont val="Arial Narrow"/>
        <family val="2"/>
      </rPr>
      <t xml:space="preserve">PGAR: </t>
    </r>
    <r>
      <rPr>
        <sz val="10"/>
        <color theme="1"/>
        <rFont val="Arial Narrow"/>
        <family val="2"/>
      </rPr>
      <t>562.546 personas</t>
    </r>
  </si>
  <si>
    <r>
      <rPr>
        <b/>
        <sz val="10"/>
        <rFont val="Arial Narrow"/>
        <family val="2"/>
      </rPr>
      <t xml:space="preserve">Agenda 2030: </t>
    </r>
    <r>
      <rPr>
        <sz val="10"/>
        <rFont val="Arial Narrow"/>
        <family val="2"/>
      </rPr>
      <t xml:space="preserve">2.541.000 nuevas personas beneficiadas con manejo de aguas residuales (Política para el suministro de agua potable y saneamiento básico en la zona rural)
</t>
    </r>
    <r>
      <rPr>
        <b/>
        <sz val="10"/>
        <rFont val="Arial Narrow"/>
        <family val="2"/>
      </rPr>
      <t xml:space="preserve">PGAR: </t>
    </r>
    <r>
      <rPr>
        <sz val="10"/>
        <rFont val="Arial Narrow"/>
        <family val="2"/>
      </rPr>
      <t>1.231.050 personas</t>
    </r>
  </si>
  <si>
    <t>Cumplir los objetivos de calidad del agua propuesto</t>
  </si>
  <si>
    <t>3.9.4. Riesgo Calidad del Agua para consumo humano (IRCA) Urbano (%) </t>
  </si>
  <si>
    <r>
      <rPr>
        <b/>
        <sz val="10"/>
        <color theme="1"/>
        <rFont val="Arial Narrow"/>
        <family val="2"/>
      </rPr>
      <t xml:space="preserve">Línea base PGAR (2017): </t>
    </r>
    <r>
      <rPr>
        <sz val="10"/>
        <color theme="1"/>
        <rFont val="Arial Narrow"/>
        <family val="2"/>
      </rPr>
      <t>13.75%. El 86.25% (69 de los 80) municipios de la jurisdicción con IRCA de 0% al 5% sin riesgo</t>
    </r>
  </si>
  <si>
    <r>
      <rPr>
        <b/>
        <sz val="10"/>
        <color theme="1"/>
        <rFont val="Arial Narrow"/>
        <family val="2"/>
      </rPr>
      <t>Agenda 2030:</t>
    </r>
    <r>
      <rPr>
        <sz val="10"/>
        <color theme="1"/>
        <rFont val="Arial Narrow"/>
        <family val="2"/>
      </rPr>
      <t xml:space="preserve"> 5%
</t>
    </r>
    <r>
      <rPr>
        <b/>
        <sz val="10"/>
        <color theme="1"/>
        <rFont val="Arial Narrow"/>
        <family val="2"/>
      </rPr>
      <t>Meta PGAR:</t>
    </r>
    <r>
      <rPr>
        <sz val="10"/>
        <color theme="1"/>
        <rFont val="Arial Narrow"/>
        <family val="2"/>
      </rPr>
      <t xml:space="preserve"> 5%. El 95% (76 de los 80) municipios de la jurisdicción con IRCA de 0 al 5% sin riesgo</t>
    </r>
  </si>
  <si>
    <t xml:space="preserve">▪ Empresas prestadoras de servicios públicos 
▪ Ministerio de Ambiente y Desarrollo Sostenible, Dirección de Gestión Integral del Recurso Hídrico 
▪ Municipios de la jurisdicción </t>
  </si>
  <si>
    <t>3.9.5. Riesgo Calidad del Agua para consumo humano (IRCA) Rural (%)</t>
  </si>
  <si>
    <r>
      <rPr>
        <b/>
        <sz val="10"/>
        <color theme="1"/>
        <rFont val="Arial Narrow"/>
        <family val="2"/>
      </rPr>
      <t xml:space="preserve">Línea base PGAR (2017): </t>
    </r>
    <r>
      <rPr>
        <sz val="10"/>
        <color theme="1"/>
        <rFont val="Arial Narrow"/>
        <family val="2"/>
      </rPr>
      <t>90%. El 10% (8 de los 80) municipios de la jurisdicción con IRCA de 0% al 5% sin riesgo</t>
    </r>
  </si>
  <si>
    <r>
      <t xml:space="preserve">Agenda 2030: -
</t>
    </r>
    <r>
      <rPr>
        <b/>
        <sz val="10"/>
        <color theme="1"/>
        <rFont val="Arial Narrow"/>
        <family val="2"/>
      </rPr>
      <t>Meta PGAR:</t>
    </r>
    <r>
      <rPr>
        <sz val="10"/>
        <color theme="1"/>
        <rFont val="Arial Narrow"/>
        <family val="2"/>
      </rPr>
      <t xml:space="preserve"> 85%. El 15% (12 de los 80) municipios de la jurisdicción con IRCA de 0% al 5% sin riesgo</t>
    </r>
  </si>
  <si>
    <t>6.3.3. Puntos de monitoreo con categoría buena o aceptable del Índice de Calidad de Agua (ICA) (%) </t>
  </si>
  <si>
    <t>76,47%</t>
  </si>
  <si>
    <r>
      <rPr>
        <b/>
        <sz val="10"/>
        <color theme="1"/>
        <rFont val="Arial Narrow"/>
        <family val="2"/>
      </rPr>
      <t>Línea base PGAR (2016):</t>
    </r>
    <r>
      <rPr>
        <sz val="10"/>
        <color theme="1"/>
        <rFont val="Arial Narrow"/>
        <family val="2"/>
      </rPr>
      <t xml:space="preserve"> 76,47% (26 niveles subsiguientes o subzonas hidrográficas con IACAL bajo y moderado/34 Total de niveles subsiguientes o subzonas hidrográficas) </t>
    </r>
  </si>
  <si>
    <r>
      <t xml:space="preserve">Agenda 2030: 43%
</t>
    </r>
    <r>
      <rPr>
        <b/>
        <sz val="10"/>
        <color theme="1"/>
        <rFont val="Arial Narrow"/>
        <family val="2"/>
      </rPr>
      <t xml:space="preserve">Meta PGAR: </t>
    </r>
    <r>
      <rPr>
        <sz val="10"/>
        <color theme="1"/>
        <rFont val="Arial Narrow"/>
        <family val="2"/>
      </rPr>
      <t>76,47% - Mantener (26 niveles subsiguientes o subzonas hidrográficas con IACAL bajo y moderado/34 Total de niveles subsiguientes o subzonas hidrográficas)</t>
    </r>
  </si>
  <si>
    <t>Fuentes abastecedoras con índice de calidad aceptable o buena (%)</t>
  </si>
  <si>
    <r>
      <rPr>
        <b/>
        <sz val="10"/>
        <color theme="1"/>
        <rFont val="Arial Narrow"/>
        <family val="2"/>
      </rPr>
      <t xml:space="preserve">PGAR: </t>
    </r>
    <r>
      <rPr>
        <sz val="10"/>
        <color theme="1"/>
        <rFont val="Arial Narrow"/>
        <family val="2"/>
      </rPr>
      <t>90%</t>
    </r>
  </si>
  <si>
    <r>
      <rPr>
        <b/>
        <sz val="10"/>
        <color theme="1"/>
        <rFont val="Arial Narrow"/>
        <family val="2"/>
      </rPr>
      <t xml:space="preserve">▪ Colombia: </t>
    </r>
    <r>
      <rPr>
        <sz val="10"/>
        <color theme="1"/>
        <rFont val="Arial Narrow"/>
        <family val="2"/>
      </rPr>
      <t xml:space="preserve">100 % de las fuentes abastecedoras con índice de calidad aceptable o buena 
</t>
    </r>
    <r>
      <rPr>
        <b/>
        <sz val="10"/>
        <color theme="1"/>
        <rFont val="Arial Narrow"/>
        <family val="2"/>
      </rPr>
      <t>▪ PGAR:</t>
    </r>
    <r>
      <rPr>
        <sz val="10"/>
        <color theme="1"/>
        <rFont val="Arial Narrow"/>
        <family val="2"/>
      </rPr>
      <t xml:space="preserve"> 100% con ICA Bueno o Aceptable. </t>
    </r>
  </si>
  <si>
    <t>Mejorar la calidad del aire en centros poblados rurales y urbanos</t>
  </si>
  <si>
    <r>
      <t>3.9.1 y 11.6 Estaciones que cumplen con el objetivo intermedio III de las guías de calidad del aire de la Organización Mundial de la Salud (OMS) en material particulado inferior a 2.5 micras (PM</t>
    </r>
    <r>
      <rPr>
        <vertAlign val="subscript"/>
        <sz val="10"/>
        <color theme="1"/>
        <rFont val="Arial Narrow"/>
        <family val="2"/>
      </rPr>
      <t>2.5</t>
    </r>
    <r>
      <rPr>
        <sz val="10"/>
        <color theme="1"/>
        <rFont val="Arial Narrow"/>
        <family val="2"/>
      </rPr>
      <t>) (%)</t>
    </r>
  </si>
  <si>
    <r>
      <t>La estación fija ubicada en el municipio de Envigado, la cual mide PM</t>
    </r>
    <r>
      <rPr>
        <vertAlign val="subscript"/>
        <sz val="10"/>
        <color theme="1"/>
        <rFont val="Arial Narrow"/>
        <family val="2"/>
      </rPr>
      <t>2.5</t>
    </r>
    <r>
      <rPr>
        <sz val="10"/>
        <color theme="1"/>
        <rFont val="Arial Narrow"/>
        <family val="2"/>
      </rPr>
      <t xml:space="preserve">, reportó un promedio anual de 9,6 µg/m3 en 2018. Por tanto, esta estación cumplió con el objetivo intermedio III de las guías de calidad del aire de la OMS, que establece una concentración de 15 µg/m3.
En vista de lo anterior, el 100% de nuestras estaciones cumplieron.   </t>
    </r>
  </si>
  <si>
    <t>70% de las estaciones fijas</t>
  </si>
  <si>
    <t xml:space="preserve">Agenda 2030: 70%
PGAR: 70% </t>
  </si>
  <si>
    <t>▪ Empresas  
▪ Gobernación de Antioquia  
▪ Ministerio de Transporte 
▪ Ministerio de Ambiente y Desarrollo Sostenible 
▪ Ministerio de Comercio, Industria y Turismo 
▪ Ministerio de Salud y Protección Social 
▪ Ministerio de Minas y Energía 
▪ Municipios de la jurisdicción</t>
  </si>
  <si>
    <r>
      <t>3.9.2 y 11.6 Estaciones que cumplen con el objetivo intermedio III de las guías de calidad del aire de la Organización Mundial de la Salud (OMS) en material particulado inferior a 10 micras (PM</t>
    </r>
    <r>
      <rPr>
        <vertAlign val="subscript"/>
        <sz val="10"/>
        <color theme="1"/>
        <rFont val="Arial Narrow"/>
        <family val="2"/>
      </rPr>
      <t>10</t>
    </r>
    <r>
      <rPr>
        <sz val="10"/>
        <color theme="1"/>
        <rFont val="Arial Narrow"/>
        <family val="2"/>
      </rPr>
      <t>) (%)</t>
    </r>
  </si>
  <si>
    <r>
      <t>A 2019, la Corporación cuenta con dos estaciones fijas que miden PM</t>
    </r>
    <r>
      <rPr>
        <vertAlign val="subscript"/>
        <sz val="10"/>
        <rFont val="Arial Narrow"/>
        <family val="2"/>
      </rPr>
      <t>10</t>
    </r>
    <r>
      <rPr>
        <sz val="10"/>
        <rFont val="Arial Narrow"/>
        <family val="2"/>
      </rPr>
      <t xml:space="preserve"> ubicadas en el corregimiento de Altavista en Medellín y en el municipio de Caucasia. De acuerdo a los resultados obtenidos en 2018, el promedio anual de las estaciones fue de 44,7 µg/m3 y 25,3 µg/m3, para Altavista y Caucasia, respectivamente. Teniendo en cuenta que el objetivo intermedio III de las guías de calidad del aire de la OMS establece una concentración de 30 µg/m3 , el 50% de nuestras estaciones cumplieron.      </t>
    </r>
  </si>
  <si>
    <t>Agenda 2030: 70%
PGAR: 70%</t>
  </si>
  <si>
    <r>
      <t>Intensidad de emisiones de CO</t>
    </r>
    <r>
      <rPr>
        <vertAlign val="subscript"/>
        <sz val="10"/>
        <color theme="1"/>
        <rFont val="Arial Narrow"/>
        <family val="2"/>
      </rPr>
      <t>2</t>
    </r>
    <r>
      <rPr>
        <sz val="10"/>
        <color theme="1"/>
        <rFont val="Arial Narrow"/>
        <family val="2"/>
      </rPr>
      <t xml:space="preserve"> por parte del sector industrial</t>
    </r>
  </si>
  <si>
    <r>
      <t>Plan Regional de Cambio Climático 2017: 873.40 Gg de CO</t>
    </r>
    <r>
      <rPr>
        <vertAlign val="subscript"/>
        <sz val="10"/>
        <color theme="1"/>
        <rFont val="Arial Narrow"/>
        <family val="2"/>
      </rPr>
      <t>2</t>
    </r>
    <r>
      <rPr>
        <sz val="10"/>
        <color theme="1"/>
        <rFont val="Arial Narrow"/>
        <family val="2"/>
      </rPr>
      <t>eq/año</t>
    </r>
  </si>
  <si>
    <r>
      <t>Disminución del 10%, lo que equivale a 786.06 Gg de CO</t>
    </r>
    <r>
      <rPr>
        <vertAlign val="subscript"/>
        <sz val="10"/>
        <color theme="1"/>
        <rFont val="Arial Narrow"/>
        <family val="2"/>
      </rPr>
      <t>2</t>
    </r>
    <r>
      <rPr>
        <sz val="10"/>
        <color theme="1"/>
        <rFont val="Arial Narrow"/>
        <family val="2"/>
      </rPr>
      <t>eq/año</t>
    </r>
  </si>
  <si>
    <r>
      <t>Agenda 2030: 0,860 GIGA_CO</t>
    </r>
    <r>
      <rPr>
        <vertAlign val="subscript"/>
        <sz val="10"/>
        <color theme="1"/>
        <rFont val="Arial Narrow"/>
        <family val="2"/>
      </rPr>
      <t xml:space="preserve">2 </t>
    </r>
    <r>
      <rPr>
        <sz val="10"/>
        <color theme="1"/>
        <rFont val="Arial Narrow"/>
        <family val="2"/>
      </rPr>
      <t>por $ miles de millones
PGAR: 0,860 GIGA_CO</t>
    </r>
    <r>
      <rPr>
        <vertAlign val="subscript"/>
        <sz val="10"/>
        <color theme="1"/>
        <rFont val="Arial Narrow"/>
        <family val="2"/>
      </rPr>
      <t>2</t>
    </r>
    <r>
      <rPr>
        <sz val="10"/>
        <color theme="1"/>
        <rFont val="Arial Narrow"/>
        <family val="2"/>
      </rPr>
      <t xml:space="preserve"> por $ miles de millones</t>
    </r>
  </si>
  <si>
    <t>Propuesta para validar con la responsable</t>
  </si>
  <si>
    <t>Calidad del Aire – ICA Buena y Aceptable (%)</t>
  </si>
  <si>
    <t xml:space="preserve">De acuerdo a los resultados del Índice de Calidad del Aire (ICA) obtenidos en el primer semestre de 2019 en las estaciones fijas, durante la mayor parte del periodo de monitoreo, la calidad del aire estuvo en las categorías “buena” y “moderada”; con excepción de la estación de Envigado que presentó algunos días con calidad del aire “dañina a grupos sensibles” durante el mes de marzo, esto debido principalmente a las condiciones meteorológicas particulares que se dan durante ese periodo, las cuales motivaron la declaratoria de la contingencia atmosférica en el Valle de Aburrá. Entre junio y septiembre de 2019, las estaciones han mantenido un índice de calidad del aire entre "buena" y "moderada". </t>
  </si>
  <si>
    <t>70% de las estaciones fijas y móviles con un índice de calidad del aire entre buena y moderada</t>
  </si>
  <si>
    <r>
      <rPr>
        <b/>
        <sz val="10"/>
        <color theme="1"/>
        <rFont val="Arial Narrow"/>
        <family val="2"/>
      </rPr>
      <t>PGAR:</t>
    </r>
    <r>
      <rPr>
        <sz val="10"/>
        <color theme="1"/>
        <rFont val="Arial Narrow"/>
        <family val="2"/>
      </rPr>
      <t xml:space="preserve"> 70% de las estaciones fijas y móviles con un índice de calidad del aire entre buena y moderada</t>
    </r>
  </si>
  <si>
    <t xml:space="preserve">Aumentar la población con acceso a agua potable </t>
  </si>
  <si>
    <t>6.1.1. Viviendas con acceso a agua potable (%) </t>
  </si>
  <si>
    <r>
      <rPr>
        <b/>
        <sz val="10"/>
        <color theme="1"/>
        <rFont val="Arial Narrow"/>
        <family val="2"/>
      </rPr>
      <t>Agenda 2030 (2015):</t>
    </r>
    <r>
      <rPr>
        <sz val="10"/>
        <color theme="1"/>
        <rFont val="Arial Narrow"/>
        <family val="2"/>
      </rPr>
      <t xml:space="preserve"> 91,8%
</t>
    </r>
    <r>
      <rPr>
        <b/>
        <sz val="10"/>
        <color theme="1"/>
        <rFont val="Arial Narrow"/>
        <family val="2"/>
      </rPr>
      <t>PGAR (2017):</t>
    </r>
    <r>
      <rPr>
        <sz val="10"/>
        <color theme="1"/>
        <rFont val="Arial Narrow"/>
        <family val="2"/>
      </rPr>
      <t xml:space="preserve"> 50,4% equivalente al promedio de viviendas con acceso a agua potable</t>
    </r>
  </si>
  <si>
    <r>
      <rPr>
        <b/>
        <sz val="10"/>
        <color theme="1"/>
        <rFont val="Arial Narrow"/>
        <family val="2"/>
      </rPr>
      <t>Agenda 2030:</t>
    </r>
    <r>
      <rPr>
        <sz val="10"/>
        <color theme="1"/>
        <rFont val="Arial Narrow"/>
        <family val="2"/>
      </rPr>
      <t xml:space="preserve"> 100% 
</t>
    </r>
    <r>
      <rPr>
        <b/>
        <sz val="10"/>
        <color theme="1"/>
        <rFont val="Arial Narrow"/>
        <family val="2"/>
      </rPr>
      <t>PGAR:</t>
    </r>
    <r>
      <rPr>
        <sz val="10"/>
        <color theme="1"/>
        <rFont val="Arial Narrow"/>
        <family val="2"/>
      </rPr>
      <t xml:space="preserve"> 100% de las viviendas con acceso a agua potable</t>
    </r>
  </si>
  <si>
    <t>▪ Departamento Nacional de Planeación 
Empresas 
▪ Gobernación de Antioquia 
▪ Ministerio de Ambiente Vivienda y Desarrollo Territorial 
▪ Ministerio de Vivienda, Ciudad y Territorio 
▪ Ministerio de Salud y Protección Social 
▪ Municipios de la jurisdicción</t>
  </si>
  <si>
    <t>Disponibilidad de agua (100%)</t>
  </si>
  <si>
    <t>Acceso agua potable en asentamientos étnicos (%)</t>
  </si>
  <si>
    <t xml:space="preserve">62 grupos indígenas: 90 % tienen sistemas artesanales, tanques y mangueras, el 10 % restantes acueducto veredal (Miguel Certiga-Tamesis, Carmatarrua-Jardín y Marcelino Tascon-Valparaiso) y dos son sistemas propios (soibado y los almendros en el Bagre).
99 Consejos comunitarios Afro: ninguno tiene acueducto como tal;  San Nicolás de Sopetran y San Andres de Girardota, están conectados al acueducto veredal  </t>
  </si>
  <si>
    <t>Movilidad sostenible</t>
  </si>
  <si>
    <t>Promover la movilidad sostenible</t>
  </si>
  <si>
    <t>13.2. Emisiones totales de gases efecto invernadero (%) </t>
  </si>
  <si>
    <r>
      <t xml:space="preserve">▪ </t>
    </r>
    <r>
      <rPr>
        <b/>
        <sz val="10"/>
        <color theme="1"/>
        <rFont val="Arial Narrow"/>
        <family val="2"/>
      </rPr>
      <t>Línea base Colombia (2010):</t>
    </r>
    <r>
      <rPr>
        <sz val="10"/>
        <color theme="1"/>
        <rFont val="Arial Narrow"/>
        <family val="2"/>
      </rPr>
      <t xml:space="preserve"> 0 
▪ </t>
    </r>
    <r>
      <rPr>
        <b/>
        <sz val="10"/>
        <color theme="1"/>
        <rFont val="Arial Narrow"/>
        <family val="2"/>
      </rPr>
      <t>Línea base PGAR:</t>
    </r>
    <r>
      <rPr>
        <sz val="10"/>
        <color theme="1"/>
        <rFont val="Arial Narrow"/>
        <family val="2"/>
      </rPr>
      <t xml:space="preserve"> 8.65 Mton de CO2e, según PRCC </t>
    </r>
  </si>
  <si>
    <r>
      <rPr>
        <b/>
        <sz val="10"/>
        <color theme="1"/>
        <rFont val="Arial Narrow"/>
        <family val="2"/>
      </rPr>
      <t>Meta PGAR:</t>
    </r>
    <r>
      <rPr>
        <sz val="10"/>
        <color theme="1"/>
        <rFont val="Arial Narrow"/>
        <family val="2"/>
      </rPr>
      <t xml:space="preserve"> Reducción del 20% (6.92 Mton de CO</t>
    </r>
    <r>
      <rPr>
        <vertAlign val="subscript"/>
        <sz val="10"/>
        <color theme="1"/>
        <rFont val="Arial Narrow"/>
        <family val="2"/>
      </rPr>
      <t>2</t>
    </r>
    <r>
      <rPr>
        <sz val="10"/>
        <color theme="1"/>
        <rFont val="Arial Narrow"/>
        <family val="2"/>
      </rPr>
      <t>e)</t>
    </r>
  </si>
  <si>
    <r>
      <rPr>
        <b/>
        <sz val="10"/>
        <color theme="1"/>
        <rFont val="Arial Narrow"/>
        <family val="2"/>
      </rPr>
      <t>Meta agenda 2030:</t>
    </r>
    <r>
      <rPr>
        <sz val="10"/>
        <color theme="1"/>
        <rFont val="Arial Narrow"/>
        <family val="2"/>
      </rPr>
      <t xml:space="preserve"> 20% 
Reducción progresiva de las emisiones nacionales de GEI de 20% (y hasta un 30 % condicionado apoyo internacional) respecto a las emisiones proyectadas para el año 2030. 
La meta implica que para el año 2030 las emisiones nacionales de gases de efecto invernadero estarán dentro del rango de 268 y 234 Mton de CO</t>
    </r>
    <r>
      <rPr>
        <vertAlign val="subscript"/>
        <sz val="10"/>
        <color theme="1"/>
        <rFont val="Arial Narrow"/>
        <family val="2"/>
      </rPr>
      <t>2</t>
    </r>
    <r>
      <rPr>
        <sz val="10"/>
        <color theme="1"/>
        <rFont val="Arial Narrow"/>
        <family val="2"/>
      </rPr>
      <t xml:space="preserve">e (Política Nacional de Cambio Climático) 
</t>
    </r>
    <r>
      <rPr>
        <b/>
        <sz val="10"/>
        <color theme="1"/>
        <rFont val="Arial Narrow"/>
        <family val="2"/>
      </rPr>
      <t>Meta PGAR:</t>
    </r>
    <r>
      <rPr>
        <sz val="10"/>
        <color theme="1"/>
        <rFont val="Arial Narrow"/>
        <family val="2"/>
      </rPr>
      <t xml:space="preserve"> 20% (6.92 Mton de CO</t>
    </r>
    <r>
      <rPr>
        <vertAlign val="subscript"/>
        <sz val="10"/>
        <color theme="1"/>
        <rFont val="Arial Narrow"/>
        <family val="2"/>
      </rPr>
      <t>2</t>
    </r>
    <r>
      <rPr>
        <sz val="10"/>
        <color theme="1"/>
        <rFont val="Arial Narrow"/>
        <family val="2"/>
      </rPr>
      <t>e)</t>
    </r>
  </si>
  <si>
    <t>▪ Empresas  
▪ Gobernación de Antioquia  
▪ Ministerio de Ambiente y Desarrollo Sostenible 
▪ Ministerio de Comercio, Industria y Turismo 
▪ Ministerio de Minas y Energía  
▪ Ministerio de Salud y Protección Social 
▪ Ministerio de Transporte 
▪ Municipios de la jurisdicción</t>
  </si>
  <si>
    <t>Empresas con plan de movilidad en ejecución (%)</t>
  </si>
  <si>
    <t>Sin  medición</t>
  </si>
  <si>
    <t>Plan jurisdiccional de movilidad sostenible en ejecución</t>
  </si>
  <si>
    <t xml:space="preserve">Identificación y manejo de riesgos e impactos ecológicos y económicos producto del cambio climático en los territorios étnicos </t>
  </si>
  <si>
    <t>Vulnerabilidad por cambio climático en territorios étnicos debido a factores ambientales</t>
  </si>
  <si>
    <t>Disminución del 40%</t>
  </si>
  <si>
    <r>
      <rPr>
        <b/>
        <sz val="10"/>
        <rFont val="Arial Narrow"/>
        <family val="2"/>
      </rPr>
      <t xml:space="preserve">Línea 4: </t>
    </r>
    <r>
      <rPr>
        <sz val="10"/>
        <rFont val="Arial Narrow"/>
        <family val="2"/>
      </rPr>
      <t>Fortalecimiento de la cultura ambiental y de las capacidades de los actores para la gestión conjunta y el logro de los resultados</t>
    </r>
  </si>
  <si>
    <t>Institucionalidad fortalecida para una gestión ambiental corresponsable</t>
  </si>
  <si>
    <t>Fortalecer la capacidad instalada de los actores</t>
  </si>
  <si>
    <t>≥ 94% (Sobresaliente)</t>
  </si>
  <si>
    <t>Ministerio de Ambiente y Desarrollo Sostenible</t>
  </si>
  <si>
    <t>Corantioquia (2017): 94%</t>
  </si>
  <si>
    <r>
      <t xml:space="preserve">PGAR: </t>
    </r>
    <r>
      <rPr>
        <sz val="10"/>
        <color theme="1"/>
        <rFont val="Calibri"/>
        <family val="2"/>
      </rPr>
      <t>≥</t>
    </r>
    <r>
      <rPr>
        <sz val="10"/>
        <color theme="1"/>
        <rFont val="Arial Narrow"/>
        <family val="2"/>
      </rPr>
      <t xml:space="preserve"> 94% (Sobresaliente)</t>
    </r>
  </si>
  <si>
    <r>
      <rPr>
        <sz val="10"/>
        <color theme="1"/>
        <rFont val="Calibri"/>
        <family val="2"/>
      </rPr>
      <t>▪</t>
    </r>
    <r>
      <rPr>
        <sz val="10"/>
        <color theme="1"/>
        <rFont val="Arial Narrow"/>
        <family val="2"/>
      </rPr>
      <t xml:space="preserve"> Agencias de Cooperación Nacional e Internacional 
▪ Centros de I+D+i (investigación, desarrollo e innovación) 
▪ Corporaciones Autónomas Regionales limítrofes   
▪ Departamento Nacional de Planeación - DNP 
▪ Departamento Administrativo de la Función Pública - DAFP 
▪ Gobernación de Antioquia 
▪ Instituciones de educación superior 
▪ Mesas Ambientales  
▪ Ministerio de Ambiente y Desarrollo Sostenible - MADS 
▪ Municipios de la jurisdicción 
Organizaciones de la sociedad civil 
▪ Pueblos étnicos  
▪ Sector productivo 
▪ Veedurías ciudadanas</t>
    </r>
  </si>
  <si>
    <t>Municipios con capacidad alta para la gestión ambiental (número)</t>
  </si>
  <si>
    <t>PGAR: 70</t>
  </si>
  <si>
    <t>Sin dato</t>
  </si>
  <si>
    <t>La articulación y el diálogo en la transición hacia la sostenibilidad</t>
  </si>
  <si>
    <t>Armonizar los asuntos y determinantes ambientales en la planeación de las autoridades ambientales en la jurisdicción</t>
  </si>
  <si>
    <r>
      <rPr>
        <b/>
        <sz val="10"/>
        <color theme="1"/>
        <rFont val="Arial Narrow"/>
        <family val="2"/>
      </rPr>
      <t xml:space="preserve">PGAR: </t>
    </r>
    <r>
      <rPr>
        <sz val="10"/>
        <color theme="1"/>
        <rFont val="Arial Narrow"/>
        <family val="2"/>
      </rPr>
      <t>Sin medición, dado que se iniciará su seguimiento a partir del PGAR.</t>
    </r>
  </si>
  <si>
    <r>
      <rPr>
        <b/>
        <sz val="10"/>
        <color theme="1"/>
        <rFont val="Arial Narrow"/>
        <family val="2"/>
      </rPr>
      <t>Meta PGAR:</t>
    </r>
    <r>
      <rPr>
        <sz val="10"/>
        <color theme="1"/>
        <rFont val="Arial Narrow"/>
        <family val="2"/>
      </rPr>
      <t xml:space="preserve"> 100% de Instrumentos de Planificación Ambiental presentes en el territorio armonizados.</t>
    </r>
  </si>
  <si>
    <r>
      <rPr>
        <sz val="10"/>
        <color theme="1"/>
        <rFont val="Calibri"/>
        <family val="2"/>
      </rPr>
      <t>▪</t>
    </r>
    <r>
      <rPr>
        <sz val="10"/>
        <color theme="1"/>
        <rFont val="Arial Narrow"/>
        <family val="2"/>
      </rPr>
      <t xml:space="preserve"> Área Metropolitana del Valle de Aburrá  
</t>
    </r>
    <r>
      <rPr>
        <sz val="10"/>
        <color theme="1"/>
        <rFont val="Calibri"/>
        <family val="2"/>
      </rPr>
      <t>▪</t>
    </r>
    <r>
      <rPr>
        <sz val="10"/>
        <color theme="1"/>
        <rFont val="Arial Narrow"/>
        <family val="2"/>
      </rPr>
      <t xml:space="preserve"> Corporaciones Autónomas Regionales limítrofes  
</t>
    </r>
    <r>
      <rPr>
        <sz val="10"/>
        <color theme="1"/>
        <rFont val="Calibri"/>
        <family val="2"/>
      </rPr>
      <t>▪</t>
    </r>
    <r>
      <rPr>
        <sz val="10"/>
        <color theme="1"/>
        <rFont val="Arial Narrow"/>
        <family val="2"/>
      </rPr>
      <t xml:space="preserve"> Instituciones del SINA</t>
    </r>
  </si>
  <si>
    <t>Armonizar los componentes programáticos de los diferentes planes institucionales en la jurisdicción</t>
  </si>
  <si>
    <r>
      <rPr>
        <sz val="10"/>
        <color theme="1"/>
        <rFont val="Calibri"/>
        <family val="2"/>
      </rPr>
      <t>▪</t>
    </r>
    <r>
      <rPr>
        <sz val="10"/>
        <color theme="1"/>
        <rFont val="Arial Narrow"/>
        <family val="2"/>
      </rPr>
      <t xml:space="preserve"> Agencia Nacional de Hidrocarburos 
▪ Agencia Nacional de Infraestructura  
▪ Corporaciones Autónomas Regionales limítrofes 
▪ Gobernación de Antioquia 
▪ Instituciones de educación superior, técnica y tecnológica 
▪ Ministerio de Agricultura y de Desarrollo Rural  
▪ Ministerio de Ambiente y Desarrollo Sostenible 
▪ Ministerio de Comercio, Industria y Turismo 
▪ Ministerio de Minas y Energía Ministerio de Salud y Protección Social 
▪ Ministerio de Transporte  
▪ Municipios de la jurisdicción 
▪ Organizaciones de la sociedad civil  
▪ Organizaciones indígenas, afro y campesinas 
▪ Sector Productivo y de Servicios</t>
    </r>
  </si>
  <si>
    <t>Ejecutar los retos del PGAR con corresponsabilidad</t>
  </si>
  <si>
    <t>Indicadores del PGAR 2020-2031, cumplidos con el compromiso de los diferentes actores del territorio (%)</t>
  </si>
  <si>
    <t>Mayor al 90%</t>
  </si>
  <si>
    <t xml:space="preserve">PGAR: &gt; 90% </t>
  </si>
  <si>
    <r>
      <rPr>
        <sz val="10"/>
        <color theme="1"/>
        <rFont val="Calibri"/>
        <family val="2"/>
      </rPr>
      <t>▪</t>
    </r>
    <r>
      <rPr>
        <sz val="10"/>
        <color theme="1"/>
        <rFont val="Arial Narrow"/>
        <family val="2"/>
      </rPr>
      <t xml:space="preserve"> Instituciones públicas y privadas  
▪ Sector productivo y de servicios  
▪ Sociedad civil</t>
    </r>
  </si>
  <si>
    <t>70% de los recursos ejecutados con corresponsabilidad</t>
  </si>
  <si>
    <r>
      <t xml:space="preserve">Meta PGAR: 
</t>
    </r>
    <r>
      <rPr>
        <b/>
        <sz val="10"/>
        <color theme="1"/>
        <rFont val="Calibri"/>
        <family val="2"/>
      </rPr>
      <t>▪</t>
    </r>
    <r>
      <rPr>
        <b/>
        <sz val="10"/>
        <color theme="1"/>
        <rFont val="Arial Narrow"/>
        <family val="2"/>
      </rPr>
      <t xml:space="preserve"> Recursos económicos del PGAR ejecutados con corresponsabilidad: </t>
    </r>
    <r>
      <rPr>
        <sz val="10"/>
        <color theme="1"/>
        <rFont val="Arial Narrow"/>
        <family val="2"/>
      </rPr>
      <t xml:space="preserve"> 70% </t>
    </r>
    <r>
      <rPr>
        <b/>
        <sz val="10"/>
        <color theme="1"/>
        <rFont val="Arial Narrow"/>
        <family val="2"/>
      </rPr>
      <t xml:space="preserve">
</t>
    </r>
    <r>
      <rPr>
        <b/>
        <sz val="10"/>
        <color theme="1"/>
        <rFont val="Calibri"/>
        <family val="2"/>
      </rPr>
      <t>▪</t>
    </r>
    <r>
      <rPr>
        <b/>
        <sz val="10"/>
        <color theme="1"/>
        <rFont val="Arial Narrow"/>
        <family val="2"/>
      </rPr>
      <t xml:space="preserve"> Recursos económicos del PGAR ejecutados por la Corporación: </t>
    </r>
    <r>
      <rPr>
        <sz val="10"/>
        <color theme="1"/>
        <rFont val="Arial Narrow"/>
        <family val="2"/>
      </rPr>
      <t xml:space="preserve">30% </t>
    </r>
    <r>
      <rPr>
        <b/>
        <sz val="10"/>
        <color theme="1"/>
        <rFont val="Arial Narrow"/>
        <family val="2"/>
      </rPr>
      <t xml:space="preserve">
</t>
    </r>
    <r>
      <rPr>
        <b/>
        <sz val="10"/>
        <color theme="1"/>
        <rFont val="Calibri"/>
        <family val="2"/>
      </rPr>
      <t>▪</t>
    </r>
    <r>
      <rPr>
        <b/>
        <sz val="10"/>
        <color theme="1"/>
        <rFont val="Arial Narrow"/>
        <family val="2"/>
      </rPr>
      <t xml:space="preserve"> Valor PGAR: </t>
    </r>
    <r>
      <rPr>
        <sz val="10"/>
        <color theme="1"/>
        <rFont val="Arial Narrow"/>
        <family val="2"/>
      </rPr>
      <t xml:space="preserve">$8.8 billones </t>
    </r>
  </si>
  <si>
    <t>Apropiar a los actores de su territorio desde la comunicación, el reconocimiento y fortalecimiento en lo cultural</t>
  </si>
  <si>
    <r>
      <rPr>
        <sz val="10"/>
        <color theme="1"/>
        <rFont val="Calibri"/>
        <family val="2"/>
      </rPr>
      <t>▪</t>
    </r>
    <r>
      <rPr>
        <sz val="10"/>
        <color theme="1"/>
        <rFont val="Arial Narrow"/>
        <family val="2"/>
      </rPr>
      <t xml:space="preserve"> Comunidades étnicas 
▪ Gobernación de Antioquia 
▪ Ministerio de Cultura 
▪ Municipios de la jurisdicción 
▪ Sociedad civil </t>
    </r>
  </si>
  <si>
    <t>La gestión de la información y el conocimiento: Investigación + Desarrollo + innovación</t>
  </si>
  <si>
    <t>Disponer, apropiar y usar la información y conocimiento ambiental para la toma de decisiones en el territorio</t>
  </si>
  <si>
    <t>16.10.1. Sujetos obligados incluidos en el Formulario Único Reporte de Avances de la Gestión (FURAG) que avanzan en la implementación de la Ley de Transparencia y Acceso a la Información Pública (%) </t>
  </si>
  <si>
    <t>PGAR (2018): Nivel de implementación de la política 9. Transparencia, Acceso a la Información y lucha contra la Corrupción en los 125 municipios de Antioquia: 58.1</t>
  </si>
  <si>
    <t xml:space="preserve">Agenda 2030: 70% 
PGAR: 100% de los municipios de la jurisdicción con un nivel de implementación de la política 9 superior a 80. </t>
  </si>
  <si>
    <r>
      <rPr>
        <sz val="10"/>
        <rFont val="Calibri"/>
        <family val="2"/>
      </rPr>
      <t>▪</t>
    </r>
    <r>
      <rPr>
        <sz val="10"/>
        <rFont val="Arial Narrow"/>
        <family val="2"/>
      </rPr>
      <t xml:space="preserve"> Centros de documentación - Bibliotecas  
▪ Colciencias  
▪ Gobernación de Antioquia  
▪ Institutos de investigación que conforman el SINA 
▪ Ministerio de Ambiente y Desarrollo Sostenible - MADS 
▪ Ministerio de las TICS  
▪ Parques científicos, tecnológicos y de innovación 
▪ Sector Académico 
▪ Sector Productivo 
▪ Sociedad civil</t>
    </r>
  </si>
  <si>
    <t>Solicitudes de información a las entidades de la jurisdicción en temáticas ambientales priorizadas (%)</t>
  </si>
  <si>
    <t>Disminución del 20%</t>
  </si>
  <si>
    <t>PGAR: 20%</t>
  </si>
  <si>
    <t>Actores que le dieron un uso efectivo a la información ambiental de la jurisdicción para la toma de decisiones (%)</t>
  </si>
  <si>
    <t>PGAR: 70%</t>
  </si>
  <si>
    <t>Promover la generación y/o apropiación de desarrollos tecnológicos para el uso de la biodiversidad y una mayor eficiencia de uso del patrimonio ambiental</t>
  </si>
  <si>
    <t>Desarrollos tecnológicos generados y/o apropiados para el uso eficiente del recurso natural y el uso de la biodiversidad (número)</t>
  </si>
  <si>
    <t>PGAR: 50</t>
  </si>
  <si>
    <r>
      <rPr>
        <sz val="10"/>
        <rFont val="Calibri"/>
        <family val="2"/>
      </rPr>
      <t>▪</t>
    </r>
    <r>
      <rPr>
        <sz val="10"/>
        <rFont val="Arial Narrow"/>
        <family val="2"/>
      </rPr>
      <t xml:space="preserve"> Gobernación de Antioquia  
▪ Colciencias 
▪ Instituciones de educación superior  
▪ Institutos de investigación del SINA  
▪ Ministerio de las TICS  
▪ Ministerio de Ambiente y Desarrollo Sostenible - MADS 
▪ Sector Productivo</t>
    </r>
  </si>
  <si>
    <t>Promover la generación de conocimiento, investigación, innovación y la creatividad asociado al desarrollo sostenible en temáticas priorizadas.</t>
  </si>
  <si>
    <t>Procesos de investigación e innovación en las temáticas priorizadas (%)</t>
  </si>
  <si>
    <t>Legalidad, legitimidad y transparencia en lo ambiental</t>
  </si>
  <si>
    <t>Mejorar la innovación y capacidad de respuesta para la Administración Integral de los Recursos Naturales Renovables</t>
  </si>
  <si>
    <t>Evaluación del desempeño de las autoridades ambientales (IEDI) subcomponente “Administración, control y vigilancia del ambiente, sus recursos naturales renovables y ecosistemas estratégicos” (%)</t>
  </si>
  <si>
    <t>Corantioquia (2016): 97%</t>
  </si>
  <si>
    <t>Meta PGAR: Sobresaliente, mayor igual al 97%</t>
  </si>
  <si>
    <r>
      <rPr>
        <sz val="10"/>
        <rFont val="Calibri"/>
        <family val="2"/>
      </rPr>
      <t>▪</t>
    </r>
    <r>
      <rPr>
        <sz val="10"/>
        <rFont val="Arial Narrow"/>
        <family val="2"/>
      </rPr>
      <t xml:space="preserve"> Autoridad Nacional de Licencias Ambientales  
▪ Departamento Nacional de Planeación - DNP 
▪ Empresas de Servicios Públicos domiciliarios (Acueducto, Alcantarillado y Aseo)  
▪ Gobernación de Antioquia (Dirección Seccional de Salud de Antioquia, Gerencia de Servicios Públicos)  
▪ Ministerio de Ambiente y Desarrollo Sostenible – MADS 
▪ Ministerio de Vivienda, Ciudad y Territorio 
▪ Ministerio de Agricultura y Desarrollo Rural 
▪ Municipios de la jurisdicción  
▪ Sectores Productivos  
▪ Superintendencia de Servicios Públicos Domiciliarios 
▪ Usuarios de los recursos naturales </t>
    </r>
  </si>
  <si>
    <t>Cultura institucional orientada a resultados (%)</t>
  </si>
  <si>
    <t>Alta apropiación de la cultura institucional</t>
  </si>
  <si>
    <t>Mecanismos y respuesta de administración de recursos naturales por parte de las autoridades ambientales en la jurisdicción bajo principios de coordinación y articulación (número)</t>
  </si>
  <si>
    <t xml:space="preserve">Un mecanismo en funcionamiento </t>
  </si>
  <si>
    <t xml:space="preserve">Prevenir y atender el conflicto en el uso y aprovechamiento de los recursos naturales </t>
  </si>
  <si>
    <t>100% de conflictos ambientales con rutas de gestión (mecanismo por el cual el conflicto puede ser manejado)</t>
  </si>
  <si>
    <r>
      <rPr>
        <sz val="10"/>
        <color theme="1"/>
        <rFont val="Calibri"/>
        <family val="2"/>
      </rPr>
      <t>▪</t>
    </r>
    <r>
      <rPr>
        <sz val="10"/>
        <color theme="1"/>
        <rFont val="Arial Narrow"/>
        <family val="2"/>
      </rPr>
      <t xml:space="preserve"> Autoridad Nacional de Licencias Ambientales - ANLA 
▪ Empresas de Servicios Públicos domiciliarios (Acueducto, Alcantarillado y Aseo)  
▪ Gobernación de Antioquia (Dirección Seccional de Salud de Antioquia, Gerencia de Servicios Públicos)
▪ Municipios de la jurisdicción 
▪ Sectores Productivos  
▪ Otras Autoridades (Policía, Ejercito, Fiscalía)  
Usuarios de los recursos naturales</t>
    </r>
  </si>
  <si>
    <t>Fortalecer la capacidad de control articulado en situaciones críticas ambientales territoriales</t>
  </si>
  <si>
    <t>PGAR: 100%</t>
  </si>
  <si>
    <r>
      <rPr>
        <sz val="10"/>
        <rFont val="Calibri"/>
        <family val="2"/>
      </rPr>
      <t>▪</t>
    </r>
    <r>
      <rPr>
        <sz val="10"/>
        <rFont val="Arial Narrow"/>
        <family val="2"/>
      </rPr>
      <t xml:space="preserve"> Autoridades ambientales 
▪ Entes de control  
▪ Fuerzas militares y de defensa nacional  
▪ Gobernación de Antioquia  
▪ Ministerio de Ambiente y Desarrollo Sostenible  
▪ Municipios de la jurisdicción  
▪ Sectores Productivos </t>
    </r>
  </si>
  <si>
    <r>
      <t>Fortalecer desde la comunicación y la coherencia, la confianza de los actores</t>
    </r>
    <r>
      <rPr>
        <sz val="10"/>
        <color theme="9" tint="-0.249977111117893"/>
        <rFont val="Arial Narrow"/>
        <family val="2"/>
      </rPr>
      <t xml:space="preserve"> </t>
    </r>
    <r>
      <rPr>
        <sz val="10"/>
        <rFont val="Arial Narrow"/>
        <family val="2"/>
      </rPr>
      <t>del territorio en la Autoridad ambiental</t>
    </r>
  </si>
  <si>
    <t>Percepción positiva sobre la gestión de la Corporación (cualitativa)</t>
  </si>
  <si>
    <t>Alta</t>
  </si>
  <si>
    <t>Percepción alta</t>
  </si>
  <si>
    <r>
      <rPr>
        <sz val="10"/>
        <color theme="1"/>
        <rFont val="Calibri"/>
        <family val="2"/>
      </rPr>
      <t>▪</t>
    </r>
    <r>
      <rPr>
        <sz val="10"/>
        <color theme="1"/>
        <rFont val="Arial Narrow"/>
        <family val="2"/>
      </rPr>
      <t xml:space="preserve"> Comunidades étnicas y afro  
▪ Empresas de Servicios Públicos domiciliarios 
▪ Gremios
▪ Municipios de la jurisdicción
▪ Sectores Productivos 
▪ Sociedad civil 
▪ Usuarios de los recursos naturales renovables</t>
    </r>
  </si>
  <si>
    <t>Cultura ambiental para la incidencia en decisiones</t>
  </si>
  <si>
    <t>Fortalecer la incidencia en la toma de decisiones ambientales adecuadas desde la comunicación formación y apropiación social en la ciudadanía y grupos organizados</t>
  </si>
  <si>
    <t>Decisiones en la gestión ambiental conforme a la participación efectiva con los actores (%)</t>
  </si>
  <si>
    <r>
      <rPr>
        <sz val="10"/>
        <color theme="1"/>
        <rFont val="Calibri"/>
        <family val="2"/>
      </rPr>
      <t>▪</t>
    </r>
    <r>
      <rPr>
        <sz val="10"/>
        <color theme="1"/>
        <rFont val="Arial Narrow"/>
        <family val="2"/>
      </rPr>
      <t xml:space="preserve"> Actores socioambientales: Mesas Ambientales, jóvenes, organizaciones de mujeres, semilleros infantiles, organizaciones de campesinos, adultos mayores, organizaciones no gubernamentales, guardabosques, consejos territoriales de planeación, comités ambientales.  
▪ Autoridades ambientales 
▪ Gobernación de Antioquia
▪ Gremios 
▪ Municipios de la jurisdicción 
▪ Organizaciones de la sociedad civil </t>
    </r>
  </si>
  <si>
    <t>La educación y la comunicación de lo ambiental incorporados en los instrumentos de planeación, de gestión, de desarrollo institucional y territorial</t>
  </si>
  <si>
    <t>Apropiación por parte de los actores de los instrumentos de educación y comunicación permeados por los desarrollos pedagógicos y didácticos elaborados por la autoridad ambiental (cualitativo)</t>
  </si>
  <si>
    <t xml:space="preserve">Alta de la apropiación por parte de los actores priorizados </t>
  </si>
  <si>
    <t xml:space="preserve">Instrumentos de educación y comunicación del 100% entidades públicas priorizadas </t>
  </si>
  <si>
    <t xml:space="preserve">Incidencia institucional fortalecida para una eficiente coordinación y cooperación con las autoridades étnicas en materia de gestión ambiental  </t>
  </si>
  <si>
    <t>Implementación de un modelo de atención con enfoque étnico diferencial en Corantioquia, que garantice el reconocimiento, protección, cumplimiento y desarrollo de los derechos de los pueblos étnicos.  (Procesos y procedimientos) (Dimensiones de gestión y operacionales)</t>
  </si>
  <si>
    <t>Mecanismos de coordinación y articulación de la gestión territorial ambiental concertados entre las autoridades internas de administración de los pueblos étnicos y la autoridad ambiental desde su modelo de gestión con enfoque étnico, en funcionamiento (número)</t>
  </si>
  <si>
    <t>2_x000D_
(uno por grupo étnico)</t>
  </si>
  <si>
    <t>Capacidad en las autoridades étnicas para la promoción y ejercicio efectivo de derechos territoriales.</t>
  </si>
  <si>
    <t>Sistema de seguimiento, control y evaluación del trabajo ambiental entre los pueblos étnicos y Corantioquia</t>
  </si>
  <si>
    <t>Reporte público compartido de avance de cumplimiento PGAR (número)</t>
  </si>
  <si>
    <t>12 _x000D_
Uno anual</t>
  </si>
  <si>
    <t>Modelo de coordinación interinstitucional gubernamental para el cumplimiento de las funciones ambientales por parte de las autoridades internas de los pueblos étnicos: Infraestructura, dotación e información (Marcos legales de los pueblos étnicos)</t>
  </si>
  <si>
    <t>Fortalecimiento de los saberes ancestrales, culturales, espirituales y sociales a través de procesos de sistematización, preservación, recuperación e investigación para el desarrollo de la identidad de los pueblos étnicos</t>
  </si>
  <si>
    <t>2 _x000D_
(uno por grupo étnico)</t>
  </si>
  <si>
    <t>Creación de un servidor y plataforma de información étnica, que articule y evidencie la situación territorial ambiental y la gestión en los territorios étnicos</t>
  </si>
  <si>
    <t>Desarrollo de procesos de etnoeducación ambiental propio de los pueblos étnicos, con la creación de espacios etnoeducativos ambientales en territorios ancestrales y colectivos</t>
  </si>
  <si>
    <t>Sin medir. Existe información de referencia de 2011 sin diferenciar suelos degradados</t>
  </si>
  <si>
    <t>8.4.1. Generación de residuos sólidos frente al Producto Interno Bruto (PIB) (Toneladas por billón de pesos)</t>
  </si>
  <si>
    <r>
      <t xml:space="preserve">Sin medición
</t>
    </r>
    <r>
      <rPr>
        <b/>
        <sz val="10"/>
        <color theme="1"/>
        <rFont val="Arial Narrow"/>
        <family val="2"/>
      </rPr>
      <t xml:space="preserve">Incluye: </t>
    </r>
    <r>
      <rPr>
        <sz val="10"/>
        <color theme="1"/>
        <rFont val="Arial Narrow"/>
        <family val="2"/>
      </rPr>
      <t>Agua subterránea, agua superficial y agua atmosférica</t>
    </r>
  </si>
  <si>
    <t>La gestión de la información y el conocimiento: investigación + desarrollo + innovación</t>
  </si>
  <si>
    <r>
      <t xml:space="preserve">10 prácticas ambientales sostenibles implementadas en al menos 4 tipos de actores estratégicos.
</t>
    </r>
    <r>
      <rPr>
        <b/>
        <sz val="10"/>
        <color theme="1"/>
        <rFont val="Arial Narrow"/>
        <family val="2"/>
      </rPr>
      <t xml:space="preserve">Actores estratégicos cómo: </t>
    </r>
    <r>
      <rPr>
        <sz val="10"/>
        <color theme="1"/>
        <rFont val="Arial Narrow"/>
        <family val="2"/>
      </rPr>
      <t>Comunidades indígenas (62), comunidades afro (99), sector productivo (ganadería, minero, cafetero, piscícola y caña panelera) y educativo (400 instituciones educativas).</t>
    </r>
  </si>
  <si>
    <r>
      <t xml:space="preserve">10 prácticas ambientales sostenibles implementadas en al menos 4 tipos de actores estratégicos.
</t>
    </r>
    <r>
      <rPr>
        <b/>
        <sz val="10"/>
        <color theme="1"/>
        <rFont val="Arial Narrow"/>
        <family val="2"/>
      </rPr>
      <t xml:space="preserve">Actores estratégicos cómo: </t>
    </r>
    <r>
      <rPr>
        <sz val="10"/>
        <color theme="1"/>
        <rFont val="Arial Narrow"/>
        <family val="2"/>
      </rPr>
      <t>Comunidades indígenas (62), comunidades afro (99), sector productivo (ganadería, minero, cafetero, piscícola, caña panelera) y educativo (400 instituciones educativas).</t>
    </r>
  </si>
  <si>
    <t>82%  (5 situaciones en  17 focos),  distribuidos así:  Actividades Mineras 3 (Oficinas Territorial Hevéxicos, Zenufaná y Panzenú) 6 especies invasoras (Buchón de Agua, Caracol Africano, Rana toro, Hipopótamos, Ojo de Poeta, Garzas) Contingencias Atmosféricas 2 (Oficinas Territoriales Aburra Norte y Aburra Sur), Contingencias por derrames de sustancias Peligrosas 4 (Oficinas Territoriales Zenufaná, Tahamíes, Panzenú y Aburra Norte),  deforestación  2 (Oficinas Territoriales Zenufaná y Panzenú)</t>
  </si>
  <si>
    <t>R1.1</t>
  </si>
  <si>
    <t>R1.2</t>
  </si>
  <si>
    <t>R2.1</t>
  </si>
  <si>
    <t>Meta Plan Acción 2020-2023</t>
  </si>
  <si>
    <t>Meta 2020</t>
  </si>
  <si>
    <t>Meta 2021</t>
  </si>
  <si>
    <t>Meta 2022</t>
  </si>
  <si>
    <t>Meta 2023</t>
  </si>
  <si>
    <t>Meta PGAR 2020-2031</t>
  </si>
  <si>
    <t>n.° indicador</t>
  </si>
  <si>
    <t>R2.2</t>
  </si>
  <si>
    <t>R2.3</t>
  </si>
  <si>
    <t>R2.4</t>
  </si>
  <si>
    <t>R2.5</t>
  </si>
  <si>
    <t>R2.6</t>
  </si>
  <si>
    <t>R2.7</t>
  </si>
  <si>
    <t>R2.8</t>
  </si>
  <si>
    <t>Cuerpos de agua con Plan de Ordenamiento y Manejo del Recurso Hídrico formulados y en ejecución.</t>
  </si>
  <si>
    <t>23 cuerpos de agua</t>
  </si>
  <si>
    <t>29% (10 POMCAS/34 SZH-NSS)</t>
  </si>
  <si>
    <t>R2.9.1</t>
  </si>
  <si>
    <t>R2.9.2</t>
  </si>
  <si>
    <r>
      <t>90% en DBQO</t>
    </r>
    <r>
      <rPr>
        <vertAlign val="subscript"/>
        <sz val="10"/>
        <color theme="1"/>
        <rFont val="Arial Narrow"/>
        <family val="2"/>
      </rPr>
      <t>5</t>
    </r>
  </si>
  <si>
    <r>
      <t>86% en DBO</t>
    </r>
    <r>
      <rPr>
        <vertAlign val="subscript"/>
        <sz val="10"/>
        <color theme="1"/>
        <rFont val="Arial Narrow"/>
        <family val="2"/>
      </rPr>
      <t>5</t>
    </r>
  </si>
  <si>
    <t>30% en SST</t>
  </si>
  <si>
    <t>40% en SST</t>
  </si>
  <si>
    <t>R3.1</t>
  </si>
  <si>
    <t>R3.2</t>
  </si>
  <si>
    <t>R3.3</t>
  </si>
  <si>
    <t xml:space="preserve">Área de elementos naturales del espacio público en asentamientos humanos asociados al espacio público efectivo por habitante (EPEH) (Decreto 1077 de 2015) </t>
  </si>
  <si>
    <t>R4.1</t>
  </si>
  <si>
    <t>R4.2</t>
  </si>
  <si>
    <t>R5.1.1</t>
  </si>
  <si>
    <t>R5.1.2</t>
  </si>
  <si>
    <t>Incrementar el 30% asentamientos mayores o iguales 30.000 habitantes</t>
  </si>
  <si>
    <t>Incrementar el 20% en asentamientos menores de 30.000 habitantes</t>
  </si>
  <si>
    <t>R6.1</t>
  </si>
  <si>
    <t>R6.2</t>
  </si>
  <si>
    <t>R7.1</t>
  </si>
  <si>
    <t>R7.2</t>
  </si>
  <si>
    <t>R8.1</t>
  </si>
  <si>
    <t>R9.1</t>
  </si>
  <si>
    <t>R10.1</t>
  </si>
  <si>
    <t>R11.1</t>
  </si>
  <si>
    <t>Hectáreas deforestadas  en áreas de agroecosistemas corporativos (ha)</t>
  </si>
  <si>
    <t>Hectáreas deforestadas en áreas de ecosistemas naturales corporativos (ha)</t>
  </si>
  <si>
    <t>Se consideró el indicador "Número de ha deforestadas en ecosistemas naturales": 8.874 ha</t>
  </si>
  <si>
    <t>R12.1</t>
  </si>
  <si>
    <t>R12.3</t>
  </si>
  <si>
    <t>R12.2</t>
  </si>
  <si>
    <t>Disminuir la tasa de deforestación en ecosistemas transformados</t>
  </si>
  <si>
    <t>Fortalecimiento de la sostenibilidad en áreas de producción de agricultura familiar (%)</t>
  </si>
  <si>
    <t>R13.1</t>
  </si>
  <si>
    <t>R13.2</t>
  </si>
  <si>
    <t>R14.1</t>
  </si>
  <si>
    <t>R14.2</t>
  </si>
  <si>
    <t>R14.3</t>
  </si>
  <si>
    <t xml:space="preserve">Ingreso anual de las empresas asociado a negocios verdes y bioeconomía </t>
  </si>
  <si>
    <t>Crecimiento &gt; Respecto a IPC 2019</t>
  </si>
  <si>
    <r>
      <t>Sostenibilidad de socioecosistemas</t>
    </r>
    <r>
      <rPr>
        <b/>
        <sz val="10"/>
        <color theme="1"/>
        <rFont val="Arial Narrow"/>
        <family val="2"/>
      </rPr>
      <t/>
    </r>
  </si>
  <si>
    <t>10% de áreas que incorporan la conservación de la biodiversidad en su manejo productivo en sistemas agroforestales respecto a la línea base 2019, lo que equivale a: 3.178,7 ha</t>
  </si>
  <si>
    <t>10% de áreas que incorporan la conservación de la biodiversidad en su manejo productivo en silvopastoriles respecto a la línea base 2019, lo que equivale a: 55.839,3 ha</t>
  </si>
  <si>
    <t>Áreas que incorporan la conservación de la biodiversidad en su manejo productivo (ha)</t>
  </si>
  <si>
    <t>Planes de negocio asociativo en turismo de naturaleza por sociecosistema ejecutados</t>
  </si>
  <si>
    <t>R15.1</t>
  </si>
  <si>
    <t>R15.2.1</t>
  </si>
  <si>
    <t>R15.2.2</t>
  </si>
  <si>
    <t>R15.3</t>
  </si>
  <si>
    <t>10 planes</t>
  </si>
  <si>
    <t>Aprovechamiento de la fracción orgánica de los residuos sólidos (%)</t>
  </si>
  <si>
    <r>
      <t>Reducción del consumo sectorial anual de agua medido en m</t>
    </r>
    <r>
      <rPr>
        <vertAlign val="superscript"/>
        <sz val="10"/>
        <color theme="1"/>
        <rFont val="Arial Narrow"/>
        <family val="2"/>
      </rPr>
      <t>3</t>
    </r>
    <r>
      <rPr>
        <sz val="10"/>
        <color theme="1"/>
        <rFont val="Arial Narrow"/>
        <family val="2"/>
      </rPr>
      <t>/unidad PIB (%)</t>
    </r>
  </si>
  <si>
    <t>R16.1</t>
  </si>
  <si>
    <t>R16.2</t>
  </si>
  <si>
    <t>R16.3</t>
  </si>
  <si>
    <t>R16.4</t>
  </si>
  <si>
    <t>R16.5</t>
  </si>
  <si>
    <t>R17.1</t>
  </si>
  <si>
    <t>R18.1</t>
  </si>
  <si>
    <t>R19.1</t>
  </si>
  <si>
    <t>R20.1</t>
  </si>
  <si>
    <t>R20.2</t>
  </si>
  <si>
    <t>Productos de la economía propia generados o con aumento del valor económico (%)</t>
  </si>
  <si>
    <t>Prácticas de economía propia fortalecida bajo principios de sostenibilidad</t>
  </si>
  <si>
    <t xml:space="preserve">3.9.3. Incidencia de intoxicaciones por sustancias químicas (por 100.000 habitantes) </t>
  </si>
  <si>
    <t>R21.1</t>
  </si>
  <si>
    <t>R21.2</t>
  </si>
  <si>
    <t>R21.3</t>
  </si>
  <si>
    <t>R22.1</t>
  </si>
  <si>
    <t>R22.2</t>
  </si>
  <si>
    <t>R22.3</t>
  </si>
  <si>
    <r>
      <rPr>
        <b/>
        <sz val="10"/>
        <color theme="1"/>
        <rFont val="Arial Narrow"/>
        <family val="2"/>
      </rPr>
      <t>Objetivo 2:</t>
    </r>
    <r>
      <rPr>
        <sz val="10"/>
        <color theme="1"/>
        <rFont val="Arial Narrow"/>
        <family val="2"/>
      </rPr>
      <t xml:space="preserve"> optimizar el uso del patrimonio ambiental en la dinámica económica, aportando a la consolidación de territorios sostenibles</t>
    </r>
  </si>
  <si>
    <r>
      <rPr>
        <b/>
        <sz val="10"/>
        <color theme="1"/>
        <rFont val="Arial Narrow"/>
        <family val="2"/>
      </rPr>
      <t>Objetivo 3:</t>
    </r>
    <r>
      <rPr>
        <sz val="10"/>
        <color theme="1"/>
        <rFont val="Arial Narrow"/>
        <family val="2"/>
      </rPr>
      <t xml:space="preserve"> promover entornos resilientes para el mejoramiento de la habitabilidad de los territorios</t>
    </r>
  </si>
  <si>
    <r>
      <rPr>
        <b/>
        <sz val="10"/>
        <color theme="1"/>
        <rFont val="Arial Narrow"/>
        <family val="2"/>
      </rPr>
      <t>Objetivo 4:</t>
    </r>
    <r>
      <rPr>
        <sz val="10"/>
        <color theme="1"/>
        <rFont val="Arial Narrow"/>
        <family val="2"/>
      </rPr>
      <t xml:space="preserve"> generar la gobernanza que permita consolidar el escenario de sostenibilidad ambiental de la jurisdicción</t>
    </r>
  </si>
  <si>
    <t>RESPEL reducidos (%)</t>
  </si>
  <si>
    <t>R23.1</t>
  </si>
  <si>
    <t>R23.2</t>
  </si>
  <si>
    <t>R23.3</t>
  </si>
  <si>
    <t>R23.4</t>
  </si>
  <si>
    <t>R23.5</t>
  </si>
  <si>
    <t>R23.6</t>
  </si>
  <si>
    <t>R23.7</t>
  </si>
  <si>
    <t>R23.8</t>
  </si>
  <si>
    <t>R23.9</t>
  </si>
  <si>
    <t>R24.1</t>
  </si>
  <si>
    <t>R24.2</t>
  </si>
  <si>
    <t>R24.3</t>
  </si>
  <si>
    <t>R24.4</t>
  </si>
  <si>
    <t>R25.1</t>
  </si>
  <si>
    <t>R25.2</t>
  </si>
  <si>
    <t>R25.3</t>
  </si>
  <si>
    <t>R25.4</t>
  </si>
  <si>
    <t>Proporción de Áreas con condición de olor ofensivo de crítico a aceptable</t>
  </si>
  <si>
    <t>Proporción de Áreas que disminuyen la condición de ruido de crítica a aceptable (densidad poblacional, número de quejas por año, tipo de receptores, mapa estratégico de ruido, número de establecimientos que incumplen la norma, entre otros)</t>
  </si>
  <si>
    <t xml:space="preserve">70 % de áreas identificadas, priorizadas y monitoreadas </t>
  </si>
  <si>
    <t>70 % de áreas identificadas, priorizadas y monitoreadas</t>
  </si>
  <si>
    <t>R26.1</t>
  </si>
  <si>
    <t>R26.2</t>
  </si>
  <si>
    <t>R26.3</t>
  </si>
  <si>
    <t>R26.4</t>
  </si>
  <si>
    <t>R26.5</t>
  </si>
  <si>
    <t>R26.6</t>
  </si>
  <si>
    <t>R27.1</t>
  </si>
  <si>
    <t>R27.2</t>
  </si>
  <si>
    <t>R27.3</t>
  </si>
  <si>
    <t>R28.1</t>
  </si>
  <si>
    <t>R28.2</t>
  </si>
  <si>
    <t>R28.3</t>
  </si>
  <si>
    <t>R28.4</t>
  </si>
  <si>
    <t>R29.1</t>
  </si>
  <si>
    <r>
      <t>Percepción de las organizaciones respecto al nivel de fortalecimiento de su capacidad instalada (%)</t>
    </r>
    <r>
      <rPr>
        <sz val="10"/>
        <color theme="1"/>
        <rFont val="Arial Narrow"/>
        <family val="2"/>
      </rPr>
      <t xml:space="preserve"> </t>
    </r>
  </si>
  <si>
    <t>Percepción de ciudadanos respecto al nivel de fortalecimiento de su capacidad instalada (%)</t>
  </si>
  <si>
    <r>
      <t>Percepción de usuarios respecto al nivel de fortalecimiento de su capacidad instalada (%)</t>
    </r>
    <r>
      <rPr>
        <b/>
        <sz val="10"/>
        <color theme="1"/>
        <rFont val="Arial Narrow"/>
        <family val="2"/>
      </rPr>
      <t/>
    </r>
  </si>
  <si>
    <t>Evaluación del desempeño institucional (IEDI) (%)</t>
  </si>
  <si>
    <t>R30.1</t>
  </si>
  <si>
    <t>R30.2</t>
  </si>
  <si>
    <t>R30.3</t>
  </si>
  <si>
    <t>R30.4</t>
  </si>
  <si>
    <t>R30.5</t>
  </si>
  <si>
    <t>Instrumentos de Planificación Ambiental presentes en el territorio armonizados y orientados a una gestión articulada con las demás autoridades ambientales hacia la sostenibilidad ambiental del territorio (%).</t>
  </si>
  <si>
    <t>R31.1</t>
  </si>
  <si>
    <t>Componentes programáticos de instrumentos de planificación armonizados (%)</t>
  </si>
  <si>
    <t>R32.1</t>
  </si>
  <si>
    <t>Aporte financiero al cumplimiento de los retos del PGAR (%)</t>
  </si>
  <si>
    <t>R33.1</t>
  </si>
  <si>
    <t>R33.2</t>
  </si>
  <si>
    <t>R34.1</t>
  </si>
  <si>
    <t>R35.1</t>
  </si>
  <si>
    <t>R35.2</t>
  </si>
  <si>
    <t>R35.3</t>
  </si>
  <si>
    <t>R36.1</t>
  </si>
  <si>
    <t>Innovaciones generadas y puestas en funcionamiento en la administración de lo ambiental</t>
  </si>
  <si>
    <t>R37.1</t>
  </si>
  <si>
    <t>R37.2</t>
  </si>
  <si>
    <r>
      <t>Conflictos ambientales con rutas de gestión (%)</t>
    </r>
    <r>
      <rPr>
        <b/>
        <sz val="10"/>
        <color theme="1"/>
        <rFont val="Arial Narrow"/>
        <family val="2"/>
      </rPr>
      <t/>
    </r>
  </si>
  <si>
    <t>R39.1</t>
  </si>
  <si>
    <t>R40.1</t>
  </si>
  <si>
    <t>R41.1</t>
  </si>
  <si>
    <t>R42.1</t>
  </si>
  <si>
    <t>R43.1</t>
  </si>
  <si>
    <t>Modelo de atención con enfoque étnico diferencial en procedimientos de la  Corantioquia</t>
  </si>
  <si>
    <t>R44.1</t>
  </si>
  <si>
    <t>R45.1</t>
  </si>
  <si>
    <t>R46.1</t>
  </si>
  <si>
    <t>R47.1</t>
  </si>
  <si>
    <t>Actuar coordinado por parte de las autoridades internas de los pueblos étnicos (%)</t>
  </si>
  <si>
    <t>Proyectos de investigación para el fortalecimiento de los saberes ancestrales, culturales, espirituales y sociales para la protección del medio ambiente</t>
  </si>
  <si>
    <t>R48.1</t>
  </si>
  <si>
    <t>R49.1</t>
  </si>
  <si>
    <t>Desarrollo tecnológico del manejo de información que soporte la gestión ambiental con enfoque étnico (número)</t>
  </si>
  <si>
    <t>Espacios etnoeducativos ambientales en territorios ancestrales y colectivos</t>
  </si>
  <si>
    <t>R50.1</t>
  </si>
  <si>
    <t>29% (10 Pomca/34 SZH-NSS)</t>
  </si>
  <si>
    <t xml:space="preserve">▪ Asocomunales  
▪ Gobernación de Antioquia. 
▪ Municipios de la jurisdicción 
▪ ONG nacionales e internacionales </t>
  </si>
  <si>
    <t>Línea</t>
  </si>
  <si>
    <t>Aporte del contrato</t>
  </si>
  <si>
    <t>Organización y administración estratégica de los territorios étnicos para la gestión integral y sostenible de la biodiversidad</t>
  </si>
  <si>
    <t>Aprovechamiento sostenible de los territorios étnicos para el fomento de las economías propias</t>
  </si>
  <si>
    <t>Líneas</t>
  </si>
  <si>
    <r>
      <rPr>
        <b/>
        <sz val="10"/>
        <color theme="1"/>
        <rFont val="Arial Narrow"/>
        <family val="2"/>
      </rPr>
      <t>Línea 1.</t>
    </r>
    <r>
      <rPr>
        <sz val="10"/>
        <color theme="1"/>
        <rFont val="Arial Narrow"/>
        <family val="2"/>
      </rPr>
      <t xml:space="preserve"> Planificación ambiental territorial y protección de áreas que proveen servicios ecosistémicos</t>
    </r>
  </si>
  <si>
    <r>
      <rPr>
        <b/>
        <sz val="10"/>
        <color theme="1"/>
        <rFont val="Arial Narrow"/>
        <family val="2"/>
      </rPr>
      <t>Línea 2.</t>
    </r>
    <r>
      <rPr>
        <sz val="10"/>
        <color theme="1"/>
        <rFont val="Arial Narrow"/>
        <family val="2"/>
      </rPr>
      <t xml:space="preserve"> Corresponsabilidad del sistema económico hacia territorios sostenibles</t>
    </r>
  </si>
  <si>
    <r>
      <rPr>
        <b/>
        <sz val="10"/>
        <color theme="1"/>
        <rFont val="Arial Narrow"/>
        <family val="2"/>
      </rPr>
      <t>Línea 3.</t>
    </r>
    <r>
      <rPr>
        <sz val="10"/>
        <color theme="1"/>
        <rFont val="Arial Narrow"/>
        <family val="2"/>
      </rPr>
      <t xml:space="preserve"> Consolidación de un entorno saludable y seguro</t>
    </r>
  </si>
  <si>
    <r>
      <rPr>
        <b/>
        <sz val="10"/>
        <rFont val="Arial Narrow"/>
        <family val="2"/>
      </rPr>
      <t>Línea 4.</t>
    </r>
    <r>
      <rPr>
        <sz val="10"/>
        <rFont val="Arial Narrow"/>
        <family val="2"/>
      </rPr>
      <t xml:space="preserve"> Fortalecimiento de la cultura ambiental y de las capacidades de los actores para la gestión conjunta y el logro de los resultados</t>
    </r>
  </si>
  <si>
    <t>Promover la generación de conocimiento, investigación, innovación y la creatividad asociado al desarrollo sostenible en temáticas priorizadas</t>
  </si>
  <si>
    <t>Generación de valor y desarrollo tecnológico en los procesos y medios de la producción de las comunidades en los territorios étnicos</t>
  </si>
  <si>
    <t>Fomento de prácticas económicas colectivas orientadas al aprovechamiento pertinente y sostenible de los territorios étnicos</t>
  </si>
  <si>
    <t>Establecer las medidas herramientas e instrumentos pertinentes para la promoción, gestión e implementación de acciones ambientales en los territorios étnicos que contribuyan a la mitigación y adaptación al cambio climático</t>
  </si>
  <si>
    <t>Identificación y manejo del riesgo climático asociado a los planes de vida y de etnodesarrollo de los territorios étnicos</t>
  </si>
  <si>
    <t xml:space="preserve"> 1. Protección de biodiversidad y servicios ecosistémicos</t>
  </si>
  <si>
    <t xml:space="preserve"> 2. Armonización de lo ambiental en la planeación territorial y sectorial</t>
  </si>
  <si>
    <t xml:space="preserve"> 3. Organización y administración estratégica de los territorios étnicos para la gestión integral y sostenible de la biodiversidad</t>
  </si>
  <si>
    <t xml:space="preserve"> 5. Paisajes-socioecosistemas con transición a la sostenibilidad ambiental</t>
  </si>
  <si>
    <t xml:space="preserve"> 6. La ciudadanía y sus prácticas cotidianas</t>
  </si>
  <si>
    <t xml:space="preserve"> 7. Uso de energías renovables</t>
  </si>
  <si>
    <t xml:space="preserve">  7. Uso de energías renovables</t>
  </si>
  <si>
    <t xml:space="preserve"> 8. Aprovechamiento sostenible de los territorios étnicos para el fomento de las economías propias</t>
  </si>
  <si>
    <t xml:space="preserve"> 9. Adaptación al cambio climático y Gestión Integral del Riesgo</t>
  </si>
  <si>
    <t xml:space="preserve"> 10. Saneamiento ambiental</t>
  </si>
  <si>
    <t xml:space="preserve"> 11. Movilidad sostenible</t>
  </si>
  <si>
    <t xml:space="preserve"> 12. Identificación y manejo de riesgos e impactos ecológicos y económicos producto del cambio climático en los territorios étnicos </t>
  </si>
  <si>
    <t xml:space="preserve"> 13. Institucionalidad fortalecida para una gestión ambiental corresponsable</t>
  </si>
  <si>
    <t xml:space="preserve"> 14. La articulación y el diálogo en la transición hacia la sostenibilidad</t>
  </si>
  <si>
    <t xml:space="preserve"> 17. Cultura ambiental para la incidencia en decisiones</t>
  </si>
  <si>
    <t xml:space="preserve"> 4. Modelos sostenibles desde sectores económicos integrando el ciclo de vida del producto</t>
  </si>
  <si>
    <t xml:space="preserve"> 12. Identificación y manejo de riesgos e impactos ecológicos y económicos producto del cambio climático en los territorios étnicos</t>
  </si>
  <si>
    <t xml:space="preserve"> 16. Legalidad legitimidad y transparencia en lo ambiental</t>
  </si>
  <si>
    <t xml:space="preserve"> 18. Incidencia institucional fortalecida para una eficiente coordinación y cooperación con las autoridades étnicas en materia de gestión ambiental</t>
  </si>
  <si>
    <t xml:space="preserve"> 5. Paisajes socioecosistemas con transición a la sostenibilidad ambiental</t>
  </si>
  <si>
    <t xml:space="preserve"> 15. La gestión de la información y el conocimiento investigación desarrollo innovación</t>
  </si>
  <si>
    <t>Incidencia institucional fortalecida para una eficiente coordinación y cooperación con las autoridades étnicas en materia de gestión ambiental</t>
  </si>
  <si>
    <t xml:space="preserve"> 1. Aumentar la superficie de áreas protegidas y otras estrategias de conservación en la jurisdicción</t>
  </si>
  <si>
    <t xml:space="preserve"> 2. Proteger el agua como derecho y medio de vida en el marco de la planeación integral de las cuencas hidrográficas</t>
  </si>
  <si>
    <t xml:space="preserve"> 3. Administrar efectivamente las áreas protegidas y otras estrategias de conservación</t>
  </si>
  <si>
    <t xml:space="preserve"> 4. Aumentar la conectividad y diversidad biológica en predios públicos y privados para consolidar la estructura ecológica del territorio</t>
  </si>
  <si>
    <t xml:space="preserve"> 5. Identificar proteger y manejar los elementos naturales del espacio público</t>
  </si>
  <si>
    <t xml:space="preserve"> 7. Desarrollar modelos municipales de ocupación sostenible e integración con planes étnicos</t>
  </si>
  <si>
    <t xml:space="preserve"> 8. Promover planes de acción ambientales de esquemas asociativos para la incorporación de los asuntos y determinantes ambientales</t>
  </si>
  <si>
    <t xml:space="preserve"> 9. Armonizar la planeación ambiental de la jurisdicción con los Planes Integrales de Gestión del Cambio Climático Sectoriales</t>
  </si>
  <si>
    <t xml:space="preserve"> 10. Protección efectiva de los ecosistemas presentes en los territorios étnicos incluyendo la respectiva restauración y saneamiento contribuyendo a la resiliencia y a la reducción de la vulnerabilidad de los territorios étnicos</t>
  </si>
  <si>
    <t xml:space="preserve"> 11. Establecer las medidas herramientas e instrumentos pertinentes para la promoción gestión e implementación de acciones ambientales en los territorios étnicos que contribuyan a la mitigación y adaptación al cambio climático</t>
  </si>
  <si>
    <t xml:space="preserve"> 13. Fortalecer la sostenibilidad de áreas de producción campesina y de grupos étnicos</t>
  </si>
  <si>
    <t xml:space="preserve"> 14. Aumentar los ingresos asociados a los negocios verdes y a bioeconomía</t>
  </si>
  <si>
    <t xml:space="preserve"> 15. Priorizar e intervenir los socioecosistemas en paisajes productivos con sostenibilidad ambiental</t>
  </si>
  <si>
    <t xml:space="preserve"> 16. Transformar los hábitos de consumo hacia un consumo sostenible</t>
  </si>
  <si>
    <t xml:space="preserve"> 17. Aumentar la proporción de uso de energías alternativas en la matriz energética de la jurisdicción</t>
  </si>
  <si>
    <t xml:space="preserve"> 18. Aumentar el uso eficiente de energías limpias</t>
  </si>
  <si>
    <t xml:space="preserve"> 19. Fomento de prácticas económicas colectivas orientadas al aprovechamiento pertinente y sostenible de los territorios étnicos</t>
  </si>
  <si>
    <t xml:space="preserve"> 20. Generación de valor y desarrollo tecnológico en los procesos y medios de la producción de las comunidades en los territorios étnicos</t>
  </si>
  <si>
    <t xml:space="preserve"> 21. Disminuir el número de casos de mortalidad por desastres asociados a fenómenos naturales y antrópicos</t>
  </si>
  <si>
    <t xml:space="preserve"> 22. Disminuir la pérdida de los servicios ecosistémicos a causa de los efectos del cambio climático </t>
  </si>
  <si>
    <t xml:space="preserve"> 23. Disminuir las toneladas de residuos sólidos en los sitios de disposición final de residuos ordinarios especiales y peligrosos</t>
  </si>
  <si>
    <t xml:space="preserve"> 24. Disminuir la cantidad de aguas residuales  no tratadas vertidas a fuentes hídricas</t>
  </si>
  <si>
    <t xml:space="preserve"> 25. Cumplir los objetivos de calidad del agua propuesto</t>
  </si>
  <si>
    <t xml:space="preserve"> 26. Mejorar la calidad del aire en centros poblados rurales y urbanos</t>
  </si>
  <si>
    <t xml:space="preserve"> 27. Aumentar la población con acceso a agua potable </t>
  </si>
  <si>
    <t xml:space="preserve"> 28. Promover la movilidad sostenible</t>
  </si>
  <si>
    <t xml:space="preserve"> 29. Identificación y manejo del riesgo climático asociado a los planes de vida y de etnodesarrollo de los territorios étnicos</t>
  </si>
  <si>
    <t xml:space="preserve"> 30. Fortalecer la capacidad instalada de los actores</t>
  </si>
  <si>
    <t xml:space="preserve"> 31. Armonizar los asuntos y determinantes ambientales en la planeación de las autoridades ambientales en la jurisdicción</t>
  </si>
  <si>
    <t xml:space="preserve"> 32. Armonizar los componentes programáticos de los diferentes planes institucionales en la jurisdicción</t>
  </si>
  <si>
    <t xml:space="preserve"> 33. Ejecutar los retos del PGAR con corresponsabilidad</t>
  </si>
  <si>
    <t xml:space="preserve"> 34. Apropiar a los actores de su territorio desde la comunicación el reconocimiento y fortalecimiento en lo cultural</t>
  </si>
  <si>
    <t xml:space="preserve"> 35. Disponer apropiar y usar la información y conocimiento ambiental para la toma de decisiones en el territorio</t>
  </si>
  <si>
    <t xml:space="preserve"> 36. Promover la generación y/o apropiación de desarrollos tecnológicos para el uso de la biodiversidad y una mayor eficiencia de uso del patrimonio ambiental</t>
  </si>
  <si>
    <t xml:space="preserve"> 37. Promover la generación de conocimiento investigación innovación y la creatividad asociado al desarrollo sostenible en temáticas priorizadas</t>
  </si>
  <si>
    <t xml:space="preserve"> 38. Legalidad legitimidad y transparencia en lo ambiental</t>
  </si>
  <si>
    <t xml:space="preserve"> 39. Prevenir y atender el conflicto en el uso y aprovechamiento de los recursos naturales </t>
  </si>
  <si>
    <t xml:space="preserve"> 40. Fortalecer la capacidad de control articulado en situaciones críticas ambientales territoriales</t>
  </si>
  <si>
    <r>
      <t xml:space="preserve"> 41. Fortalecer desde la comunicación y la coherencia la confianza de los actores</t>
    </r>
    <r>
      <rPr>
        <sz val="10"/>
        <color theme="9" tint="-0.249977111117893"/>
        <rFont val="Arial Narrow"/>
        <family val="2"/>
      </rPr>
      <t xml:space="preserve"> </t>
    </r>
    <r>
      <rPr>
        <sz val="10"/>
        <rFont val="Arial Narrow"/>
        <family val="2"/>
      </rPr>
      <t>del territorio en la Autoridad ambiental</t>
    </r>
  </si>
  <si>
    <t xml:space="preserve"> 42. Fortalecer la incidencia en la toma de decisiones ambientales adecuadas desde la comunicación formación y apropiación social en la ciudadanía y grupos organizados</t>
  </si>
  <si>
    <t xml:space="preserve"> 43. La educación y la comunicación de lo ambiental incorporados en los instrumentos de planeación de gestión de desarrollo institucional y territorial</t>
  </si>
  <si>
    <t xml:space="preserve"> 44. Implementación de un modelo de atención con enfoque étnico diferencial en Corantioquia que garantice el reconocimiento protección cumplimiento y desarrollo de los derechos de los pueblos étnicos</t>
  </si>
  <si>
    <t xml:space="preserve"> 45. Capacidad en las autoridades étnicas para la promoción y ejercicio efectivo de derechos territoriales</t>
  </si>
  <si>
    <t xml:space="preserve"> 46. Sistema de seguimiento control y evaluación del trabajo ambiental entre los pueblos étnicos y Corantioquia</t>
  </si>
  <si>
    <t xml:space="preserve"> 47. Modelo de coordinación interinstitucional gubernamental para el cumplimiento de las funciones ambientales por parte de las autoridades internas de los pueblos étnicos Infraestructura dotación e información</t>
  </si>
  <si>
    <t xml:space="preserve"> 48. Fortalecimiento de los saberes ancestrales culturales espirituales y sociales a través de procesos de sistematización preservación recuperación e investigación para el desarrollo de la identidad de los pueblos étnicos</t>
  </si>
  <si>
    <t xml:space="preserve"> 49. Creación de un servidor y plataforma de información étnica que articule y evidencie la situación territorial ambiental y la gestión en los territorios étnicos</t>
  </si>
  <si>
    <t xml:space="preserve"> 50. Desarrollo de procesos de etnoeducación ambiental propio de los pueblos étnicos con la creación de espacios etnoeducativos ambientales en territorios ancestrales y colectivos</t>
  </si>
  <si>
    <r>
      <t>Acciones de manejo en áreas protegidas de ecosistemas declaradas desde el gobierno propio en territorio titulado y ancestrales (%)</t>
    </r>
    <r>
      <rPr>
        <b/>
        <sz val="10"/>
        <color theme="1"/>
        <rFont val="Arial Narrow"/>
        <family val="2"/>
      </rPr>
      <t/>
    </r>
  </si>
  <si>
    <r>
      <t>Declaratoria de áreas protegidas de ecosistemas desde el gobierno propio en territorio titulado y ancestrales (%)</t>
    </r>
    <r>
      <rPr>
        <b/>
        <sz val="10"/>
        <color theme="1"/>
        <rFont val="Arial Narrow"/>
        <family val="2"/>
      </rPr>
      <t/>
    </r>
  </si>
  <si>
    <t>Cuerpos de agua priorizados con reglamentación de uso de agua y su incorporación en el RURH (%)</t>
  </si>
  <si>
    <t>15.1.4. Áreas en proceso de restauración (ha)</t>
  </si>
  <si>
    <r>
      <t>8.4.2. Residuos sólidos efectivamente aprovechados (%)</t>
    </r>
    <r>
      <rPr>
        <b/>
        <sz val="10"/>
        <color theme="1"/>
        <rFont val="Arial Narrow"/>
        <family val="2"/>
      </rPr>
      <t/>
    </r>
  </si>
  <si>
    <r>
      <t>12.5.1. Tasa de reciclaje y nueva utilización de residuos sólidos (%)</t>
    </r>
    <r>
      <rPr>
        <b/>
        <sz val="10"/>
        <color theme="1"/>
        <rFont val="Arial Narrow"/>
        <family val="2"/>
      </rPr>
      <t/>
    </r>
  </si>
  <si>
    <t>8.4.2. Residuos sólidos efectivamente aprovechados (%)</t>
  </si>
  <si>
    <t>12.5.1. Reciclaje y nueva utilización de residuos sólidos (%)</t>
  </si>
  <si>
    <r>
      <t>Calidad del Aire – ICA Buena y Aceptable (%)</t>
    </r>
    <r>
      <rPr>
        <b/>
        <sz val="10"/>
        <color theme="1"/>
        <rFont val="Arial Narrow"/>
        <family val="2"/>
      </rPr>
      <t/>
    </r>
  </si>
  <si>
    <r>
      <t>Situaciones críticas en lo ambiental atendidas efectivamente mediante acciones de control articuladas (%)</t>
    </r>
    <r>
      <rPr>
        <b/>
        <sz val="10"/>
        <color theme="1"/>
        <rFont val="Arial Narrow"/>
        <family val="2"/>
      </rPr>
      <t/>
    </r>
  </si>
  <si>
    <t xml:space="preserve"> 6. Restaurar recuperar y o rehabilitar ecosistemas degradados</t>
  </si>
  <si>
    <t xml:space="preserve"> 22. Disminuir la pérdida de los servicios ecosistémicos a causa de los efectos del cambio climático</t>
  </si>
  <si>
    <t xml:space="preserve"> 24. Disminuir la cantidad de aguas residuales no tratadas vertidas a fuentes hídricas</t>
  </si>
  <si>
    <t>Disminuir la cantidad de aguas residuales no tratadas vertidas a fuentes hídricas</t>
  </si>
  <si>
    <r>
      <t>Prácticas ambientales sostenibles implementadas desde el reconocimiento de sus derechos, deberes y el fortalecimiento de lo cultural (número)</t>
    </r>
    <r>
      <rPr>
        <b/>
        <sz val="10"/>
        <color theme="1"/>
        <rFont val="Arial Narrow"/>
        <family val="2"/>
      </rPr>
      <t/>
    </r>
  </si>
  <si>
    <t xml:space="preserve"> 36. Promover la generación y o apropiación de desarrollos tecnológicos para el uso de la biodiversidad y una mayor eficiencia de uso del patrimonio ambiental</t>
  </si>
  <si>
    <t xml:space="preserve"> 39. Prevenir y atender el conflicto en el uso y aprovechamiento de los recursos naturales</t>
  </si>
  <si>
    <t>Código:</t>
  </si>
  <si>
    <t>Versión:</t>
  </si>
  <si>
    <t>Sistema de Gestión Integral - SGI</t>
  </si>
  <si>
    <t>Aporte del proceso contractual al desempeño de la Corporación</t>
  </si>
  <si>
    <t>Objeto del contrato</t>
  </si>
  <si>
    <t>Dependencia</t>
  </si>
  <si>
    <t>Ordenador del gasto</t>
  </si>
  <si>
    <t>Líder de actividad</t>
  </si>
  <si>
    <t>Fecha</t>
  </si>
  <si>
    <t>Programa</t>
  </si>
  <si>
    <t>Proyecto</t>
  </si>
  <si>
    <t>Subactividad</t>
  </si>
  <si>
    <t>Plan</t>
  </si>
  <si>
    <t>Acto de aprobación</t>
  </si>
  <si>
    <t>Proyecto/Acción</t>
  </si>
  <si>
    <t>Cantidad aportada por el contrato</t>
  </si>
  <si>
    <t>Meta 2020-2023</t>
  </si>
  <si>
    <t>Plan + aire puro</t>
  </si>
  <si>
    <t>Plan de Ordenación Forestal</t>
  </si>
  <si>
    <t>Plan Regional de Cambio Climático</t>
  </si>
  <si>
    <t>Plan de Manejo de Acuíferos</t>
  </si>
  <si>
    <t>Plan de Manejo de Áreas Protegidas</t>
  </si>
  <si>
    <t>Planes de Manejo de Microcuencas</t>
  </si>
  <si>
    <t>Planes de Ordenación y Manejo de Cuencas Hidrográficas</t>
  </si>
  <si>
    <t>Planes de Ordenamiento del Recurso Hídrico</t>
  </si>
  <si>
    <t>Plan de negocio asociativo en turismo de naturaleza</t>
  </si>
  <si>
    <t>Plan anual de adquisiciones</t>
  </si>
  <si>
    <t>Plan de movilidad empresarial sostenible</t>
  </si>
  <si>
    <t>Plan Acción sectorial Ambiental de Mercurio </t>
  </si>
  <si>
    <t>Plan Anticorrupción y de Atención al Ciudadano</t>
  </si>
  <si>
    <t>Plan Institucional de Archivos de la Entidad</t>
  </si>
  <si>
    <t>Plan Anual de Vacantes</t>
  </si>
  <si>
    <t>Plan de Previsión de Recursos Humanos</t>
  </si>
  <si>
    <t>Plan Estratégico de Talento Humano</t>
  </si>
  <si>
    <t>Plan Institucional de Capacitación</t>
  </si>
  <si>
    <t>Plan de Bienestar Laboral</t>
  </si>
  <si>
    <t>Plan de Incentivos Institucionales</t>
  </si>
  <si>
    <t>Plan de Trabajo Anual en Seguridad y Salud en el Trabajo articulado con el SGI</t>
  </si>
  <si>
    <t>Plan Estratégico de Tecnologías de la Información y las Comunicaciones</t>
  </si>
  <si>
    <t>Plan maestro de infraestructura física</t>
  </si>
  <si>
    <t>Plan de gestión del conocimiento corporativo</t>
  </si>
  <si>
    <t>Plan de comunicaciones corporativo</t>
  </si>
  <si>
    <t>Plan de Seguridad y Privacidad de la Información</t>
  </si>
  <si>
    <t>Plan de Tratamiento de Riesgos de Seguridad y Privacidad de la Información</t>
  </si>
  <si>
    <t>Programa plan de acción</t>
  </si>
  <si>
    <t>Proyecto plan de acción</t>
  </si>
  <si>
    <t>n.°</t>
  </si>
  <si>
    <t>Actividad</t>
  </si>
  <si>
    <t>Estrategias BIO +</t>
  </si>
  <si>
    <t>Prioridad 2020</t>
  </si>
  <si>
    <t>Procedencia indicador</t>
  </si>
  <si>
    <t>Valoración de inversión por Proyecto 2020-2023</t>
  </si>
  <si>
    <t>Valoración de inversión por actividad 2020-2023</t>
  </si>
  <si>
    <t>Valoración de inversión por subactividad 2020-2023</t>
  </si>
  <si>
    <t>Valoración de inversión subactividad 2020</t>
  </si>
  <si>
    <t>Valoración de inversón subactividad 2021</t>
  </si>
  <si>
    <t>Valoración de inversión subactividad 2022</t>
  </si>
  <si>
    <t>Valoración de inversión subactividad 2023</t>
  </si>
  <si>
    <t>Explique brevemente qué tuvo en cuenta para hacer la valoración por indicador</t>
  </si>
  <si>
    <t>Líder</t>
  </si>
  <si>
    <t>Acción Indígena (A.I)</t>
  </si>
  <si>
    <t>Acción Afro (A.A)</t>
  </si>
  <si>
    <t>Tipo de acumulación indicador</t>
  </si>
  <si>
    <t>Nomina 2020-2023</t>
  </si>
  <si>
    <t>Nomina 2020</t>
  </si>
  <si>
    <t>Nomina 2021</t>
  </si>
  <si>
    <t>Nomina 2022</t>
  </si>
  <si>
    <t>Nomina 2023</t>
  </si>
  <si>
    <t>Recursos de Gestión 2020-2023</t>
  </si>
  <si>
    <t>Recursos de Gestión 2020</t>
  </si>
  <si>
    <t>Recursos de Gestión 2021</t>
  </si>
  <si>
    <t>Recursos de Gestión 2022</t>
  </si>
  <si>
    <t>Recursos de Gestión 2023</t>
  </si>
  <si>
    <t>Valoración total por Proyecto 2020-2023</t>
  </si>
  <si>
    <t>Valoració total por actividad 2020-2023</t>
  </si>
  <si>
    <t>Valoración total 2020-2023</t>
  </si>
  <si>
    <t>Valoración Total 2020</t>
  </si>
  <si>
    <t>Valoración Total 2021</t>
  </si>
  <si>
    <t>Valoración Total 2022</t>
  </si>
  <si>
    <t>Valoración Total 2023</t>
  </si>
  <si>
    <t>Destinación específica</t>
  </si>
  <si>
    <t>Procedencia del indicador (n.° ODS)</t>
  </si>
  <si>
    <t>Definir e implementar el modelo de administración de las áreas protegidas y otras estrategias complementarias, con enfoque diferencial</t>
  </si>
  <si>
    <t>1.1.1</t>
  </si>
  <si>
    <t>Definición e implementación del modelo de administración de las áreas protegidas y otras estrategias complementarias, con enfoque diferencial</t>
  </si>
  <si>
    <t>% de avance en la formulación e implementación del Modelo de administración de las áreas protegidas y otras estrategias complementarias, con enfoque diferencial</t>
  </si>
  <si>
    <t>Cuidar lo que está bien</t>
  </si>
  <si>
    <t>No aplica, corresponde a un indicador nuevo del Plan de Acción</t>
  </si>
  <si>
    <t>Plan de Acción</t>
  </si>
  <si>
    <t>Valoración de  profesionales que monitoreen las acciones contempladas en el modelo administrativo, más una plataforma tecnológica.  
Se requiere confluencia de S. Planeación , S. Regionalización, S. Ecosistemas, S. Gestión y de S. Cultura.  Todos en las etapas de formulación e implementación.</t>
  </si>
  <si>
    <t>Subdirección de Ecosistemas</t>
  </si>
  <si>
    <t>A.I 3</t>
  </si>
  <si>
    <t>Declarar áreas protegidas</t>
  </si>
  <si>
    <t>1.2.1</t>
  </si>
  <si>
    <t>Mejorar lo que puede estar mejor</t>
  </si>
  <si>
    <t>Baja</t>
  </si>
  <si>
    <t xml:space="preserve">329.604,7 ha declaradas, de un total de 1.080.713,1 ha factibles de proteger. </t>
  </si>
  <si>
    <t>PGAR-PND 2018-2022-ODS-Resolución 667 de 2016</t>
  </si>
  <si>
    <t>PGAR-PND 2018-2022-ODS 15-Resolución 667 de 2016</t>
  </si>
  <si>
    <t>1.2.2</t>
  </si>
  <si>
    <t>% de áreas protegidas con planes de manejo vigentes</t>
  </si>
  <si>
    <t>3 áreas con planes de manejo vigentes (Casica Noría, Alto San Miguel y Alegrías) de un total de 20.</t>
  </si>
  <si>
    <t>1.2.3</t>
  </si>
  <si>
    <t>Media</t>
  </si>
  <si>
    <t>Se debe definir línea base</t>
  </si>
  <si>
    <t>PGAR</t>
  </si>
  <si>
    <t>No se colocan costos en los dos primeros años porque la meta aparece en cero.  El equipo directivo deberá definir costos para estos dos primeros años, sin embargo, es clave tener en cuenta toda de movilización y encuentros comunitarios para definición de las áreas a intervenir,   el presupuesto contemplado se calcula para el análisis y ordenamiento territorial y para las intervenciones iniciales en las áreas consideradas (enriquecimiento de las áreas a conservar) S. Cultura deberá participar en dicha valoración.</t>
  </si>
  <si>
    <t>A.I 5, A.I 7, A.I 20, A.I 21, A.I 22, A.I 28</t>
  </si>
  <si>
    <t>A.A 1, A.A 3</t>
  </si>
  <si>
    <t>1.2.4</t>
  </si>
  <si>
    <t>No se colocan costos en los dos primeros años porque la meta aparece en cero.  El equipo directivo deberá definir costos para estos dos primeros años, sin embargo, es clave tener en cuenta toda de movilización y encuentros comunitarios para definición de las áreas a intervenir, en este caso S. Cultura deberá participar en dicha valoración.</t>
  </si>
  <si>
    <t>A.I 5, A.I 19, A.I 23</t>
  </si>
  <si>
    <t>A.A 2</t>
  </si>
  <si>
    <t>Ejecutar planes de manejo en áreas protegidas y acciones de manejo en otras estrategias de conservación a través de estrategias como pago por servicios ambientales (PSA)</t>
  </si>
  <si>
    <t>1.3.1</t>
  </si>
  <si>
    <t>Ejecución de planes de manejo en áreas protegidas</t>
  </si>
  <si>
    <t>% de áreas protegidas con planes de manejo en ejecución</t>
  </si>
  <si>
    <t>De las 17 áreas protegidas, 10 tienen planes de manejo en ejecución: 59%</t>
  </si>
  <si>
    <t>El equipo profesional que monitorea el modelo administrativo se encargará de reportar la ejecución.
Se requiere confluencia de S. Planeación , S. Ecosistemas, S. Regionalización, S. Gestión y de S. Cultura.  Todos en las etapas de formulación e implementación.</t>
  </si>
  <si>
    <t>1.3.2</t>
  </si>
  <si>
    <t>Ejecución de planes de manejo de áreas protegidas</t>
  </si>
  <si>
    <t>Se tomaron los montos de las fichas económicas de los planes de manejo vigentes para un total de 12 áreas protegidas.
Se requiere confluencia de S. Planeación , S. Regionalización, S. Gestión y de S. Cultura.  Todos en las etapas de formulación e implementación.</t>
  </si>
  <si>
    <t>1.3.3</t>
  </si>
  <si>
    <t xml:space="preserve">Ejecución de acciones de manejo en Humedales </t>
  </si>
  <si>
    <t>Número de ha de humedales con acciones de manejo</t>
  </si>
  <si>
    <t>Conectar a través del agua lo que debe estar conectado</t>
  </si>
  <si>
    <t>ha con acciones de conservación: 45.463,86 ha
ha totales de humedales: 315.543 ha</t>
  </si>
  <si>
    <t>Este indicador da respuesta a la acción n.° 170 del Plan de Mejoramiento de Auditoría Externa de la Auditoria Política Nacional de Humedales y Auditoria Cuenca Río Magdalena, registrado en SIRECI el 2020-01-31.
Basado en el histórico de convenios que se han llevado para los complejos de humedales de Bajo Cauca y Magdalena Medio.
S. Gestión, Cultura, S. Regionalización, S. Ecosistemas</t>
  </si>
  <si>
    <t>A.A 5</t>
  </si>
  <si>
    <t>1.3.4</t>
  </si>
  <si>
    <t>PGAR-PND 2018-2022</t>
  </si>
  <si>
    <t>Basado en el histórico de convenios para la formulación e implementación de planes de acción de los SILAPs.
Se requiere confluencia de S. Planeación , S. Regionalización, S. Gestión y de S. Cultura.  Todos en las etapas de formulación e implementación.</t>
  </si>
  <si>
    <t>1.3.5</t>
  </si>
  <si>
    <t xml:space="preserve">En Plan de Acción 2016-2019: Durante la vigencia 2019 se implementó el esquema de PSA en materia de conservación en el Parque Natural Regional Corredor Las Alegrías (PNRCA), DMI Cuchilla Jardín – Támesis y en las cuencas de Río Grande Río Chico, Guadalupe y Porce”, beneficiando 101 usuarios/familias por la conservación de los recursos naturales, y se aportó a la conservación de 1435 ha de ecosistemas en áreas protegidas. </t>
  </si>
  <si>
    <t>PND 2018-2022</t>
  </si>
  <si>
    <t xml:space="preserve">Se parte del análisis de costos de Oportunidad de Psa para las vigencias 2015 al 2019. conservando 1500 ha por año. Se pueden incluir recursos de Compensación o de vinculación voluntaria del sector productivo o de particulares. El CO calculado promedio es de $146250 por ha/mes y pagos durante 4 meses por usuario por año en promedio.
</t>
  </si>
  <si>
    <t>Subdirección de Gestión Ambiental</t>
  </si>
  <si>
    <t>A.I 2</t>
  </si>
  <si>
    <t>TUA</t>
  </si>
  <si>
    <t>1.3.6</t>
  </si>
  <si>
    <t>% de áreas de ecosistemas en restauración, rehabilitación y reforestación</t>
  </si>
  <si>
    <t>En el cuatrienio anterior se restauraron 5.363,9 ha, equivalente al 72% de las áreas a restaurar.</t>
  </si>
  <si>
    <t>Valor mantenimientos del 100% (60%)+ % año (estableciendo y mantenimientos)+Acompañamiento estrategias (Bio+, Sembratón, entre otras) (contrato)Se ha considerado un valor promedio por hectárea de 2.500.000 para la restauración, considerando que se trata de ecosistemas resilientes en los que se plantean mas acciones de alinderamiento, enriquecimiento u otro tipo de intervenciones y en muy pocos casos plantaciones con densidades muy bajas para permitir la regeneración natural.
S. Gestión, S. Cultura, S. Ecosistemas</t>
  </si>
  <si>
    <t>A.I 1</t>
  </si>
  <si>
    <t>Realizar control y seguimiento a las áreas protegidas y otras estrategias de conservación</t>
  </si>
  <si>
    <t>1.4.1</t>
  </si>
  <si>
    <t>Realización de control y seguimiento a áreas protegidas</t>
  </si>
  <si>
    <t xml:space="preserve">Guardabosques- ecosistemas 
Sensibilización actores-Cultura 
Buenas Prácticas -Gestión
Control y Seguimiento al territorio-Regionalización para ello se asignara en cada OT 4 funcionarios dedicados  a esta actividad en un 10% del tiempo  (biólogo y Forestal). Este 10% puede representar una visita e informe al mes, debido a que cada técnico de la OT hace 12 visitas/mes. 
4 técnicos* 8OT*0.1 tiempo*$4.000.000*12=$153.600.00
Igual se debe asignar dos jurídicos y administrativo , con una dedicación de 1% del tiempo
2 abogado*8OT*0.01*5.000.000*12=$9.600.000
2adminstr*8OT*0.001*2.300.000*12=$441.600 
Total: $163.641.600  
NOTA: Los costos proyectados por la Subdirección de Regionalización que asciende a la suma de $163.641.600 están incluidos en los costos de nómina del proyecto 9, actividad 9.2
*Ecosistemas: Considero que este indicador se cumple a través de varias estrategias, tales como los acuerdos de cero deforestación con los sectores productivos; todas las acciones de control y seguimiento por parte de regionalización; la estrategia control la deforestación, etc.           
</t>
  </si>
  <si>
    <t>Subdirección de Regionalización</t>
  </si>
  <si>
    <t>1.4.2</t>
  </si>
  <si>
    <t>Reducción de la deforestación en áreas protegidas y otras estrategias de conservación</t>
  </si>
  <si>
    <t>Deforestación 2010-2018: 87.000 ha
Línea base PGAR (2019):
• ha de bosques en agroecosistemas: 539.829 ha
• ha totales en agroecosistemas: 1.954.943 ha</t>
  </si>
  <si>
    <t>Esta estrategia asume valores de PSA, Educación comunitaria, proyectos alternativos productivos, en ese caso todos estos indicadores contribuyen con la meta.</t>
  </si>
  <si>
    <t>Implementar estrategia educativa y de participación para el reconocimiento y apropiación socio-cultural de las áreas protegidas y ecosistemas estratégicos</t>
  </si>
  <si>
    <t>1.5.1</t>
  </si>
  <si>
    <t>Participación con enfoque diferencial en la formulación e implementación del modelo de administración de las áreas protegidas y otras estrategias de conservación</t>
  </si>
  <si>
    <t>% de aporte a la construcción e implementación del Modelo de administración de las áreas protegidas y otras estrategias complementarias, con enfoque diferencial</t>
  </si>
  <si>
    <t>en 2020: Viáticos personal cultura ambiental, más 17 encuentros comunitarios uno por área protegida o por actor para la estrategia participativa del Modelo de Administración, más 4 encuentros zonales con comunidades indígenas y territoriales afro. Entre 2020 y 2023: viáticos profesionales cultura ambiental, más 17 encuentros de participación por área protegida o estrategia de conservación para el seguimiento a la aplicación del modelo.</t>
  </si>
  <si>
    <t>Subdirección de Cultura Ambiental</t>
  </si>
  <si>
    <t>A.I 4</t>
  </si>
  <si>
    <t>1.5.2</t>
  </si>
  <si>
    <t>Apropiación socio-cultural de las áreas protegidas</t>
  </si>
  <si>
    <t>% áreas protegidas con estrategia de apropiación socio-cultural</t>
  </si>
  <si>
    <t xml:space="preserve">Acompañamiento a Consulta previa en 2020.  Entre 2021 y 2023: implementación de la estrategia Gestión de la Cultura Ambiental: Territorio como zona de vida, para tres actores (indígenas, afro, SILAP, ETC), con el respectivo seguimiento interanual, más los viáticos del personal de la subdirección de cultura que acompañe el proceso. Más Aplicación de acciones de apropiación social en el 100% de los territorios étnicos: 64 resguardos indígenas y aproximadamente 99 comunidades afrocolombianas -6 acciones de apropiación social en cada territorialidad)
</t>
  </si>
  <si>
    <t>Definir conectividades ecosistémicas con enfoque diferencial</t>
  </si>
  <si>
    <t>2.1.1</t>
  </si>
  <si>
    <t>Definición de conectividades ecosistémicas con enfoque diferencial</t>
  </si>
  <si>
    <t>% de formulación del esquema de conectividades ecosistémicas</t>
  </si>
  <si>
    <t>Los valores definidos incluyen encuentros comunitarios de socialización y concertación del esquema de conectividades.
S. Ecosistemas, S. Cultura, S. Regionalización y S. Gestión</t>
  </si>
  <si>
    <t>Formular y ejecutar acciones de conservación para la conectividad rural</t>
  </si>
  <si>
    <t>2.2.1</t>
  </si>
  <si>
    <t>Restauración de áreas para la conectividad rural</t>
  </si>
  <si>
    <t>PGAR-PND 2018-2022-ODS</t>
  </si>
  <si>
    <t>Asumo que para cumplir con un indicador tan alto, este se alimentará con la suma de ejecuciónes de otros proyectos como adquisición de tierras, declaratorias de áreas protegidas, etc. 
S. Gestión y S. Ecosistemas</t>
  </si>
  <si>
    <t>PGAR-PND 2018-2022-ODS 15</t>
  </si>
  <si>
    <t>2.2.2</t>
  </si>
  <si>
    <t>Línea base PGAR 2019: 18.633 ha (cuencas, bosques, humedales, bosques asociados y páramos)</t>
  </si>
  <si>
    <t>El valor de la hectárea conservada se calcula a partir del total de hectareas conservadas y el valor total de los contratos y convenios incluida la interventoria para el año 2019. Se lleva a Valor presente. El indicaor incluye ha restauradas natural e inducidas. Se espera incrementar las ha de cobertura boscosa en 1666,83 ha en el periodo del PGAR y a 416,71 ha/año.</t>
  </si>
  <si>
    <t>2.2.3</t>
  </si>
  <si>
    <t>Recuperación o rehabilitación de suelos degradados</t>
  </si>
  <si>
    <t>% de suelos degradados en recuperación o rehabilitación</t>
  </si>
  <si>
    <t>Mapa de área degradadas 2010-2011: 160.000 ha</t>
  </si>
  <si>
    <t>PGAR-Resolución 667 de 2016</t>
  </si>
  <si>
    <t>Se estima un valor de $5.000.000 por hectárea en procesos de recuperación de áreas degradadas bajo sistemas de baja densidad con epecies niñeras que favorezcan el desarrollo de la regenración natural.
S. Gestión y S. Ecosistemas</t>
  </si>
  <si>
    <t>Realizar control y seguimiento a los corredores de conectividad establecidos</t>
  </si>
  <si>
    <t>2.3.1</t>
  </si>
  <si>
    <t>Realización de control y seguimiento a los corredores de conectividad establecidos</t>
  </si>
  <si>
    <t>% de ejecución de acciones de control y seguimiento a los corredores de conectividad establecidos</t>
  </si>
  <si>
    <t>Tejer una trama y una urdimbre en cada terruño</t>
  </si>
  <si>
    <t>Valores presupuestados para la participación comunitaria en el esquema de conectividades y cultura de la legalidad.
S. Ecosistemas, S. Regionalización, S. Cultural, S. Planeación.</t>
  </si>
  <si>
    <t>Aprobar y ejecutar el plan de ordenación forestal (POF)</t>
  </si>
  <si>
    <t>2.4.1</t>
  </si>
  <si>
    <t>En el Plan de Acción 2016-2019 se formuló el POF, se espera en 2020 alcanzar su aprobación</t>
  </si>
  <si>
    <t>Se tiene en cuenta para la ejecución del POF la armonización con el Plan de Acción, donde todos los programas y proyectos le apuntan a la ejecución del POF. La valoración por año está dirigida principalmente a la promoción y ajustes del Plan en cada uno de los municipios y Ofiinas Territoriales ya que de ello depende que se haga  una ejecución acertada del POF.
S. Planeación, S. Regionalización, S. Gestión y S. Ecosistemas, S. Cultura</t>
  </si>
  <si>
    <t>Implementar acciones de intervención en especies de flora y fauna priorizadas</t>
  </si>
  <si>
    <t>2.5.1</t>
  </si>
  <si>
    <t>Implementación de medidas de conservación y manejo en especies priorizadas</t>
  </si>
  <si>
    <t>% de especies priorizadas con medidas de conservación y manejo en ejecución</t>
  </si>
  <si>
    <r>
      <t xml:space="preserve">Plan de Acción 2016-2019: 
En 2019 mediante convenio 040-COV1905-55 y contrato 120-CNT1904-60.
</t>
    </r>
    <r>
      <rPr>
        <sz val="11"/>
        <rFont val="Calibri"/>
        <family val="2"/>
      </rPr>
      <t xml:space="preserve">▪ </t>
    </r>
    <r>
      <rPr>
        <sz val="11"/>
        <rFont val="Calibri"/>
        <family val="2"/>
        <scheme val="minor"/>
      </rPr>
      <t>Meta 2019: 120 especies intervenidas.
▪ Especies con medidas formuladas y ejecutadas.
▪ Flora: 124.
▪ Fauna: 6.</t>
    </r>
  </si>
  <si>
    <t>1.500.000.0000 (1.050 millones, Convenio Fauna y 450 millones, estrategia viveros), 2021: 1500 y 1000 millones, 2022: 2000 y 1500 millones, 2023: 2500 y 2000 milllones. 
Los recursos para atender las especies amenazdas e invasoras son valorados en los indicadores respectivos.
S. Ecosistemas, S. Regionalización, S. Gestión</t>
  </si>
  <si>
    <t>2.5.2</t>
  </si>
  <si>
    <t>Implementación de medidas de conservación y manejo en especies amenazadas</t>
  </si>
  <si>
    <t>% de especies amenazadas con medidas de conservación y manejo en ejecución</t>
  </si>
  <si>
    <t>Número de especies amenazadas:
▪ Flora: 211
▪ Fauna: 59
Especies con medidas formuladas y ejecutadas: 
▪ Flora:15
▪ Fauna: 18</t>
  </si>
  <si>
    <t>Se toman los valores históricos de convenios para desarrollo de las estrategias de manejo en especies.
S. Ecosistemas, S. Regionalización, S. Gestión</t>
  </si>
  <si>
    <t>2.5.3</t>
  </si>
  <si>
    <t>Implementación de medidas de prevención, control y manejo en especies invasoras.</t>
  </si>
  <si>
    <t>% de especies invasoras con medidas de prevención, control y manejo en ejecución</t>
  </si>
  <si>
    <t>Número de especies invasoras:
▪ Flora: 11
▪ Fauna: 5
Especies invasoras con medidas ejecutadas:
▪ Flora: 2
▪ Fauna: 3</t>
  </si>
  <si>
    <t>Se contemplan inicialmente 4 especies de fauna y 3 especies de flora.
S. Ecosistemas, S. Regionalización, S. Gestión</t>
  </si>
  <si>
    <t>Fortalecer la capacidad de los actores para la gestión corresponsable en la conectividad de corredores biológicos y sus ecosistemas</t>
  </si>
  <si>
    <t>2.6.1</t>
  </si>
  <si>
    <t>Fortalecimiento de la capacidad de los actores para la gestión corresponsable en la conectividad de corredores biológicos y sus ecosistemas</t>
  </si>
  <si>
    <t>Número de actores fortalecidos en la gestión corresponsable de acuerdo a la priorización de conectividades</t>
  </si>
  <si>
    <t>Viáticos profesionales de la Subdirección de cultura, más desarrollo de la estrategia cultura con tres actores priorizados e instalación de 9 ecoviveros  por año.</t>
  </si>
  <si>
    <t>Priorizar cuerpos de agua para la planificación del recurso hídrico</t>
  </si>
  <si>
    <t>3.1.1</t>
  </si>
  <si>
    <t>Priorización de cuerpos de agua para la planificación del recurso hídrico</t>
  </si>
  <si>
    <t>2019: 6 (IMG).
Número de cuerpos de agua priorizados para el cuatrienio: 11. Número de cuerpos con reglamentación 2020: 4.</t>
  </si>
  <si>
    <t xml:space="preserve">Para esta actividad se debe partir de la línea base: 7 fuentes a reglamentar 
La reglamentación debe incluir la gestión administrativa y documental 
Valor unitario por fuente: $250.000.000 (contratación) para 7  fuentes a reglamentar se tiene un valor de $1.750.000.000
Año 1  630.000.000 
Año 2  332.500.000
Año 3  315.000.000
Año 4  472.500.000
Igual se asigna un abogado y un técnico de la OT con una asignación de un 10% del tiempo para que acompañe este proceso, lo que equivale a unas 4 actuaciones/mes que equivalen a 2 días de trabajo/mes
</t>
  </si>
  <si>
    <t>Formular instrumentos de planificación hídrica</t>
  </si>
  <si>
    <t>3.2.1</t>
  </si>
  <si>
    <t>Formulación de Planes de Ordenamiento y Manejo de Cuenca</t>
  </si>
  <si>
    <t>Número de cuencas objeto de POMCA 34. Cuencas con POMCAS 2019: 10 adoptados.
POMCA adoptados 2016-2019: 5
Número de POMCAS a adoptar en la vigencia 2020-2023: 4.
Nota: IMG, se calcula con base en la hoja metodológica del Minambiente (Resolución 0667 de 2016). El 100% de la meta indica que se logra el porcentaje de avance en la fase proyectada para el periodo respectivo.</t>
  </si>
  <si>
    <t>PGAR-ODS-Resolución 667 de 2016</t>
  </si>
  <si>
    <t>Según orden de prioridad siguen: NSS San Bartolo, Nus, Guadalupe Porce, San Juan ituango. Se toma como referncia los costos de POMCAs de los años 2015, 2016 y 2018 con el Fondo Adaptacion y con recursos propios. Se incluye costo de interventoria del 18,5%</t>
  </si>
  <si>
    <t>PGAR-ODS 6-Resolución 667 de 2016</t>
  </si>
  <si>
    <t>3.2.2</t>
  </si>
  <si>
    <t>Número cuerpos de agua objeto de PORH: 69. 
Cuerpos de agua con PORH adoptados 2016- 2019: 18 
Número de PORH a adoptar en la vigencia 2020-2023: 11 
Nota: IMG, se calcula con base en la hoja metodológica del Minambiente (Resolución 0667 de 2016). El 100% de la meta indica que en el periodo "t" se adoptaron todos los planes proyectados.</t>
  </si>
  <si>
    <t>Como referente los costos de los planes anteriores . Incluye el costo de la interventoria por el 18,5%</t>
  </si>
  <si>
    <t>TUA y TR</t>
  </si>
  <si>
    <t>3.2.3</t>
  </si>
  <si>
    <t xml:space="preserve">Microcuencas objeto de PMA: 3.
Plan de Acción 2016-2019: se formularon 2: Sistema Acuífero Nare-Berrio-Yondó y Sistema Acuífero Santafé de Antioquia.
Está pendiente: Sistema Acuífero Bajo Cauca Antioqueño.
Plan de Acción 2020-2023 se proyectan formular 3 PMA.
Nota: se calcula con base en la hoja metodológica del Minambiente 
Meta: 100 %, se logra el % de avance en la fase proyectada para el periodo respectivo.
</t>
  </si>
  <si>
    <t>Plan de acción</t>
  </si>
  <si>
    <t>Se parte de los costos para los PMA de acuiferos en vigencias anteriores. Incluye el costo de la interventoria por el 18,5%.
Nómina valorada celda 27</t>
  </si>
  <si>
    <t>3.2.4</t>
  </si>
  <si>
    <t>No se identificaron en el Plan de Acción 20016-2019. Formulados: 0.
En el Plan de Acción 2020-2023 se proyecta formular 1 PMM.
Nota: IMG, se calcula con base en la hoja metodológica del Minambiente (Resolución 0667 de 2016). El 100% de la meta indica que se logra el porcentaje de avance en la fase proyectada para el periodo respectivo.</t>
  </si>
  <si>
    <t>No hay referente de costo. Se estima el valor en funcion de los alcances de la GUIA para PMM</t>
  </si>
  <si>
    <t>Fortalecer las capacidades de los actores para la participación en la planificación del patrimonio hídrico</t>
  </si>
  <si>
    <t>3.3.1</t>
  </si>
  <si>
    <t>Fortalecimiento de las capacidades de los actores para la participación en la planificación del patrimonio hídrico</t>
  </si>
  <si>
    <t>Número de actores fortalecidos con capacidad de planificación del patrimonio hídrico</t>
  </si>
  <si>
    <t>Se debe definir línea base.
En el año 2020 se contará con los actores con capacidad de planificación y se mantendrán durante todo el periodo del plan</t>
  </si>
  <si>
    <t>Viáticos profesionales de la Subdirección de Cultura, más desarrollo de la estrategia cultura con dos actores priorizado por año, incluyendo en 2020 el acompañamiento con profesionales de la Subdirección en los POMCA y PORH contratados para la vigencia, en 2021 a 2023, se acompañarán Consejos de cuenca e instancias de participación relacionadas con las cuencas y cuerpos de agua en proceso de planificación. Los costos de nómina de personal de cultura serán asignados de las actividad 10,5 y 11.1, 11,2 según pertinencia.</t>
  </si>
  <si>
    <t>Ejecutar los instrumentos de planificación hidrológica</t>
  </si>
  <si>
    <t>4.1.1</t>
  </si>
  <si>
    <t>Plan de acción 2016-2019:
4 POMCAS en ejecución: POMCA Río Grande-Rio Chico, Río Aburrá, Río Amaga -Qda. Sinifaná, Rio Aurra</t>
  </si>
  <si>
    <t>PND 2018-2022-ODS-Resolución 667 de 2016</t>
  </si>
  <si>
    <t>Se toma como base el proceso del año 2020. Incuye el valor de la Interventoria.
Nómina valorada celda 27</t>
  </si>
  <si>
    <t>PND 2018-2022-ODS 6-Resolución 667 de 2016</t>
  </si>
  <si>
    <t>4.1.2</t>
  </si>
  <si>
    <t>Plan de Acción 2016-2019:
PORH con acciones en ejecución: 17
Plan de Acción 2020-2023:
Meta: Equivale a ejecutar el 100% de los PORH formulados por la Corporación (incluye los aprobados y los formulados en cada periodo).</t>
  </si>
  <si>
    <t>Segun las inversiones de los años anteriores, sin embargo es importante tener en cuenta que dependera del recaudo de los recursos de TR, con inicio de quinquenio y situacion actual donde posiblemente se tendra que facturar con TM, es decir FR = 1. Incluye costo de la interventoria.
Nómina valorada celda 28</t>
  </si>
  <si>
    <t>4.1.3</t>
  </si>
  <si>
    <t>Plan de Acción 2016-2019:
PMA: 3.
PMA en ejecución: 2 (Nare-Berrio-Yondó y Santafé de Antioquia). El PMA del Bajo Cauca Antioqueño está pendiente de aprobación, sin embargo se ejecutaron acciones.
Plan de acción 2020-2023:
Se van a ejecutar 3 PMA
Nota: IMG, se calcula según hoja metodológica del Minambiente.
Meta: 100%, se ejecutaran los planes proyectados en cada periodo.</t>
  </si>
  <si>
    <t>Se toma como base los procesos de vigencizs anteriores.
Nómina valorada celda 27</t>
  </si>
  <si>
    <t>4.1.4</t>
  </si>
  <si>
    <t>• ha de cuencas abastecedoras con acciones de conservación: 26.053,06 ha.
• ha totales de las cuencas abastecedoras: 138.903 ha</t>
  </si>
  <si>
    <t>El valor de la hectárea conservada se calcula a partir del total de hectareas conservadas y el valor total de los contratos y convenios incluida la interventoria para el año 2019. Se lleva a Valor presente. El indicador incluye ha restauradas natural e inducidas.</t>
  </si>
  <si>
    <t>Implementar estrategia para la apropiación social y gestión corresponsable del patrimonio hídrico</t>
  </si>
  <si>
    <t>4.2.1</t>
  </si>
  <si>
    <t>Implementación de la estrategia para la apropiación social y gestión corresponsable del patrimonio hídrico</t>
  </si>
  <si>
    <t>% implementación de la estrategia de apropiación social y gestión corresponsable del patrimonio hídrico</t>
  </si>
  <si>
    <t>Se debe definir línea base.
La estrategia se ejecutará paulatinamente año a año hasta llegar el 100% en 2023.</t>
  </si>
  <si>
    <t>Consiste en el desarrollo de procesos enmarcados en la estrategia de cultura ambiental Territorio como Zona de Vida para la apropiación social de la gestión corresponsable del agua en 2 microcuencas o tramos de cuenca por año, excepto en 2020, donsde se realizará en una cuenca o tramo, según priorización. Incluye costos  personal externo y gastos operativos, el personal de cultura lo coordinará desde la actividad 10,5.</t>
  </si>
  <si>
    <r>
      <rPr>
        <sz val="11"/>
        <color rgb="FF7030A0"/>
        <rFont val="Calibri (Cuerpo)_x0000_"/>
      </rPr>
      <t xml:space="preserve">Apoyar el </t>
    </r>
    <r>
      <rPr>
        <sz val="11"/>
        <rFont val="Calibri"/>
        <family val="2"/>
        <scheme val="minor"/>
      </rPr>
      <t>mejoramiento al acceso a agua potable para las comunidades étnicas</t>
    </r>
  </si>
  <si>
    <t>4.3.1</t>
  </si>
  <si>
    <t>Mejoramiento del acceso al agua potable para las comunidades étnicas</t>
  </si>
  <si>
    <t>Sistemas de tratamiento de agua implementados en comunidades étnicas</t>
  </si>
  <si>
    <t>Adelantar gestion con Gobant y municipios. Valor aproximado de plantas compactas con redes de distribución para pequeñas comunidades</t>
  </si>
  <si>
    <t>A.A 10</t>
  </si>
  <si>
    <t>Proveer infraestructura y tecnología para la descontaminación del agua</t>
  </si>
  <si>
    <t>4.4.1</t>
  </si>
  <si>
    <t>Instalación de pozos sépticos</t>
  </si>
  <si>
    <t>Número de pozos instalados</t>
  </si>
  <si>
    <t>Se debe definir línea base.
Se proyecta apoyar la construcción de 1200 pozos por año.</t>
  </si>
  <si>
    <t>Segun las inversiones de los años anteriores, sin embargo es importante tener en cuenta que dependera del recaudo de los recursos de TR, con inicio de quinquenio y situacion actual donde posiblemente se tendra que facturar con TM, es decir FR = 1. Incluye costo de la interventoria.</t>
  </si>
  <si>
    <t>A.I 13</t>
  </si>
  <si>
    <t>TR</t>
  </si>
  <si>
    <t>4.4.2</t>
  </si>
  <si>
    <t>Construcción de plantas de tratamiento de agua residual</t>
  </si>
  <si>
    <t>Número de plantas de tratamiento de agua residual construidas</t>
  </si>
  <si>
    <t>Se debe definir línea base.
Se proyecta apoyar la construcción de 3 plantas de tratamiento por año.</t>
  </si>
  <si>
    <t>Segun las inversiones de los años anteriores, sin embargo es importante tener en cuenta que dependera del recaudo de los recursos de TR, con inicio de quinquenio y situacion actual donde posiblemente se tendra que facturar con TM, es decir FR = 1</t>
  </si>
  <si>
    <t>A.A 9</t>
  </si>
  <si>
    <t>Realizar seguimiento y monitoreo al agua con enfoque participativo</t>
  </si>
  <si>
    <t>4.5.1</t>
  </si>
  <si>
    <t>Operación de redes y estaciones de monitoreo del recurso hídrico</t>
  </si>
  <si>
    <t>Plan de acción 2016-2019:
Agua:
▪ n.° de estaciones hidrometeorológicas instaladas: 139
▪ n.° de estaciones hidrometeorológicas en operación:132
* % de estaciones hidrometeorológicas en operación: 95%</t>
  </si>
  <si>
    <t>Segun las inversiones de los años anteriores, Incluye el valor de monitoreo de ODC, fuentes receptoras y usuarios generadores de vertimientos. es importante tener en cuenta que dependera del recaudo de los recursos de TR, con inicio de quinquenio y situacion actual donde posiblemente se tendra que facturar con TM, es decir FR = 1. CONFIRMAR SI ESTAN JUNTO CON PIRAGUA (Hablar con Dianita). Incluye Programa Piragua</t>
  </si>
  <si>
    <t>4.5.2</t>
  </si>
  <si>
    <t>Plan de Acción 2016-2019
Número total de Planes de Saneamiento y Manejo de Vertimientos (PSMV) aprobados por la Corporación: 70
PSMV con seguimiento: 70 (100%)
Plan de Acción 2020-2023:
Se realizará seguimiento al 100% de los PSMV aprobados por la Corporación</t>
  </si>
  <si>
    <t>Este asunto debe ser del control de la OT. 
Para ello se debe asignar un técnico y un abogado de cada OT para que se haga el control y seguimiento dos veces al año. Esto implica la revisión de la tasa retributiva, son 70PSMV que hay en la Corporación, así las cosas, son 140 seguimientos/año y cada funcionario se demora por PMSV 2 meses/año para los técnicos, lo que equivales a 6 millones  y los abogados 0.5  mes/año lo que equivale a $1.000.000
Cada PSMV vales $7.000.000 considerando la revisión de dos veces/año, con actuación técnica y jurídica, por tanto, el
valor total es $70*7.000.000=$490.000.000</t>
  </si>
  <si>
    <t>4.5.3</t>
  </si>
  <si>
    <t>Plan de acción 2016-2019:
115 PUEAA con seguimiento de 115 programados.
Plan de Acción 2020-2023:
Se realizará seguimiento al 100% de los PUEAA</t>
  </si>
  <si>
    <t>Linea base de PUEAA : 
año 1: 100 pueaa, osea que son $100.000.000
Año 2: 120 pueaa, osea que son 120.000.000
Año 3: 140 pueaa, osea que son 140.000.000
Año 4: 160 pueaa, osea que son  160.000.000
Actuación tecnica y juridica uan vez al año por PUEAA, lo que tiene un valor de $ 1.000.000
Total: $520.000.000</t>
  </si>
  <si>
    <t>Definir modelo de ocupación regional sostenible, con enfoque diferencial, en articulación interinstitucional</t>
  </si>
  <si>
    <t>5.1.1</t>
  </si>
  <si>
    <t>Definición del modelo de ocupación regional sostenible, con enfoque diferencial, en articulación interinstitucional</t>
  </si>
  <si>
    <t>El trabajo se realizará de manera articulada con la Gobernación de Antioquia y con personal de la Subdirección de Planeación involucrando otras dependencias relacionadas con las determinantes ambientales, por tanto son recursos de nómina.  Se propone recurso de  4 millones de viáticos para socializar el modelo por territorial al finalizar el 2020, promedio 500 mil por territorial. Se espera contar con un documento digital a difundir por redes, con el apoyo de la Oficina Asesora de Comunicaciones, no se deja recurso para ello dado que sería por nómina.</t>
  </si>
  <si>
    <t>Subdirección de Planeación</t>
  </si>
  <si>
    <t>5.1.2</t>
  </si>
  <si>
    <t>Priorización, delimitación y regulación Rondas hídricas</t>
  </si>
  <si>
    <t>Número de rondas hídricas priorizadas delimitadas y reguladas</t>
  </si>
  <si>
    <t>Cero (0), corresponde a un indicador nuevo del PGAR 2020-2031.</t>
  </si>
  <si>
    <t>Se calcula que un KM de Ronda vale $ 15,000,000 para el año 2020. Se estima uyn promedio de 5 KM por cada corriente analizada.
Los recursos de nómina son los ya valorados en la celda 28</t>
  </si>
  <si>
    <t>Implementar estrategia de gestión del conocimiento social, y apropiación de la planificación ambiental del territorio para que los actores incidan en las decisiones de los usos del suelo y generen acciones corresponsables</t>
  </si>
  <si>
    <t>5.2.1</t>
  </si>
  <si>
    <t>Implementación de la estrategia de gestión del conocimiento social, y apropiación de la planificación ambiental del territorio para que los actores incidan en las decisiones de los usos del suelo y generen acciones corresponsables</t>
  </si>
  <si>
    <t>% de la aplicación de la estrategia de gestión del conocimiento social, y apropiación de la planificación ambiental del territorio</t>
  </si>
  <si>
    <t>En 2020 será desarrollada la estrategia de fortalecimeinto de actores estratégicos de manera coordinada con la Subdirección de Planeación y se implementará entre 2021 y 2023 con un actor por año. Los profesionales de la subdirección de cultura acompañarán desde las actividades 10,5- 10,6 -10,7 -11,1-11,2</t>
  </si>
  <si>
    <r>
      <t>Asesorar a los municipios en la definición de su modelo de ocupación territorial</t>
    </r>
    <r>
      <rPr>
        <b/>
        <sz val="11"/>
        <rFont val="Calibri"/>
        <family val="2"/>
        <scheme val="minor"/>
      </rPr>
      <t>, a partir del modelo de ocupación regional definido</t>
    </r>
  </si>
  <si>
    <t>5.3.1</t>
  </si>
  <si>
    <t>Asesoramiento a los municipios en la definición de su modelo de ocupación territorial, a partir del modelo de ocupación regional definido</t>
  </si>
  <si>
    <t>La asesoría se brindará por personal de la Subdirección de Planeación, por tanto son recursos de nómina  y sólo se especifica viáticos requeridos para traslados a las Oficinas Territoriales y municipios. 2021 Hevéxicos y Panzenú, 2022 Tahamíes y Zenufaná, 2023 Cartama, Citará, Aburrá Norte y Sur, se ajustaron las metas de forma coherente con esta distribución. Promedio 1 millón por OT y Aburrá Norte y Sur se haría en Medellín</t>
  </si>
  <si>
    <t>Asesorar a los municipios en la definición de su modelo de ocupación territorial, a partir del modelo de ocupación regional definido</t>
  </si>
  <si>
    <t>5.3.2</t>
  </si>
  <si>
    <t>% de esquemas asociativos municipales conformados que aportan a la protección del patrimonio natural a partir de la formulación y ejecución de planes de acción ambiental de orden regional o provincial que contienen el escenario de sostenibilidad, protegen su patrimonio ecológico regional y aportan a la consolidación del escenario de sostenibilidad regional del PGAR</t>
  </si>
  <si>
    <t>La asesoría se brindará por personal de la Subdirección de Planeación, por tanto son recursos de nómina  y sólo se especifica viáticos requeridos para traslados para encuentros provinciales, estos se pueden coordinar con la meta anterior</t>
  </si>
  <si>
    <t>Acompañar a los municipios en la formulación de instrumentos de planificación (POT, EOT, PBOT, planes de desarrollo)</t>
  </si>
  <si>
    <t>5.4.1</t>
  </si>
  <si>
    <t>Plan de acción 2016-2019:
Se planificó asesorar a 16 municipios y se asesoraron efectivamente 50.
La incorporación del escenario de sostenibilidad en la planificación de los municipios es un indicador nuevo del PGAR 2020-2031, por lo que la meta para la vigencia 2020-2023 es de 6 municipios.</t>
  </si>
  <si>
    <t>Este trabajo se realiza actualmente liderado desde las OT, en caso que se continúe así, se requieren sólo viáticos para el acompañamiento desde la Subdirección. 
Pero en caso que se asuma  el proceso desde la Subdirección de Planeación, se requerirá además reestructurar el equipo de OAT y fortalecerlo con los perfiles necesarios y sería recurso de nómina. Se deja sólo recursos de viáticos, pensando en 2 municipios acompañados por año, aunque dependerá de la demanda de los municipios y pueden ser más. Se modifican las metas dado que está asociado al indicador del MADS y ya se está asesorando.</t>
  </si>
  <si>
    <t>5.4.2</t>
  </si>
  <si>
    <t>% de planes de desarrollo que incorporan decisiones de planeación territorial de los municipios fundamentados en los POT actualizados y en las determinantes ambientales adoptadas a la fecha</t>
  </si>
  <si>
    <t>No aplica, corresponde a un indicador nuevo del PGAR</t>
  </si>
  <si>
    <t>Esta meta se ejecuta con los contratos de prestación de servicios de la Actividad 5.6</t>
  </si>
  <si>
    <r>
      <t xml:space="preserve">Realizar seguimiento y monitoreo a los instrumentos de planificación </t>
    </r>
    <r>
      <rPr>
        <sz val="11"/>
        <color rgb="FF7030A0"/>
        <rFont val="Calibri"/>
        <family val="2"/>
        <scheme val="minor"/>
      </rPr>
      <t xml:space="preserve">territorial </t>
    </r>
    <r>
      <rPr>
        <sz val="11"/>
        <rFont val="Calibri"/>
        <family val="2"/>
        <scheme val="minor"/>
      </rPr>
      <t>concertados en el cuatrienio</t>
    </r>
  </si>
  <si>
    <t>5.5.1</t>
  </si>
  <si>
    <t>Definición e implementación de metodología para el seguimiento y monitoreo a los instrumentos de planificación concertados en el cuatrienio</t>
  </si>
  <si>
    <t>% de municipios con seguimiento y monitoreo a los instrumentos de planificación concertados en el cuatrienio</t>
  </si>
  <si>
    <t>Esta meta se ejecuta con la nómina.
Cargar en el portal geográifco la información actualizada de los POT.
En el CIA deb estar la información de soporte delos POTS
En el trámite debe cargarse las coordendas para armar el shp de los trámites.
Interoperatibidad SIRENA y Geoportal. Los recursos deben valorarse en 10,1.</t>
  </si>
  <si>
    <t>Construir e implementar portafolio institucional de acciones a ejecutar en el marco del plan de acción</t>
  </si>
  <si>
    <t>5.6.1</t>
  </si>
  <si>
    <t>Armonización de los componentes programáticos de instrumentos de planificación</t>
  </si>
  <si>
    <t>No aplica, corresponde a un indicador nuevo del PGAR
La meta consiste en la armonización de los instrumentos de planificación por territorial.</t>
  </si>
  <si>
    <r>
      <t xml:space="preserve">Para los años 2020 y 2021 corresponde al valor de dos contratos de prestación de servicios (profesional especializado). Para los años 2022 y 2023 no se presupuestan dado que deberían incluirse en el proyecto de Modernización.
En esta actividad se realizará un estudio para levantar líneas bases de los indicadores. </t>
    </r>
    <r>
      <rPr>
        <b/>
        <sz val="9"/>
        <rFont val="Calibri"/>
        <family val="2"/>
        <scheme val="minor"/>
      </rPr>
      <t>El valor definido sera objeto de análisis con las demás dependencias.</t>
    </r>
  </si>
  <si>
    <t>5.6.2</t>
  </si>
  <si>
    <t>% de instrumentos de Planificación Ambiental presentes en el territorio armonizados y orientados a una gestión articulada con las demás autoridades ambientales hacia la sostenibilidad ambiental del territorio (%)</t>
  </si>
  <si>
    <t>No aplica, corresponde a un indicador nuevo del PGAR
La meta consiste en la armonización de los instrumentos de planificación ambiental por las autoridades ambientales limítrofes.</t>
  </si>
  <si>
    <t>Viaticos para visitas a las Coporaciones limitrofes, con el fín de gestionar recursos y el desarrollo de proyectos de forma artiulada</t>
  </si>
  <si>
    <t>Realizar estudios de conocimiento de amenaza y riesgo</t>
  </si>
  <si>
    <t>6.1.1</t>
  </si>
  <si>
    <t>Realización de estudios de conocimiento y amenaza del riesgo realizados en los municipios de la jurisdicción</t>
  </si>
  <si>
    <t>% de estudios de conocimiento y amenaza del riesgo apoyados en los municipios de la jurisdicción</t>
  </si>
  <si>
    <t>Se tuvó en cuenta la base del costo de los Estudios ya realizados por la Corporación, los municipios que aún faltan por realizar los estudios y entre año y año se contempla un aumento en los costos de aproximadamente el 10%.</t>
  </si>
  <si>
    <t>A.I 14, A.I 15, A.I 19, A.I 23, A.I 30</t>
  </si>
  <si>
    <t>Asesorar a los municipios en la incorporación de lineamientos de adaptación al cambio climático y gestión del riesgo en sus instrumentos de planificación</t>
  </si>
  <si>
    <t>6.2.1</t>
  </si>
  <si>
    <t>Plan de Acción 2016-2019:
La meta era la asesoría de los 80 municipios de la jurisdicción, la cual se cumplió al 100%. Sin embargo, se debe levantar la línea base de cuántos de esos municipios asesorados realmente actualizaron sus instrumentos de planificación.</t>
  </si>
  <si>
    <t>PGAR-PND 2018-2022-Resolución 667 de 2016</t>
  </si>
  <si>
    <t>Se analizó como base el valor de las actividades similares realizadas en el pasado plan de acción y entre año y año se contempla un aumento en los costos de aproximadamente el 10%</t>
  </si>
  <si>
    <t>6.3.1</t>
  </si>
  <si>
    <t>No aplica, corresponde a un indicador nuevo del PGAR.
Meta: en el cuatrienio 2 de los 8 sectores formuladores de los PIGCCS ejecutan acciones en algunos de los municipios de la jurisdicción.</t>
  </si>
  <si>
    <t>Se analizó como base el valor de las actividades similares realizadas en el pasado plan de acción y entre año y año se contempla un aumento en los costos de aproximadamente el 10%.
Competencia de Ecosistemas con participación de Gestión ambiental y cultura.</t>
  </si>
  <si>
    <t>A.I 11, A.I 20, A.I 21</t>
  </si>
  <si>
    <t>A.A 11</t>
  </si>
  <si>
    <r>
      <rPr>
        <sz val="11"/>
        <color rgb="FF7030A0"/>
        <rFont val="Calibri"/>
        <family val="2"/>
        <scheme val="minor"/>
      </rPr>
      <t>Implementar la estrategia de</t>
    </r>
    <r>
      <rPr>
        <sz val="11"/>
        <rFont val="Calibri"/>
        <family val="2"/>
        <scheme val="minor"/>
      </rPr>
      <t xml:space="preserve"> reconocimiento de la memoria adaptativa del territorio y apropiación socio-cultural de herramientas de participación y educación para la adaptación al cambio climático y la gestión del riesgo</t>
    </r>
  </si>
  <si>
    <t>6.4.1</t>
  </si>
  <si>
    <t>Implementación de la estrategia de reconocimiento de la memoria adaptativa del territorio y apropiación socio-cultural de herramientas de participación y educación para la adaptación al cambio climático y la gestión del riesgo</t>
  </si>
  <si>
    <t>% de implementación de la estrategia de reconocimiento de la memoria adaptativa del territorio y apropiación socio-cultural de herramientas de participación y educación para la adaptación al cambio climático y la gestión del riesgo</t>
  </si>
  <si>
    <t>Se debe definir línea base.
La estrategia se ejecutará paulatinamente año a año hasta llegar el 40% en 2023.</t>
  </si>
  <si>
    <t xml:space="preserve">En 2020, será diseñada la estrategia de apropiación social de apropiación de medias de adaptación a cambio climático y de la gestión del riesgo, con el aporte de profesionales de la Subdirección de Cultura con sus respectivos gastos de viaje, entre 2021 y 2023, será desarrollada la estrategia con 3 actores o en 3 lugares por año.
</t>
  </si>
  <si>
    <t>A.I 14, A.I 15, A.I 16</t>
  </si>
  <si>
    <t>Implementar el Plan de Gestión del Cambio Climático en la Jurisdicción de Corantioquia, con enfoque diferencial</t>
  </si>
  <si>
    <t>6.5.1</t>
  </si>
  <si>
    <t>Implementación del Plan de Gestión del Cambio Climático en la Jurisdicción de Corantioquia</t>
  </si>
  <si>
    <t>% de implementación del Plan de Gestión del Cambio Climático en la Jurisdicción de Corantioquia</t>
  </si>
  <si>
    <t>Se debe definir línea base.</t>
  </si>
  <si>
    <t>Se analizó como base el valor de las actividades similares realizadas en el pasado plan de acción y entre año y año se contempla un aumento en los costos de aproximadamente el 10%. 
Se requiere confluencia de S. Ecosistemas, S. Regionalización, S. Gestión y de S. Cultura.</t>
  </si>
  <si>
    <t>A.I 16</t>
  </si>
  <si>
    <t>A.A 12</t>
  </si>
  <si>
    <t>6.5.2</t>
  </si>
  <si>
    <t>Implementación de las medidas acordadas para la reducción de gases de efecto invernadero</t>
  </si>
  <si>
    <t>Se analizó como base el valor de las actividades similares realizadas en el pasado plan de acción y entre año y año se contempla un aumento en los costos de aproximadamente el 10%.  
Se requiere confluencia de S. Ecosistemas, S. Regionalización, S. Gestión y de S. Cultura.</t>
  </si>
  <si>
    <t>Transformar sectores productivos y economías locales hacia prácticas sostenibles (Bioeconomía, Economía circular, Economía naranja, Negocios verdes, Turismo asociado al patrimonio ambiental, entre otros), con corresponsabilidad de los actores</t>
  </si>
  <si>
    <t>7.1.1</t>
  </si>
  <si>
    <t>Ejecución de planes de negocio asociativo en turismo de naturaleza por socioecosistema</t>
  </si>
  <si>
    <t>Apoyado en las tablas económicas de los planes de manejo de las Áreas Protegidas.
S. Cultura, S. Ecosistemas</t>
  </si>
  <si>
    <t>A.I 8, A.I 9</t>
  </si>
  <si>
    <t>7.1.2</t>
  </si>
  <si>
    <t>Implementación de esquemas asociativos propios de las comunidades étnicas en lo productivo según regulación propia, que incorporan uso de la biodiversidad</t>
  </si>
  <si>
    <t>Número de esquemas asociativos propios de las comunidades étnicas en lo productivo implementados según regulación propia, que incorporan uso de la biodiversidad</t>
  </si>
  <si>
    <t>Se realizara convenio-contrato; ademas de aportes corporativo</t>
  </si>
  <si>
    <t>A.I 8, A.I 9, A.I 10, A.I 22, A.I 24</t>
  </si>
  <si>
    <t>A.A 5, A.A 7</t>
  </si>
  <si>
    <t>7.1.3</t>
  </si>
  <si>
    <t>Fortalecimiento de las prácticas de economía propia bajo principios de sostenibilidad</t>
  </si>
  <si>
    <t>Número de prácticas de economía propia fortalecida bajo principios de sostenibilidad</t>
  </si>
  <si>
    <t>A.I 6, A.I 7, A.I 20, A.I 21, A.I 22</t>
  </si>
  <si>
    <t>A.A 4</t>
  </si>
  <si>
    <t>7.1.4</t>
  </si>
  <si>
    <t>Acompañamiento a los sectores para la reconversión hacia sistemas sostenibles de producción</t>
  </si>
  <si>
    <t>% de sectores con acompañamiento para la reconversión hacia sistemas sostenibles de producción</t>
  </si>
  <si>
    <r>
      <t xml:space="preserve">Plan de Acción 2016-2019:
▪ Sectores a acompañar: 6.
▪ Sectores acompañados: 15.
</t>
    </r>
    <r>
      <rPr>
        <b/>
        <sz val="11"/>
        <rFont val="Calibri"/>
        <family val="2"/>
        <scheme val="minor"/>
      </rPr>
      <t xml:space="preserve">Nota: </t>
    </r>
    <r>
      <rPr>
        <sz val="11"/>
        <rFont val="Calibri"/>
        <family val="2"/>
        <scheme val="minor"/>
      </rPr>
      <t>La meta se proyecta según el número de sectores definido para acompañar en el cuatrienio.</t>
    </r>
  </si>
  <si>
    <t>A.I 10</t>
  </si>
  <si>
    <t>A.A 6</t>
  </si>
  <si>
    <t>7.1.5</t>
  </si>
  <si>
    <t>Verificación de negocios verdes</t>
  </si>
  <si>
    <t>Los mismos personal ya valorado celda 62</t>
  </si>
  <si>
    <t>7.1.6</t>
  </si>
  <si>
    <t>Implementación del programa regional de negocios verdes</t>
  </si>
  <si>
    <t>% de implementación del programa regional de negocios verdes por la autoridad ambiental</t>
  </si>
  <si>
    <t>Plan de Acción 2016-2019: La Corporación tenía planificado desarrollar 4 acciones en el marco del Programa Regional de Negocios Verdes las cuales se lograron en un 100%.</t>
  </si>
  <si>
    <t>7.1.7</t>
  </si>
  <si>
    <t>Implementación de estrategias de promoción de uso de energía alternativa</t>
  </si>
  <si>
    <t>% de implementación de estrategias de promoción de uso de energía alternativa</t>
  </si>
  <si>
    <r>
      <rPr>
        <sz val="11"/>
        <color rgb="FF7030A0"/>
        <rFont val="Calibri"/>
        <family val="2"/>
        <scheme val="minor"/>
      </rPr>
      <t>Acompañamiento</t>
    </r>
    <r>
      <rPr>
        <sz val="11"/>
        <color theme="8" tint="-0.249977111117893"/>
        <rFont val="Calibri"/>
        <family val="2"/>
        <scheme val="minor"/>
      </rPr>
      <t xml:space="preserve"> a los sectores en la generación de articulaciones socio-cultural que permitan consolidar escenarios económicos locales y regionales sostenibles</t>
    </r>
  </si>
  <si>
    <t>7.2.1</t>
  </si>
  <si>
    <t>Acompañamiento a los sectores en la generación de articulaciones socio-cultural que permitan consolidar escenarios económicos locales y regionales sostenibles</t>
  </si>
  <si>
    <t>Número de sectores acompañados en la generación de articulaciones socio-cultural</t>
  </si>
  <si>
    <t>En 2020, serán acompañados dos actores a priorizar y se fortalecerá el mercado verde como espacio educativo hacia prácticas de consumo responsables. Entre 2021 y 2023, serán fortalecidos 2 actores y los mercados verdes, mediante la estrategia de gestión de la Cultura y dimensión socio-cultural y comunitaria en dialogo con los sectores económicos. Concertarlo con gestión ambiental, para contribuir a que los sectores pequeños se prioricen en la gestión de la corporación.</t>
  </si>
  <si>
    <t>Impulsar la transición hacia un consumo sostenible</t>
  </si>
  <si>
    <t>7.3.1</t>
  </si>
  <si>
    <t>% de aplicación de criterios de sostenibilidad para bienes y servicios incluidos en el plan anual de adquisiciones</t>
  </si>
  <si>
    <t>Subdirección Administrativa</t>
  </si>
  <si>
    <t>7.3.2</t>
  </si>
  <si>
    <t>Contratos y personal Corantioquia</t>
  </si>
  <si>
    <t>Realizar seguimiento y control a los acuerdos establecidos con los sectores</t>
  </si>
  <si>
    <t>7.4.1</t>
  </si>
  <si>
    <t>Definición e implementación de metodología para el seguimiento y monitoreo a los acuerdos establecidos con los sectores</t>
  </si>
  <si>
    <t>Prestacion de servicios-personal de Corantioquia y sectores.</t>
  </si>
  <si>
    <t>Realizar investigación para el uso eficiente de la biodiversidad y disminuir los efectos de la producción en el ambiente (residuos, emisiones)</t>
  </si>
  <si>
    <t>7.5.1</t>
  </si>
  <si>
    <t>Ejecutar acciones de intervención del espacio público verde</t>
  </si>
  <si>
    <t>8.1.1</t>
  </si>
  <si>
    <t>Intervención de las entidades territoriales del orden municipal con elementos naturales del espacio público verde</t>
  </si>
  <si>
    <r>
      <t>m</t>
    </r>
    <r>
      <rPr>
        <vertAlign val="superscript"/>
        <sz val="11"/>
        <rFont val="Calibri"/>
        <family val="2"/>
        <scheme val="minor"/>
      </rPr>
      <t>2</t>
    </r>
    <r>
      <rPr>
        <sz val="11"/>
        <rFont val="Calibri"/>
        <family val="2"/>
        <scheme val="minor"/>
      </rPr>
      <t xml:space="preserve"> generados de espacio público asociado a elementos naturales</t>
    </r>
  </si>
  <si>
    <t>No se ha trabajado en los dos últimos planes de acción.</t>
  </si>
  <si>
    <t xml:space="preserve">valoraciónn metros cuadrados de espacio público intervenido por habitante (propuesta de reescritura del indicador).  Las actividades pueden contemplar enriquecimientos vegetales de hábitats urbanos, mejoramiento de espacio público. Presupuesto asignado: $1,500,000,000.00
• Valor M2 intervención física aproximado:  $ 350,000.00 
- 50% Paisajismo 
- 25% Zonas duras
- 25% Amoblamiento
• Lo anterior equivaldría a intervenir (1500000000/350000= 4285 m2/ año de espacio público verde. 
• Se plantea la intervención con apoyo económico en 3 municipios al año.  Lo que equivaldría a 1428 m2 / municipio
</t>
  </si>
  <si>
    <t xml:space="preserve">Implementar el "Plan + aire puro" </t>
  </si>
  <si>
    <t>8.2.1</t>
  </si>
  <si>
    <t>Implementación del "Plan + aire puro"</t>
  </si>
  <si>
    <t>% de implementación del "Plan + aire puro"</t>
  </si>
  <si>
    <t>Se trabajaba desde el proyecto de calidad del aire del Plan de Acción anterior, orientado a control de emisiones.</t>
  </si>
  <si>
    <t>8.2.2</t>
  </si>
  <si>
    <t>Formulación e implementación del Plan de movilidad empresarial sostenible-Plan MES</t>
  </si>
  <si>
    <t>% de formulación e implementación del Plan de movilidad empresarial sostenible-Plan MES, de Corantioquia</t>
  </si>
  <si>
    <t>El plan se trabajó en 2019 orientado a la utilización de medios de transporte saludables con el medio ambiente, biciusuarios.</t>
  </si>
  <si>
    <t>Esta meta se logra con la nómina. Trabajo de Subdirección Administrativa, apoyo Gestion Ambiental. 
Nota: los costos en que se incurren para el cumplimiento de esta meta, se incluyen en los costos de la planta de cargos que se proyecta en el proyecto 10</t>
  </si>
  <si>
    <t>Mejorar el modelo de implementación de gestión integral de residuos</t>
  </si>
  <si>
    <t>8.3.1</t>
  </si>
  <si>
    <t>Plan de acción 2016-2019
80 PGIRS con seguimiento de 80 programados</t>
  </si>
  <si>
    <t>8.3.2</t>
  </si>
  <si>
    <t>Seguimiento a las metas de aprovechamiento contempladas en los PGIRS</t>
  </si>
  <si>
    <t>% de seguimiento a las metas de aprovechamiento contempladas en los PGIRS</t>
  </si>
  <si>
    <t>Los mismos personal ya valorado celda 74</t>
  </si>
  <si>
    <t>8.3.3</t>
  </si>
  <si>
    <t>Implementación de campañas para la disminución en la generación de residuos</t>
  </si>
  <si>
    <t>% de implementación de campañas para la disminución en la generación de residuos</t>
  </si>
  <si>
    <r>
      <rPr>
        <b/>
        <sz val="11"/>
        <rFont val="Calibri"/>
        <family val="2"/>
        <scheme val="minor"/>
      </rPr>
      <t>Plan de Acción 2016-2019.</t>
    </r>
    <r>
      <rPr>
        <sz val="11"/>
        <rFont val="Calibri"/>
        <family val="2"/>
        <scheme val="minor"/>
      </rPr>
      <t xml:space="preserve"> El proyecto gestión integral de residuos sólidos, tenía el acompañamiento a los municipios, el cual se cumplió en 100%</t>
    </r>
  </si>
  <si>
    <t>A.A 8</t>
  </si>
  <si>
    <t>Fomentar hábitos ciudadanos sostenibles, con enfoque diferencial</t>
  </si>
  <si>
    <t>8.4.1</t>
  </si>
  <si>
    <t>Implementación de prácticas ambientales sostenibles desde el reconocimiento de sus derechos, deberes y el fortalecimiento de lo cultural</t>
  </si>
  <si>
    <t>Número de prácticas ambientales sostenibles implementadas desde el reconocimiento de sus derechos, deberes y el fortalecimiento de lo cultural</t>
  </si>
  <si>
    <t>La Subdireacción de Cultura en 2020, aportará a la identificación de prácticas y la priorización de actores desde la dimensión socio culrural. Entre 2021 y 2023, mediante la aplicación de la estrategia cultura ambiental serán desarrollados 2 procesos año para fortalecer la adopción buenas prácticas ciudadanas, con su respectivo seguimiento.</t>
  </si>
  <si>
    <t>Promover prácticas ciudadanas de consumo sostenibles</t>
  </si>
  <si>
    <t>8.5.1</t>
  </si>
  <si>
    <t>Fortalecimiento de hogares ecológicos</t>
  </si>
  <si>
    <t>Número de hogares ecológicos fortalecidos</t>
  </si>
  <si>
    <t>Plan de Acción 2016-2019: Se fortalecieron 7.800 personas, equivalente 1915 familias, a través de la acción de hogares ecológicos.</t>
  </si>
  <si>
    <t>1600 hogares ecológicos enmarcados en la estrategia de Cultura Ambiental Territorio como Zona de Vida y Estrategia BIO+. Coordinados desde la Subdirección de Cultura Ambiental actividad 10,5</t>
  </si>
  <si>
    <t>Realizar control y seguimiento a aspectos que afecten el hábitat sostenible (calidad del aire, suelos y residuos)</t>
  </si>
  <si>
    <t>8.6.1</t>
  </si>
  <si>
    <t>Operación de redes y estaciones de monitoreo</t>
  </si>
  <si>
    <t>Plan de acción 2016-2019
Aire PM10:
▪ n.° de estaciones de monitoreo del aire instaladas: 2
▪ n.° de estaciones en operación: 2
▪ Porcentaje de redes en operación: 100%
Aire PM2.5:
▪ n.° de estaciones de monitoreo del aire instaladas: 1
▪ Número de estaciones en operación: 1
▪ % de redes en operación: 100%</t>
  </si>
  <si>
    <t>A.I 24, A.I 25, A.I 26</t>
  </si>
  <si>
    <t>Definir y adoptar el Modelo de Administración de los Recursos Naturales, con enfoque diferencial</t>
  </si>
  <si>
    <t>9.1.1</t>
  </si>
  <si>
    <t>Definición y adopción del Modelo de Administración de los Recursos Naturales, con enfoque diferencial</t>
  </si>
  <si>
    <t>Indicador nuevo del Plan de Acción.
Se espera adoptar el modelo en el año 2020 y mantenerlo implementado durante todo el cuatrienio.</t>
  </si>
  <si>
    <t xml:space="preserve">El modelo de administración tiene varios componentes como son: permisos ambientales integrados, control y monitoreo, Atención al Ciudadano (regionalización), reconocimientos e incentivos (gestión ambiental), Estudio de estructura, planta de tecnologías robustas, revisión de los procesos y planta de personal entre otros,  Tecnología robusta (Planeación). Redefinición de procesos (Planeación). Comunicaciones y educación para la cultura (Cultura Ambiental).  
Los componentes de regionalización implican tres documentos, que requieren dedican de técnicos y jurídicos. 
Tiempo de Dedicación de 1 mes por cada documento (simultáneamente)
En cada documento participaran 4 funcionarios 
3documentos*4 funcionarios*$5.000.000*1 mes =$60.000.000
Total: $60.000.000 por vigencia PA.
NOTA: Los costos en que se incurren para el cumplimiento de esta actividad, se incluyen en los costos de la planta de cargos que se proyecta en el proyecto 9, actividad 9.2; toda vez que no se requiere de decación completa (todo el año) del personal para su desarrollo
</t>
  </si>
  <si>
    <t>A.I 17, A.I 22, A.I 24, A.I 25, A.I 31, A.I 32, A.I 33</t>
  </si>
  <si>
    <t>A.A 13</t>
  </si>
  <si>
    <t>Definir el Modelo de Administración de los Recursos Naturales, con enfoque diferencial</t>
  </si>
  <si>
    <t>9.1.2</t>
  </si>
  <si>
    <t>Adopción de la Metodología de Evaluación de Daños y Análisis de Necesidades Ambientales</t>
  </si>
  <si>
    <t>Indicador nuevo del PND 2018-2022.
Se espera adoptar la metodología en el año 2020 y mantenerla implementada durante todo el cuatrienio.</t>
  </si>
  <si>
    <t xml:space="preserve">Se requiere un abogado y un técnico que den los lineamientos para adoptar e implementar la metodología del MADS 
2 funcionarios* 1mes*5.000.000= 10.000.000
Viáticos: 6 millones 
Total: 16.000.000
NOTA: Los costos en que se incurren para el cumplimiento de esta actividad, se incluyen en los costos de la planta de cargos que se proyecta en el proyecto 9, actividad 9.2; toda vez que no se requiere de dedicación completa (todo el año) del personal para su desarrollo.  Este es un indicador de Resultado
</t>
  </si>
  <si>
    <t>Implementar el Modelo de Administración de los Recursos Naturales</t>
  </si>
  <si>
    <t>9.2.1</t>
  </si>
  <si>
    <t>Coordinación y articulación con las autoridades ambientales de la jurisdicción de mecanismos y respuesta en la administración de los recursos naturales</t>
  </si>
  <si>
    <t>Número de mecanismos y respuesta de administración de recursos naturales por parte de las autoridades ambientales en la jurisdicción bajo principios de coordinación y articulación</t>
  </si>
  <si>
    <t>Se alcanzaria un porcentaje en la aplicación del modelo de la administración de los RNR</t>
  </si>
  <si>
    <t>A.A 15</t>
  </si>
  <si>
    <t>9.2.2</t>
  </si>
  <si>
    <t>Coordinación y articulación de mecanismos de gestión territorial ambiental concertados con las autoridades internas de administración de los pueblos étnicos desde su modelo de gestión con enfoque étnico</t>
  </si>
  <si>
    <t xml:space="preserve">Número de mecanismos de coordinación y articulación de la gestión territorial ambiental concertados entre las autoridades internas de administración de los pueblos étnicos y la autoridad ambiental desde su modelo de gestión con enfoque étnico, en funcionamiento </t>
  </si>
  <si>
    <t>Se alcanzaría un porcentaje en la aplicación del modelo de la administración de los RNR
Se puede lograr con visitas conjuntas, realización de eventos coordinados con otras autoridad, con respuesta de otras entidades para definir los permisos integrados
NOTA: Es un actividad que se realiza con apoyo  de la Subdirección de Cultura, acciones que están enmarcados en el proyecto 9, actividad 9,3. y en la actividad 9.3 facilitación construcción del modelo diferencial etnica ($120.000.000 para construcción modelo y no implementación (Etenicas)).   ($300.000.000 para espacios de reunión y consertación de la fase de diseño (afro))</t>
  </si>
  <si>
    <t>A.I 18, A.I 20, A.I 21, A.I 26, A.I 34</t>
  </si>
  <si>
    <t>A.A 10, A.A 17</t>
  </si>
  <si>
    <t>9.2.3</t>
  </si>
  <si>
    <t>Definición de rutas de gestión de conflictos ambientales</t>
  </si>
  <si>
    <t>% de conflictos ambientales con rutas de gestión</t>
  </si>
  <si>
    <t xml:space="preserve">
5 Situaciones en  17 focos,  distribuidos así: Actividades Mineras 3 (Oficinas Terrioral Hevéxicos, Zenufaná y Panzenú) 6 especies invasoras (Buchón de Agua, Caracol Africano, Rana toro, Hipopótamos, Ojo de Poeta, Garzas) Contingencias Atmosféricas 2 (Oficinas Territoriales Aburra Norte y Aburra Sur), Contingencias por derrames de sustancias Peligrosas 4 (Oficinas Territoriales Zenufaná, Tahamíes, Panzenú y Aburra Norte),  deforestación  2 (Oficinas Territoriales Zenufaná y Panzenú) 
En estos conflictos se deben involucrar otras dependencias: cultura, ecosistemas, gestión ambiental, con reuniones, protocolos, monitoreo, sensibilizaciones. 
Valor regionalización: 
Minería: 3OT* 2abogdos*0.5 tiempo*12meses *5.000.000=180.000.000
3OT* 8tecncos que incluyen a regionalización*0.5 tiempo*12meses *5.000.000=720.000.000
Especies invasoras: 8 biólogos, 2 forestales 2abogados
10 funcionarios*0.5 tiempo*5.000.000*12 meses= 300.000.000
Contingencias atmosféricas: 8tecnicos (6 ot y 2 regionalización) y 4 abogados
8 técnicos*0.5 tiempo*5.000.000*12 mese = 240.000.000
Derrames 2 técnicos por cada ot , 8 técnicos y 4 abogados por las 4 OT
12 funcionarios*0.5*5.000.000*12= 360.000.000
Deforestación: José Julian cuánto cuesta nuestras líneas en este tema
Logística: muestreos de ruido, aire, agua, visitas de campo, reuniones con usuarios externos, articulación con fuerza pública y demás gobernantes, viáticos, transporte de usuarios, transporte   y bodegaje de elementos decomisados garantizando cadena de custodia, monitoreo en otros laboratorios (peces, plantas para determinar contaminantes 
Total:$2.300.000 de tecnicos y abogaos sin incluir logisitica 
NOTA: Se trabaja en coordinación con la Subdirección de Cultura el poryecto 10, actividade 7 "observatorio", donde se realizaran acciones como Identificación del conflicto, implemntar el observatorio, trabajo articulado con sectores, fortalecer escnarios de dialogos, estrategias para el rescate, capacitaciones-talleres. </t>
  </si>
  <si>
    <t>9.2.4</t>
  </si>
  <si>
    <t>Coordinación de acciones con autoridades étnicas</t>
  </si>
  <si>
    <r>
      <t xml:space="preserve">No aplica, corresponde a un indicador nuevo del PGAR
</t>
    </r>
    <r>
      <rPr>
        <b/>
        <sz val="11"/>
        <rFont val="Calibri"/>
        <family val="2"/>
        <scheme val="minor"/>
      </rPr>
      <t>Nota:</t>
    </r>
    <r>
      <rPr>
        <sz val="11"/>
        <rFont val="Calibri"/>
        <family val="2"/>
        <scheme val="minor"/>
      </rPr>
      <t xml:space="preserve"> Se espera coordinar con autoridades étnicas al menos 5 de las 10 acciones que se identifiquen para el cuatrienio</t>
    </r>
  </si>
  <si>
    <t>NOTA: Es un actividad que se realiza con apoyo  de la Subdirección de Cultura, acciones que están enmarcados en el proyecto 9, actividad 9,3. Para el cumplimiento del indicador del año 2020 se trabaja con el personal de planta</t>
  </si>
  <si>
    <t>A.I 19, A.I 24</t>
  </si>
  <si>
    <t>9.2.5</t>
  </si>
  <si>
    <t>Atención efectiva de situaciones críticas en lo ambiental mediante acciones de control articuladas</t>
  </si>
  <si>
    <t>% de situaciones críticas en lo ambiental atendidas efectivamente mediante acciones de control articuladas</t>
  </si>
  <si>
    <r>
      <t xml:space="preserve">No aplica, corresponde a un indicador nuevo del PGAR
</t>
    </r>
    <r>
      <rPr>
        <b/>
        <sz val="11"/>
        <rFont val="Calibri"/>
        <family val="2"/>
        <scheme val="minor"/>
      </rPr>
      <t xml:space="preserve">
Nota:</t>
    </r>
    <r>
      <rPr>
        <sz val="11"/>
        <rFont val="Calibri"/>
        <family val="2"/>
        <scheme val="minor"/>
      </rPr>
      <t xml:space="preserve"> Se espera atender efectivamente al menos 5 situaciones criticas</t>
    </r>
  </si>
  <si>
    <t xml:space="preserve">Refiere a la articulación de la institucionalidad para la prevención y atención de las situaciones críticas, entendidas como aquellas que generan impactos ambientales negativos significativos: Actividades Mineras, especies invasoras, Contingencias Atmosféricas, Contingencias por derrames de sustancias Peligrosas, Focos de deforestación
A este indicar no se le asignan recursos económicos porque son los de la activad de Conflictos ambientales, acá dejamos evidencias de las relaciones y gestiones con otros para atender los conflictos ambientales
</t>
  </si>
  <si>
    <t>A.I 23, A.I 30</t>
  </si>
  <si>
    <t>9.2.6</t>
  </si>
  <si>
    <t>Acompañamiento en la formalización de sectores estratégicos</t>
  </si>
  <si>
    <t>Número de sectores estratégicos con procesos de acompañamiento para su formalización</t>
  </si>
  <si>
    <t xml:space="preserve">Los sectores a trabajar serian: minero, cafetero, PCH, constructores, ladrilleras, aguacate, cafetero, ganadería y porcicultura (priorizados en mesa sectorial, revisar si entran tomateros, cítricos y caña, igual si el sector ganadero se agrupa con porcicultura y lechero)
Además de la gestión que se hace para orientarlos y acompañarlos en la formalización, 
8 sectores* 6 funcionarios (3 fijos de regionalización y 3 técnicos o abogados)*0.5* 5.000.000*12 meses= 1.400.000.000
 Total 1.400.000.000 por toda la actividad 
Logística: para desarrollar estos eventos se requiere logística para atenderlos como desayuno, refrigerios, espacios, sillas,(comunicaciones)
Total : $100.000.000  
NOTA: LOS RECURSOS PROYECTADOS CORRESPONDEN A RECURSOS QUE INGRESAN A LA CORPORACIÓN PRODUCTO DE LA FIRMA DE CONVENIOS (EJECUTA LA CORPORACIÓN)
NOTA: Actividad que se trabaja en coordinación con la Subdirección de Cultura para apoyar la parte de educación cada año 1 sector. Aportes en especie (planta de pesonal y logistica) proyecto 9, activiad 9.3.
</t>
  </si>
  <si>
    <t>9.2.7</t>
  </si>
  <si>
    <t>Implementación del Modelo de Administración de los Recursos Naturales</t>
  </si>
  <si>
    <t>% de implementación del Modelo de Administración de los Recursos Naturales</t>
  </si>
  <si>
    <t>Indicador nuevo del Plan de Acción.</t>
  </si>
  <si>
    <t>9.2.8</t>
  </si>
  <si>
    <t>Formalización de actores</t>
  </si>
  <si>
    <t>% de formalización de actores</t>
  </si>
  <si>
    <t xml:space="preserve">No se asignara valor para esta actividad debido a que desde atención al ciudadano se reciben las solicitudes de permisos y en la ot se resuelven éstas
Evidencias: reportar los trámites de permisos ambientales otorgados para los sectores a formalizarse
</t>
  </si>
  <si>
    <t>9.2.9</t>
  </si>
  <si>
    <t>% de avance del Plan de Acción sectorial Ambiental de Mercurio </t>
  </si>
  <si>
    <t>Indicador nuevo del PND 2018-2022.</t>
  </si>
  <si>
    <t>9.2.10</t>
  </si>
  <si>
    <t>Resolución de solicitudes de licencias ambientales dentro de los tiempos establecidos en la normatividad vigente</t>
  </si>
  <si>
    <t>% de las solicitudes de licencias ambientales competencia de Corantioquia resueltas dentro de los tiempos establecidos en la normatividad vigente</t>
  </si>
  <si>
    <t xml:space="preserve">Promedio de licencia ambientales ingresadas en el año 2019, 2018 y 2017 son 37 licencia ambientales/año, para el cuatrienio se asumirá un dato de 40 licencias ambientales tales
A la corporación, de acuerdo a la resolución de cobro,  definir una licencia ambiental  le cuesta $47.788.881 así las cosas 40 licencias le cuesta 1.911.555.240$/año  
</t>
  </si>
  <si>
    <t>9.2.11</t>
  </si>
  <si>
    <t>Atención de los tramites ambientales en los tiempos establecidos</t>
  </si>
  <si>
    <t>Plan de Acción 2016-2019: La meta de tiempo promedio de trámite era de 90 días, alcanzando un cumplimiento promedio del 95%.</t>
  </si>
  <si>
    <t xml:space="preserve">NOTA: Se proyectan los costos de la planta de cargos asignada a las Oficinas Territoriales y a la Subdirección de Regionalización. En la proyección de nómina se incluye los costos de los funcionarios adscritos a la Oficina Jurídico Ambiental
Los funcionarios asignados a este proyecto y actividad, realizarán sus funciones dirigidos al cumplimiento de cada uno de los indicadores de actividad 9.2.
Igualmente, con esta planta de cargos se atenderá lo relacionado con las actividades 1.4 y 9.1.
(En los costos esta contemplado planta de personal, recursos para el fortalecimiento del ejercicio de la autoridad ambiental, incluido convenio Envigado, prestación de servicios por 11 meses-4 contratistas actuales -, recursos para la contratación de practicantes y recursos para el reconocimiento de viáticos y gastos de viaje para el personal adscrito a la Subdirección de Regionalización y Oficinas Territoriales).
Nota: En nomina se relaciona los funcionarios de la Oficina Asesora Juridico Ambiental </t>
  </si>
  <si>
    <t>9.2.12</t>
  </si>
  <si>
    <t>Atención de procesos sancionatorios</t>
  </si>
  <si>
    <t>% de procesos sancionatorios resueltos</t>
  </si>
  <si>
    <t>Plan de Acción 2016-2019: El % de procesos sancionatorios resueltos fue del 42%.</t>
  </si>
  <si>
    <t>9.2.13</t>
  </si>
  <si>
    <t>Seguimiento a autorizaciones ambientales</t>
  </si>
  <si>
    <t>% de autorizaciones ambientales con seguimiento</t>
  </si>
  <si>
    <t>Plan de Acción 2016-2019: 
▪ Meta cuatrienio: 1.341
▪ Resultado cuatrienio: 1144.
▪ % de autorizaciones ambientales con seguimiento: 85%.</t>
  </si>
  <si>
    <t>Línea base: 2.200 actuaciones de control y seguimiento 
De la línea base,  1.500 asuntos serán de c y s técnicos,  se les hace visita e informe técnico realizar 12 actuaciones/mes, entonces se requieren 1125 meses para cumplir esta meta.
Se destinaran 22 técnicos para que realicen 6 actuaciones de c y s /mes resultan, durante 1 año, se logran 1584 actuaciones técnicas de c y s 
22 técnicos*$4.000.00*0.5 tiempo *12 meses=$528.000.000
Restan 616 actuaciones de c y s, que se asignaran a los jurídicos, los que hacen 40 actuaciones mes, entonces se requiere 3 abogados asignados medio tiempo para realizar el control y sgto de las 616 actuaciones 
3 abogados*0.5 mes*12 mes * $5.000.000= $90.000.000
Para la parte administrativa mínimo se deben radicar 1 informe técnico, un acto administrativo y oficio 
2200 actuaciones de c y s *3 (informe, oficio y acto)= 6600 actuaciones administrativas 
Un administrativo radica 120 documentos /mes 
Para radicar las 2200 actuaciones requiero 2 administrativos así 
2administ*120actua/mes*12mes=2880actuaciones totales
2admitrtivos*12*$23000.000=$55.200.000
Total = $673.000.000</t>
  </si>
  <si>
    <t>Implementar estrategia de apropiación y colaboración social en la administración ambiental a partir de procesos educativos, de reconocimiento del territorio, monitoreo participativo y sensibilización de actores</t>
  </si>
  <si>
    <t>9.3.1</t>
  </si>
  <si>
    <t>Implementación de la estrategia de apropiación y colaboración social en la administración ambiental a partir de procesos educativos, de reconocimiento del territorio, monitoreo participativo y sensibilización de actores</t>
  </si>
  <si>
    <t>% de implementación de la estrategia de apropiación y colaboración social en la administración ambiental</t>
  </si>
  <si>
    <t>Indicador nuevo del Plan de Acción.
La estrategia se ejecutará paulatinamente año a año hasta llegar el 100% en 2023.</t>
  </si>
  <si>
    <t>En 2020, aporte desde la dimensió socio-cultural a la construcción y apropiación del Modelo de Administración de los Recursos Naturales y a la construcción en este marco del modelo diferencial para las comundides étnicas.  Entre 2021 y 2023, aplicación de la estrategia de Cultura Ambiental a 2 actores por año, más la aplicación del modelo para las comunidades indígenas y afro (según priorización) con apoyo de personal de la Subdirección de Cultura y personal contratado externo y en asocio con la Subdirección de Regionalización.</t>
  </si>
  <si>
    <t>Consolidar los sistemas de información integrados e interconectados con los sistemas de información de otras instituciones, con enfoque diferencial</t>
  </si>
  <si>
    <t>10.1.1</t>
  </si>
  <si>
    <t>Promoción de desarrollos tecnológicos del manejo de información que soporte la gestión ambiental con enfoque étnico</t>
  </si>
  <si>
    <t>Número de desarrollos tecnológicos para el manejo de información que soporte la gestión ambiental con enfoque étnico</t>
  </si>
  <si>
    <t>A.I 39</t>
  </si>
  <si>
    <t>A.A 16, A.A 21</t>
  </si>
  <si>
    <t>10.1.2</t>
  </si>
  <si>
    <t xml:space="preserve">Integración e interconexión de Sistemas de información </t>
  </si>
  <si>
    <t xml:space="preserve">% de integración e interconexión de los sistemas de información </t>
  </si>
  <si>
    <t>Desarrollos ,sistemas y tecnologías requeridas</t>
  </si>
  <si>
    <t>10.1.3</t>
  </si>
  <si>
    <t>Actualización y reporte de la información en el SIAC</t>
  </si>
  <si>
    <t>% de actualización y reporte de la información en el SIAC</t>
  </si>
  <si>
    <t>Plan de Acción 2016-2019: 
▪ Porcentaje de actualización y reporte de la información al SIAC (Promedio): 87%.</t>
  </si>
  <si>
    <t>El proceso se realiza por personal de la Subdirección de Planeación, con apoyo de las subdirecciones de Gestión Ambiental y Regionalización, por tanto son recursos de nómina. 
Esta meta se complementa con el indicador "Sistemas de información integrados e interconectados" de la actividad 10,1. en la medida que allí se deberían definir los recursos requeridos para los desarrollos que permiten la interoperabilidad, en articulación con la Subdirección Administrativa (GIT TIC)
Para 2020 corresponde al valor de 2 contratos de prestación de servicios (Tecnólogo con experiencia) por 7,5 meses. Para los años, 2021, 2022 y 2023 no se presupuestan dado que deberían incluirse en el proyecto de Modernización. Nota: en caso de no darse el proceso de modernización, se debe tener en consideración que se requerira contratistas para el logro del la meta.</t>
  </si>
  <si>
    <t>Consolidar la Corporación como una organización moderna e innovadora</t>
  </si>
  <si>
    <t>10.2.1</t>
  </si>
  <si>
    <t>% de formulación e implementación del Plan Anticorrupción y de Atención al Ciudadano – PAAC</t>
  </si>
  <si>
    <t>2019: Satisfactorio-4.43 (Informe de seguimiento PAAC 2019)</t>
  </si>
  <si>
    <t>Decreto 612 de 2018</t>
  </si>
  <si>
    <t>Las estrategias del PAAC están asignadas a diferentes dependencias, las cuales debieron considerarlas en el presupuesto de las actividades que lideran (Talento humano, TIC, Cultura, Comunicaciones, GIC); sin embargo, se presupuestan 60 millones para un estudio de percepción ciudadana bianual sobre el desempeño Corporativo.</t>
  </si>
  <si>
    <t>10.2.2</t>
  </si>
  <si>
    <t>Formulación e implementación del Plan Institucional de Archivos de la Entidad-PINAR</t>
  </si>
  <si>
    <t>% de formulación e implementación del Plan Institucional de Archivos de la Entidad-PINAR</t>
  </si>
  <si>
    <t>No aplica, corresponde a un nuevo plan</t>
  </si>
  <si>
    <t xml:space="preserve">Para el 2021-2022 y 2023 se incrementa por necesidades de atencion de acuerdo al plan de mejoramiento y los requerimientos del Archivo General de la Nación. </t>
  </si>
  <si>
    <t>10.2.3</t>
  </si>
  <si>
    <t>Formulación e implementación del Plan Anual de Adquisiciones</t>
  </si>
  <si>
    <t>% de formulación e implementación del Plan Anual de Adquisiciones</t>
  </si>
  <si>
    <t xml:space="preserve">Para el 2021-2022 y 2023 se incrementa por necesidades de cambio de ascensores, aires acondicionados, parque automotor y equipos tecnologicos </t>
  </si>
  <si>
    <t>10.2.4</t>
  </si>
  <si>
    <t>Formulación e implementación del Plan Anual de Vacantes</t>
  </si>
  <si>
    <t>% de formulación e implementación del Plan Anual de Vacantes</t>
  </si>
  <si>
    <t>10.2.5</t>
  </si>
  <si>
    <t>Formulación e implementación del Plan de Previsión de Recursos Humanos</t>
  </si>
  <si>
    <t>% de formulación e implementación del Plan de Previsión de Recursos Humanos</t>
  </si>
  <si>
    <t>10.2.6</t>
  </si>
  <si>
    <t>Formulación e implementación del Plan Estratégico de Talento Humano</t>
  </si>
  <si>
    <t>% de formulación e implementación del Plan Estratégico de Talento Humano</t>
  </si>
  <si>
    <t>10.2.7</t>
  </si>
  <si>
    <t>Formulación e implementación del Plan Institucional de Capacitación</t>
  </si>
  <si>
    <t>% de formulación e implementación del Plan Institucional de Capacitación</t>
  </si>
  <si>
    <t>10.2.8</t>
  </si>
  <si>
    <t>Formulación e implementación del Plan de Bienestar Laboral</t>
  </si>
  <si>
    <t>% de formulación e implementación del Plan de Bienestar Laboral</t>
  </si>
  <si>
    <t>Ley 909 de 2004</t>
  </si>
  <si>
    <t>10.2.9</t>
  </si>
  <si>
    <t>Formulación e implementación del Plan de Incentivos Institucionales</t>
  </si>
  <si>
    <t>% de formulación e implementación del Plan de Incentivos Institucionales</t>
  </si>
  <si>
    <t>10.2.10</t>
  </si>
  <si>
    <t>Formulación e implementación del Plan de Trabajo Anual en Seguridad y Salud en el Trabajo articulado con el SGI</t>
  </si>
  <si>
    <t>% de formulación e implementación del Plan de Trabajo Anual en Seguridad y Salud en el Trabajo articulado con el SGI</t>
  </si>
  <si>
    <t>10.2.11</t>
  </si>
  <si>
    <t>Formulación e implementación del Plan Estratégico de Tecnologías de la Información y las Comunicaciones-PETIC</t>
  </si>
  <si>
    <t>% de formulación e implementación del Plan Estratégico de Tecnologías de la Información y las Comunicaciones-PETIC</t>
  </si>
  <si>
    <t>10.2.12</t>
  </si>
  <si>
    <t>Formulación e implementación del Plan maestro de infraestructura física</t>
  </si>
  <si>
    <t>% de formulación e implementación del Plan maestro de infraestructura física</t>
  </si>
  <si>
    <t>Para el 2021-2022 y 2023 se incrementa por necesidades de atención de infraestructura a los inmuebles tanto para la sede central como para las oficinas territoriales</t>
  </si>
  <si>
    <t>10.2.13</t>
  </si>
  <si>
    <t>La nómina de Secretaria General y los contratistas que realizan representación judicial son recursos de funcionamiento por lo que no se consideran en este ejercicio.
Nota: Revisar con Financiera.</t>
  </si>
  <si>
    <t>Secretaría General</t>
  </si>
  <si>
    <t>10.2.14</t>
  </si>
  <si>
    <t>Formulación e implementación del proceso de modernización corporativa</t>
  </si>
  <si>
    <t>% de formulación e implementación del proceso de modernización corporativa</t>
  </si>
  <si>
    <t>10.2.15</t>
  </si>
  <si>
    <t>Implementación del MIPG y su articulación con el SGI</t>
  </si>
  <si>
    <t>% de avance en la implementación de MIPG y su articulación con el SGI</t>
  </si>
  <si>
    <t>Evaluación MIPG año 2019: 71%</t>
  </si>
  <si>
    <t>Decreto 1499 de 2017</t>
  </si>
  <si>
    <t>El plan de trabajo incorpora las inversiones requeridas en 2020 para la contratación de un proficional a nivel de coordinación de proyecto, la implementación del MIPG, la implementación del plan de comunicaciones deriviado del contrato N°150-CNT1910-113, las visitas de acompañamiento a las OT, las auditorías internas y externas.</t>
  </si>
  <si>
    <t>10.2.16</t>
  </si>
  <si>
    <t>Formulación y ejecución del plan de gestión del conocimiento corporativo</t>
  </si>
  <si>
    <t>% de formulación y ejecución del plan de gestión del conocimiento corporativo</t>
  </si>
  <si>
    <t>Se está definiendo la ruta de trabajo para la formulación del plan. El proceso de formulación se realiza con recursos de nómina de la Subdirección de Planeación. 
Para la implementación del plan, se debe contar con una herramienta y la definición de contenido: un profesional 6 meses. 
Según n.° 150-MEM1912-10176 en 2020 Profesional con experiencia:   $5.250.000. Para 2021, se realiza incremento en honorarios del 5% (2018-2019).
A la par de la formulación del plan, se debe contratar los servicios de formulación de contenido e implementación de espacios virtuales del conocimiento.
Para los años, 2021, 2022 y 2023 no se presupuestan contratistas para desarrollos dado que deberían incluirse en el proyecto de Modernización. Nota: en caso de no darse el proceso de modernización, se debe tener en consideración que se requerira contratistas para el logro del la meta.
En el marco de la estrategia comunicacional y pedagógica para la implementación del plan, se producirá material gráfico (piezas) y se realizarán espacios de socialización-sensibilización en articulación con la Oficina Asesora de Comunicaciones, por lo que no se estima un valor de inversión en esta meta.</t>
  </si>
  <si>
    <t>10.2.17</t>
  </si>
  <si>
    <t>Gestión del recaudo</t>
  </si>
  <si>
    <t>% de eficiencia en el recaudo</t>
  </si>
  <si>
    <t>No se require recursos de inversión. Se realiza con recurso de nómina</t>
  </si>
  <si>
    <t>Subdirección Financiera</t>
  </si>
  <si>
    <t>10.2.18</t>
  </si>
  <si>
    <t>Ejecución del programa de auditorías de control interno</t>
  </si>
  <si>
    <t>% de cumplimiento programa de auditorías de control interno</t>
  </si>
  <si>
    <t>Se realiza con nomina y con apoyo de la subdirección Adminisrtiva</t>
  </si>
  <si>
    <t>Oficina de Control Interno</t>
  </si>
  <si>
    <t>Definir y ejecutar modelo de operación para consolidar las unidades de servicio (Laboratorio, Viveros, CAV y CIA)</t>
  </si>
  <si>
    <t>10.3.1</t>
  </si>
  <si>
    <t>Definición y ejecución del modelo de operación para consolidar el Laboratorio Ambiental</t>
  </si>
  <si>
    <t>% de acciones ejecutadas para la consolidación del Laboratorio Ambiental</t>
  </si>
  <si>
    <r>
      <rPr>
        <b/>
        <sz val="9"/>
        <rFont val="Calibri"/>
        <family val="2"/>
        <scheme val="minor"/>
      </rPr>
      <t xml:space="preserve">Laboratorio: </t>
    </r>
    <r>
      <rPr>
        <sz val="9"/>
        <rFont val="Calibri"/>
        <family val="2"/>
        <scheme val="minor"/>
      </rPr>
      <t>Los procesos para funcionamiento del laboratorio (adquisición de insumos, mttos preventivos y correctivos, pruebas de aptitud, auditoría externa, renovación de equipos e infraestructura nueva de acuerdo con el Plan el Estratégico)
La valoración de inversión del 2020 incluye $289.034.797 asignados por destinación específica (TR).</t>
    </r>
  </si>
  <si>
    <t>10.3.2</t>
  </si>
  <si>
    <t>Definición y ejecución del modelo de operación para consolidar los viveros y CAV</t>
  </si>
  <si>
    <t>% de acciones ejecutadas para la consolidación de los viveros y CAV</t>
  </si>
  <si>
    <r>
      <rPr>
        <b/>
        <sz val="9"/>
        <rFont val="Calibri"/>
        <family val="2"/>
        <scheme val="minor"/>
      </rPr>
      <t>CAV y Viveros:</t>
    </r>
    <r>
      <rPr>
        <sz val="9"/>
        <rFont val="Calibri"/>
        <family val="2"/>
        <scheme val="minor"/>
      </rPr>
      <t xml:space="preserve"> se incluyen valores por funcionamiento en los 4 años. ver comentarios de las celdas</t>
    </r>
  </si>
  <si>
    <t>10.3.3</t>
  </si>
  <si>
    <t>Definición y ejecución del modelo de operación para consolidar el CIA</t>
  </si>
  <si>
    <t>% de acciones ejecutadas para la consolidación del CIA</t>
  </si>
  <si>
    <r>
      <rPr>
        <b/>
        <sz val="9"/>
        <rFont val="Calibri"/>
        <family val="2"/>
        <scheme val="minor"/>
      </rPr>
      <t xml:space="preserve">CIA: </t>
    </r>
    <r>
      <rPr>
        <sz val="9"/>
        <rFont val="Calibri"/>
        <family val="2"/>
        <scheme val="minor"/>
      </rPr>
      <t>En el marco del fortalecimiento del CIA: 3 practicantes (Bibliotecólogo, tecnólogo en gestión documental o a fin), 3 equipos de computo (valor unidad $2.649.900) y un escaner ($4.199.000).
Según memoria de calculo POAI 2019, practicante: $9.136.000. Para 2020 se asume un incremento del 5%. En nomina se relacionan los honorarios de los funcionarios que trabajan en el CIA.</t>
    </r>
  </si>
  <si>
    <t>10.3.4</t>
  </si>
  <si>
    <t>Definición y ejecución del modelo de operación para consolidar las sedes de la Corporación</t>
  </si>
  <si>
    <t>% de acciones ejecutadas para la consolidación de las sedes de la Corporación</t>
  </si>
  <si>
    <r>
      <t>Incluye la valoración realizda por la subdirección administrativa tanto en inversión como en nómina.</t>
    </r>
    <r>
      <rPr>
        <b/>
        <sz val="9"/>
        <rFont val="Calibri"/>
        <family val="2"/>
        <scheme val="minor"/>
      </rPr>
      <t/>
    </r>
  </si>
  <si>
    <r>
      <t>Informar a los actores internos y externos para la gestión ambiental en el marco de los programas y proyectos del plan de acción</t>
    </r>
    <r>
      <rPr>
        <b/>
        <sz val="11"/>
        <rFont val="Calibri"/>
        <family val="2"/>
        <scheme val="minor"/>
      </rPr>
      <t>, con enfoque diferencial</t>
    </r>
  </si>
  <si>
    <t>10.4.1</t>
  </si>
  <si>
    <t>Formulación e implementación del Plan de comunicaciones corporativo articulado con el SGI</t>
  </si>
  <si>
    <t>% de formulación e implementación del Plan de comunicaciones corporativo articulado con el SGI</t>
  </si>
  <si>
    <t>Se realizara con recursos de nómina, es decir, por el personal de la Corporación.</t>
  </si>
  <si>
    <t>Oficina Asesora de Comunicaciones</t>
  </si>
  <si>
    <t>A.I 22, A.I 29</t>
  </si>
  <si>
    <t>Informar a los actores internos y externos para la gestión ambiental en el marco de los programas y proyectos del plan de acción, con enfoque diferencial</t>
  </si>
  <si>
    <t>10.4.2</t>
  </si>
  <si>
    <t>Formulación e implementación del Plan de Seguridad y Privacidad de la Información</t>
  </si>
  <si>
    <t>% de formulación e implementación del Plan de Seguridad y Privacidad de la Información</t>
  </si>
  <si>
    <t>Adquisición de Antivirus</t>
  </si>
  <si>
    <t>10.4.3</t>
  </si>
  <si>
    <t>Formulación e implementación del Plan de Tratamiento de Riesgos de Seguridad y Privacidad de la Información</t>
  </si>
  <si>
    <t>% de formulación e implementación del Plan de Tratamiento de Riesgos de Seguridad y Privacidad de la Información</t>
  </si>
  <si>
    <t>10.4.4</t>
  </si>
  <si>
    <t>Ejecución de acciones de comunicación en los proyectos del plan de acción</t>
  </si>
  <si>
    <t>% de proyectos del plan de acción con acciones de comunicación implementadas</t>
  </si>
  <si>
    <t>Contrato de Teleantioquia 040-COV2001-1, por valor de $1.848.535.900 para 2020 (aporte Corantioquia)
El valor definido equivale a los recursos destinados desde la Oficinica asesora  de comunicaciones. Anualmente este valor se incrementa 4%. 
el resto de recursos $799.916.408 lo que aportan las demás dependencias de la Coporación.</t>
  </si>
  <si>
    <t>A.A 14</t>
  </si>
  <si>
    <r>
      <t>Promover procesos de gestión de la cultura y la educación ambiental en el marco de los programas y proyectos del plan de acción</t>
    </r>
    <r>
      <rPr>
        <b/>
        <sz val="11"/>
        <rFont val="Calibri"/>
        <family val="2"/>
        <scheme val="minor"/>
      </rPr>
      <t>, con enfoque diferencial</t>
    </r>
  </si>
  <si>
    <t>10.5.1</t>
  </si>
  <si>
    <t>Implementación de procesos de gestión cultural y educación ambiental en los programas y proyectos corporativos</t>
  </si>
  <si>
    <t>% de implementación de procesos de gestión cultural y educación ambiental en los programas y proyectos corporativos</t>
  </si>
  <si>
    <t>No aplica, indicador nuevo del Plan de Acción.</t>
  </si>
  <si>
    <t>En 2020, construcción de la Estrategia de Gestión de la Cultura Ambiental, construcción de línea base sobre estado de la gestión  de la Cultura Ambiental en el marco del PGAR y Plan de Acción. Y entre 2021 y 2023, desarrollo de la estrategia Gestión de la Cultura Ambiental con los actores priorizados en el marco del PLAN DE ACCIÓN y los definidos en la Política Nacional de Educación Ambiental, la Política Pública Departamental de Educación Ambiental y la Estrategia BIO+</t>
  </si>
  <si>
    <t>A.I 40</t>
  </si>
  <si>
    <t>Promover procesos de gestión de la cultura y la educación ambiental en el marco de los programas y proyectos del plan de acción, con enfoque diferencial</t>
  </si>
  <si>
    <t>10.5.2</t>
  </si>
  <si>
    <t>Ejecución de acciones en educación ambiental</t>
  </si>
  <si>
    <t>Plan de Acción 2016-2019: 
▪ Se ejecutaron 28 acciones de educación ambiental para un cumplimiento del 100%.</t>
  </si>
  <si>
    <t>Acciones educativo ambientales basadas en la estrategia con públicos definidos en la Política de EA: Guardianes de la Naturaleza, CIDEAM, Instituciones Educativas, Mujeres, desarrollados con apoyo de funcionarios de la Subdirección y personal contratado en el marco de la estrategia.</t>
  </si>
  <si>
    <t>A.I 42</t>
  </si>
  <si>
    <t>A.A 23, A.A 24</t>
  </si>
  <si>
    <t>10.5.3</t>
  </si>
  <si>
    <t>Implementación de espacios etnoeducativos ambientales en territorios ancestrales y colectivos</t>
  </si>
  <si>
    <t>Número de espacios etnoeducativos ambientales en territorios ancestrales y colectivos</t>
  </si>
  <si>
    <t>Acción enmarcada en las priorizaciones de las comunidades étnicas, incluye el diseño y desarrollo de acciones etnoeducativas (PROCEDA) en comunidades Afro y Educación Propia en territorios Indígenas.</t>
  </si>
  <si>
    <t>A.I 19, A.I 40, A.I 41</t>
  </si>
  <si>
    <t>A.A 22, A.A 23</t>
  </si>
  <si>
    <t>10.5.4</t>
  </si>
  <si>
    <t>Fortalecimiento de la capacidades en las autoridades étnicas y actores representativos</t>
  </si>
  <si>
    <t>% de fortalecimiento de la capacidades en las autoridades étnicas y actores representativos</t>
  </si>
  <si>
    <t>Acción enmarcada en las priorizaciones de las comunidades étnicas Afro e Indígenas, que consiste en fortalecer las prácticas de gobierno propio asociadas a los territorios y comunidades étnicas, incluido el fortalecimiento de capacidades de gestión, prácticas culturales, organizativas, relacionales y de coordinación.</t>
  </si>
  <si>
    <t>A.A 14, A.A 15, A.A 19</t>
  </si>
  <si>
    <t>10.5.5</t>
  </si>
  <si>
    <t>Fortalecimiento de organizaciones socio-ambientales</t>
  </si>
  <si>
    <t>% de organizaciones socio-ambientales con acciones de fortalecimiento</t>
  </si>
  <si>
    <t>Aplicación de la estrategia de Gestión de la Cultura Ambiental a organizaciones socioambientales identificadas y priorizadas a la luz de proyectos y estrategias corporativas (organizaciones ambientales, juveniles, de mujeres, campesinas con propósitos ambientales).</t>
  </si>
  <si>
    <r>
      <t>Dinamizar procesos de investigación e innovación para el fortalecimiento de la administración de los RNR (incluye saberes ancestrales)</t>
    </r>
    <r>
      <rPr>
        <b/>
        <sz val="11"/>
        <rFont val="Calibri"/>
        <family val="2"/>
        <scheme val="minor"/>
      </rPr>
      <t>, con enfoque diferencial</t>
    </r>
  </si>
  <si>
    <t>10.6.1</t>
  </si>
  <si>
    <t>Promoción de la investigación para el fortalecimiento de los saberes ancestrales, culturales, espirituales y sociales para la protección del medio ambiente</t>
  </si>
  <si>
    <t>Número de proyectos de investigación ejecutados para el fortalecimiento de los saberes ancestrales, culturales, espirituales y sociales para la protección del medio ambiente</t>
  </si>
  <si>
    <r>
      <t xml:space="preserve">Acción enmarcada en las priorizaciones de las comunidades étnicas (indígenas)
Nota: Las comunidades indígenas priorizaron 3500millones de pesos para la investigación en territorios indígenas durante los 4 años, la Subdirección de Cultura aporta su talento humano y gastos de viaje de sus funcionarios para la gestión de procesos investigativos, quedando como recursos de gestión los 3500millones de pesos para la ejecución de los procesos investigativos que se prioricen.
</t>
    </r>
    <r>
      <rPr>
        <b/>
        <sz val="9"/>
        <rFont val="Calibri"/>
        <family val="2"/>
        <scheme val="minor"/>
      </rPr>
      <t xml:space="preserve">NOTA: </t>
    </r>
    <r>
      <rPr>
        <sz val="9"/>
        <rFont val="Calibri"/>
        <family val="2"/>
        <scheme val="minor"/>
      </rPr>
      <t>Se debe tener en consideración que son dos proyectos de investigación.</t>
    </r>
  </si>
  <si>
    <t>A.I 36, A.I 37, A.I 38</t>
  </si>
  <si>
    <t>A.A 20, A.A 25</t>
  </si>
  <si>
    <t>Dinamizar procesos de investigación e innovación para el fortalecimiento de la administración de los RNR (incluye saberes ancestrales), con enfoque diferencial</t>
  </si>
  <si>
    <t>10.6.2</t>
  </si>
  <si>
    <t>Promoción de procesos de investigación e innovación ejecutados en las temáticas priorizadas</t>
  </si>
  <si>
    <t>% de procesos de investigación e innovación ejecutados en las temáticas priorizadas</t>
  </si>
  <si>
    <t>Aplicación de estrategias para formar capacidades investigativas que fortalezcan la Educación Ambiental (Enseñanza de la Ecología en el Patio de la Escuela), la investigación aplicada a la educación ambiental y ecológica, la ciencia participativa y proyectos de investigación universitaria en temáticas priorizadas. Este presupuesto atenderá los asuntos investigativos de grupos poblacionales de la corporación en asuntos de la cultura y la educación ambiental.</t>
  </si>
  <si>
    <t>A.I 36, A.I 38</t>
  </si>
  <si>
    <t>10.6.3</t>
  </si>
  <si>
    <t>Promoción de innovaciones generadas y puestas en funcionamiento en la administración de lo ambiental</t>
  </si>
  <si>
    <t>Número de innovaciones generadas y puestas en funcionamiento en la administración de lo ambiental</t>
  </si>
  <si>
    <t>Proceso para acompañar innovaciones en administración de lo ambiental con 3 actores priorizados.</t>
  </si>
  <si>
    <t>Implementar el observatorio ambiental</t>
  </si>
  <si>
    <t>10.7.1</t>
  </si>
  <si>
    <t>Implementación del observatorio ambiental</t>
  </si>
  <si>
    <t>% de implementación del observatorio ambiental</t>
  </si>
  <si>
    <t>Funcionamiento del Observatorio en articulación con Planeación, Cultura, Regionalización y Comunicaciones, con su respectivo laboratorio de conflictos ambientales que genere metodologías y conocimiento en la prevención, gestión y monitoreo de los conflictos. Coordinado por un funcionario de la Subdirección de Cultura Ambiental en 2020, y a partir de 2021, procesos de sistematización, manejo de datos y laboratorios de conflictos que genere rutas de gestión a las que se haga seguimiento entre 2022 y 2023.</t>
  </si>
  <si>
    <r>
      <t>Formular e implementar el modelo de participación</t>
    </r>
    <r>
      <rPr>
        <b/>
        <sz val="11"/>
        <rFont val="Calibri"/>
        <family val="2"/>
        <scheme val="minor"/>
      </rPr>
      <t>, con enfoque diferencial</t>
    </r>
  </si>
  <si>
    <t>11.1.1</t>
  </si>
  <si>
    <t>Formulación e implementación del modelo de participación</t>
  </si>
  <si>
    <t>% de formulación e implementación del modelo de participación</t>
  </si>
  <si>
    <t>Construcción participativa del modelo de participación de Corantioquia y desarrollo de la estrategia gestión de la Cultura para 3 actores priorizados en el marco de la implementación del modelo, por año.</t>
  </si>
  <si>
    <t>A.I 35</t>
  </si>
  <si>
    <t>Formular y ejecutar el modelo de participación, con enfoque diferencial</t>
  </si>
  <si>
    <t>11.1.2</t>
  </si>
  <si>
    <r>
      <t>Participación efectiva de los actores en las decisiones relacionadas con la gestión ambiental</t>
    </r>
    <r>
      <rPr>
        <b/>
        <sz val="8"/>
        <rFont val="Calibri"/>
        <family val="2"/>
        <scheme val="minor"/>
      </rPr>
      <t/>
    </r>
  </si>
  <si>
    <t>Profesional contratado para sistematizar los procesos participativos priorizados de conformidad con el modelo y con el indicador: Decisiones en la gestión ambiental conforme a la participación efectiva con los actores (%)</t>
  </si>
  <si>
    <r>
      <t>Fortalecer espacios e instrumentos de participación</t>
    </r>
    <r>
      <rPr>
        <b/>
        <sz val="11"/>
        <rFont val="Calibri"/>
        <family val="2"/>
        <scheme val="minor"/>
      </rPr>
      <t>, con enfoque diferencial</t>
    </r>
  </si>
  <si>
    <t>11.2.1</t>
  </si>
  <si>
    <t>Promoción de acciones de incidencia de los actores en espacios e instrumentos de participación</t>
  </si>
  <si>
    <t>% de acciones de incidencia de los actores en espacios e instrumentos de participación</t>
  </si>
  <si>
    <t>Formación y acompañamiento a 3 actores (Red PGATE, Red Juvenil, PGAR, grupos étnicos u otros según priorización), incluida la contratación de los enlaces territoriales.</t>
  </si>
  <si>
    <t>A.I 20, A.I 21, A.27, A.I 28</t>
  </si>
  <si>
    <t>Ejecutar la estrategia de cooperación y apropiación social para la ejecución del PGAR en el marco del Plan de Acción</t>
  </si>
  <si>
    <t>11.3.1</t>
  </si>
  <si>
    <t>Ejecución de los retos del PGAR con corresponsabilidad, en el marco del plan de acción</t>
  </si>
  <si>
    <t>% de ejecución de los retos del PGAR con corresponsabilidad, en el marco del plan de acción</t>
  </si>
  <si>
    <t>Se realizara con recursos de nómina, es decir, por el personal de la Corporación.
Nota: los costos en que se incurren para el cumplimiento de esta meta, se incluyen en los costos de la planta de cargos que se proyecta en el proyecto 10</t>
  </si>
  <si>
    <t>A.I 31, A.I 32, A.I 33</t>
  </si>
  <si>
    <t>11.3.2</t>
  </si>
  <si>
    <t>Apropiación social del PGAR con acciones por parte de los actores en el territorio</t>
  </si>
  <si>
    <t>Número de acciones de apropiación social del PGAR por parte de los actores en el territorio</t>
  </si>
  <si>
    <t>Profesional contratado para sistematizar los procesos de apropiación social del PGAR según priorizaciones realizadas en el marco de los retos del PGAR</t>
  </si>
  <si>
    <t>11.3.3</t>
  </si>
  <si>
    <t>Realización de reportes públicos compartidos de avance de cumplimiento PGAR</t>
  </si>
  <si>
    <t>Número de reportes públicos compartidos de avance de cumplimiento PGAR</t>
  </si>
  <si>
    <t>Audiencias por territoriales (8) anual.
En el año 2023 se realiza seguimiento al cumplimiento del PGAR, y se identifican nuevas necesidades para el próximo Plan de Acción 2024-2027, con un enfoque participativo.</t>
  </si>
  <si>
    <t>A.A 18</t>
  </si>
  <si>
    <t>1. Protegiendo ecosistemas naturales</t>
  </si>
  <si>
    <t>3. Planificando el uso y manejo del agua</t>
  </si>
  <si>
    <t>5. Direccionando la ocupación del territorio</t>
  </si>
  <si>
    <t>7. Construyendo escenarios y hábitos económicos sostenibles</t>
  </si>
  <si>
    <t>9. Promoviendo la legalidad ambiental</t>
  </si>
  <si>
    <t>2. Conectando ecosistemas naturales</t>
  </si>
  <si>
    <t>4. Contribuyendo a la sostenibilidad del agua</t>
  </si>
  <si>
    <t>6. Construyendo territorios resilientes</t>
  </si>
  <si>
    <t>8. Consolidando hábitat y hábitos sostenibles</t>
  </si>
  <si>
    <t>10. Fortaleciendo los actores para la gestión</t>
  </si>
  <si>
    <t>11. Participando en lo ambiental</t>
  </si>
  <si>
    <t>I. Nuestros ecosistemas naturales</t>
  </si>
  <si>
    <t>II. Agua para la vida</t>
  </si>
  <si>
    <t>III. Modelo de ocupación sostenible</t>
  </si>
  <si>
    <t>IV. Hábitat y hábitos de vida sostenible</t>
  </si>
  <si>
    <t xml:space="preserve">V. Conectados por el ambiente </t>
  </si>
  <si>
    <t>V. Conectados por el ambiente</t>
  </si>
  <si>
    <t>Número de ha de áreas protegidas (ha) declaradas en la vigencia</t>
  </si>
  <si>
    <t>% de ha de ecosistemas protegidos desde el gobierno propio con acciones de manejo</t>
  </si>
  <si>
    <r>
      <t>Número de ha en otras estrategias de conservación en la jurisdicción adoptadas en la vigencia del PGAR</t>
    </r>
    <r>
      <rPr>
        <b/>
        <sz val="11"/>
        <rFont val="Calibri"/>
        <family val="2"/>
        <scheme val="minor"/>
      </rPr>
      <t/>
    </r>
  </si>
  <si>
    <r>
      <t>Número de ha en proceso de restauración</t>
    </r>
    <r>
      <rPr>
        <b/>
        <sz val="8"/>
        <rFont val="Calibri"/>
        <family val="2"/>
        <scheme val="minor"/>
      </rPr>
      <t/>
    </r>
  </si>
  <si>
    <r>
      <t>Implementación de sistemas de conservación en cuencas abastecedoras de acueductos y ecosistemas estratégicos</t>
    </r>
    <r>
      <rPr>
        <b/>
        <sz val="8"/>
        <rFont val="Calibri"/>
        <family val="2"/>
        <scheme val="minor"/>
      </rPr>
      <t/>
    </r>
  </si>
  <si>
    <r>
      <t>% de cuerpos de agua priorizados con reglamentación de uso de agua y vertimientos su incorporación en el RURH</t>
    </r>
    <r>
      <rPr>
        <b/>
        <sz val="8"/>
        <rFont val="Calibri"/>
        <family val="2"/>
        <scheme val="minor"/>
      </rPr>
      <t/>
    </r>
  </si>
  <si>
    <r>
      <t>Hectáreas de las cuencas abastecedoras con acciones de manejo</t>
    </r>
    <r>
      <rPr>
        <b/>
        <sz val="8"/>
        <rFont val="Calibri"/>
        <family val="2"/>
        <scheme val="minor"/>
      </rPr>
      <t/>
    </r>
  </si>
  <si>
    <t>Municipios asesorados en la definición de su modelo de ocupación</t>
  </si>
  <si>
    <r>
      <t>% de municipios priorizados con modelos de ocupación que contienen el escenario de sostenibilidad, protegen su patrimonio ecológico municipal, integran planificación de grupos étnicos y aportan a la consolidación del escenario de sostenibilidad regional del PGAR (%)</t>
    </r>
    <r>
      <rPr>
        <b/>
        <sz val="8"/>
        <rFont val="Calibri"/>
        <family val="2"/>
        <scheme val="minor"/>
      </rPr>
      <t/>
    </r>
  </si>
  <si>
    <r>
      <t>% de entidades territoriales de la jurisdicción con acciones de adaptación y mitigación del cambio climático formuladas e incorporadas en sus instrumentos de planificación, en ejecución y en concordancia con los 8 PIGCCS o los que se hayan formulados a la fecha(%)</t>
    </r>
    <r>
      <rPr>
        <b/>
        <sz val="8"/>
        <rFont val="Calibri"/>
        <family val="2"/>
        <scheme val="minor"/>
      </rPr>
      <t/>
    </r>
  </si>
  <si>
    <t>Se debe definir línea base.
▪ Estas acciones hacen parte del Plan de Gestión del Cambio Climático en la Jurisdicción de Corantioquia, pero se desagrega para dar respuesta directa al indicador del PND.
▪ El 100% corresponde al cumplimiento de las acciones planificadas para la vigencia respectiva.</t>
  </si>
  <si>
    <r>
      <t>Número de negocios verdes verificados</t>
    </r>
    <r>
      <rPr>
        <b/>
        <sz val="11"/>
        <rFont val="Calibri"/>
        <family val="2"/>
        <scheme val="minor"/>
      </rPr>
      <t/>
    </r>
  </si>
  <si>
    <t>% de redes y estaciones de monitoreo en operación (recurso aire)</t>
  </si>
  <si>
    <r>
      <t>% de adopción de la Metodología de Evaluación de Daños y Análisis de Necesidades Ambientales</t>
    </r>
    <r>
      <rPr>
        <b/>
        <sz val="11"/>
        <rFont val="Calibri"/>
        <family val="2"/>
        <scheme val="minor"/>
      </rPr>
      <t/>
    </r>
  </si>
  <si>
    <r>
      <t>% de ejecución de acciones en educación ambiental</t>
    </r>
    <r>
      <rPr>
        <b/>
        <sz val="8"/>
        <rFont val="Calibri"/>
        <family val="2"/>
        <scheme val="minor"/>
      </rPr>
      <t/>
    </r>
  </si>
  <si>
    <r>
      <t>% de decisiones en la gestión ambiental conforme a la participación efectiva con los actores</t>
    </r>
    <r>
      <rPr>
        <b/>
        <sz val="8"/>
        <rFont val="Calibri"/>
        <family val="2"/>
        <scheme val="minor"/>
      </rPr>
      <t/>
    </r>
  </si>
  <si>
    <t>Declaración, homologación o recategorización de áreas protegidas regionales inscritas en el RUNAP</t>
  </si>
  <si>
    <t>Actualización de plan de manejo de áreas protegidas</t>
  </si>
  <si>
    <t>Identificación y priorización de áreas susceptibles a protección ambiental en territorios étnicos</t>
  </si>
  <si>
    <t>% de ha de ecosistemas protegidas desde el gobierno propio</t>
  </si>
  <si>
    <t>Implementación de acciones de manejo en áreas identificadas y priorizadas para la protección ambiental en territorios étnicos</t>
  </si>
  <si>
    <t>% de ejecución de planes de manejo de áreas protegidas bajo competencia de la Corporación</t>
  </si>
  <si>
    <r>
      <t>Número de ha deforestadas en ecosistemas naturales</t>
    </r>
    <r>
      <rPr>
        <b/>
        <sz val="8"/>
        <rFont val="Calibri"/>
        <family val="2"/>
        <scheme val="minor"/>
      </rPr>
      <t/>
    </r>
  </si>
  <si>
    <r>
      <t>Número de ha de cobertura boscosa en cuencas abastecedoras de acueductos y en ecosistemas estratégicos</t>
    </r>
    <r>
      <rPr>
        <b/>
        <sz val="8"/>
        <rFont val="Calibri"/>
        <family val="2"/>
        <scheme val="minor"/>
      </rPr>
      <t/>
    </r>
  </si>
  <si>
    <t>Modelo de ocupación regional sostenible definido</t>
  </si>
  <si>
    <r>
      <t>Componentes programáticos de instrumentos de planificación armonizados (%)</t>
    </r>
    <r>
      <rPr>
        <b/>
        <sz val="8"/>
        <rFont val="Calibri"/>
        <family val="2"/>
        <scheme val="minor"/>
      </rPr>
      <t/>
    </r>
  </si>
  <si>
    <r>
      <t>% de avance en la implementación de las medidas acordadas para la reducción de gases de efecto invernadero</t>
    </r>
    <r>
      <rPr>
        <b/>
        <sz val="11"/>
        <rFont val="Calibri"/>
        <family val="2"/>
        <scheme val="minor"/>
      </rPr>
      <t/>
    </r>
  </si>
  <si>
    <t>Número de planes de negocio asociativo en turismo de naturaleza por socioecosistema ejecutados</t>
  </si>
  <si>
    <r>
      <t>% de adopción del Modelo de Administración de los Recursos Naturales, con enfoque diferencial</t>
    </r>
    <r>
      <rPr>
        <b/>
        <sz val="8"/>
        <rFont val="Calibri"/>
        <family val="2"/>
        <scheme val="minor"/>
      </rPr>
      <t/>
    </r>
  </si>
  <si>
    <t>% de acciones coordinadas efectivamente con autoridades étnicas</t>
  </si>
  <si>
    <t>Tiempo promedio de trámite para la resolución de autorizaciones ambientales otorgadas por la Corporación (días)</t>
  </si>
  <si>
    <t>Adopción de áreas bajo sistemas sostenibles de conservación</t>
  </si>
  <si>
    <t>Implementación de pagos por servicio ambientales</t>
  </si>
  <si>
    <r>
      <t>Número de ha bajo esquemas de pagos por servicios ambientales e incentivos a la conservación</t>
    </r>
    <r>
      <rPr>
        <b/>
        <sz val="11"/>
        <rFont val="Calibri"/>
        <family val="2"/>
        <scheme val="minor"/>
      </rPr>
      <t/>
    </r>
  </si>
  <si>
    <t>Aprobación y ejecución del plan de ordenación forestal</t>
  </si>
  <si>
    <t>% de avance en la aprobación e implementación del plan de ordenación forestal</t>
  </si>
  <si>
    <t>Adopción de Planes de ordenamiento del recurso hídrico adoptados</t>
  </si>
  <si>
    <r>
      <t>% de cuerpos de agua con plan de ordenamiento del recurso hídrico adoptados</t>
    </r>
    <r>
      <rPr>
        <b/>
        <sz val="8"/>
        <rFont val="Calibri"/>
        <family val="2"/>
        <scheme val="minor"/>
      </rPr>
      <t/>
    </r>
  </si>
  <si>
    <t>Formulación de Planes de Manejo de Acuíferos</t>
  </si>
  <si>
    <r>
      <t>Planes de Manejo de Acuíferos formulados</t>
    </r>
    <r>
      <rPr>
        <b/>
        <sz val="8"/>
        <rFont val="Calibri"/>
        <family val="2"/>
        <scheme val="minor"/>
      </rPr>
      <t/>
    </r>
  </si>
  <si>
    <r>
      <t>Planes de Manejo de Microcuencas formulados</t>
    </r>
    <r>
      <rPr>
        <b/>
        <sz val="8"/>
        <rFont val="Calibri"/>
        <family val="2"/>
        <scheme val="minor"/>
      </rPr>
      <t/>
    </r>
  </si>
  <si>
    <t>Ejecución de planes de Ordenación y Manejo de Cuencas Hidrográficas</t>
  </si>
  <si>
    <r>
      <t>% de planes de Ordenación y Manejo de Cuencas Hidrográficas en ejecución</t>
    </r>
    <r>
      <rPr>
        <b/>
        <sz val="11"/>
        <rFont val="Calibri"/>
        <family val="2"/>
        <scheme val="minor"/>
      </rPr>
      <t/>
    </r>
  </si>
  <si>
    <t>Ejecución de Planes de Ordenamiento del Recurso Hídrico</t>
  </si>
  <si>
    <t>Ejecución de Planes de Manejo de Acuíferos</t>
  </si>
  <si>
    <t>% de Planes de Manejo de Acuíferos en ejecución</t>
  </si>
  <si>
    <t>% de redes y estaciones de monitoreo en operación del recurso agua</t>
  </si>
  <si>
    <t>Seguimiento a planes de saneamiento y manejo de vertimientos</t>
  </si>
  <si>
    <t>% de planes de saneamiento y manejo de vertimientos con seguimiento</t>
  </si>
  <si>
    <t>Seguimiento a programas de uso eficiente y ahorro del agua</t>
  </si>
  <si>
    <t>% de programas de uso eficiente y ahorro del agua con seguimiento</t>
  </si>
  <si>
    <t>Asesoramiento en la incorporación de los planes de desarrollo de decisiones de planeación territorial de los municipios fundamentados en los POT actualizados y en las determinantes ambientales adoptadas a la fecha</t>
  </si>
  <si>
    <t>Armonización de los instrumentos de Planificación Ambiental presentes en el territorio y orientados a una gestión articulada con las demás autoridades ambientales hacia la sostenibilidad ambiental del territorio</t>
  </si>
  <si>
    <t>Aplicación de criterios de sostenibilidad para bienes y servicios incluidos en el plan anual de adquisiciones</t>
  </si>
  <si>
    <t>Seguimiento a los Planes de Gestión Integral de Residuos Sólidos con metas de aprovechamiento</t>
  </si>
  <si>
    <t>% de Planes de Gestión Integral de Residuos Sólidos con seguimiento a metas de aprovechamiento</t>
  </si>
  <si>
    <t>Formulación e implementación del Plan Anticorrupción y de Atención al Ciudadano</t>
  </si>
  <si>
    <t>Representación judicial de la Corporación</t>
  </si>
  <si>
    <t>% de eficacia en la representación judicial</t>
  </si>
  <si>
    <t>Concatenar subactividad</t>
  </si>
  <si>
    <t>1.1.1 Definición e implementación del modelo de administración de las áreas protegidas y otras estrategias complementarias, con enfoque diferencial</t>
  </si>
  <si>
    <t>1.2.1 Declaración, homologación o recategorización de áreas protegidas regionales inscritas en el RUNAP</t>
  </si>
  <si>
    <t>1.2.2 Actualización de plan de manejo de áreas protegidas</t>
  </si>
  <si>
    <t>1.2.3 Identificación y priorización de áreas susceptibles a protección ambiental en territorios étnicos</t>
  </si>
  <si>
    <t>1.2.4 Implementación de acciones de manejo en áreas identificadas y priorizadas para la protección ambiental en territorios étnicos</t>
  </si>
  <si>
    <t>1.3.1 Ejecución de planes de manejo en áreas protegidas</t>
  </si>
  <si>
    <t>1.3.2 Ejecución de planes de manejo de áreas protegidas</t>
  </si>
  <si>
    <t xml:space="preserve">1.3.3 Ejecución de acciones de manejo en Humedales </t>
  </si>
  <si>
    <t>1.3.4 Adopción de áreas bajo sistemas sostenibles de conservación</t>
  </si>
  <si>
    <t>1.3.5 Implementación de pagos por servicio ambientales</t>
  </si>
  <si>
    <t>1.4.1 Realización de control y seguimiento a áreas protegidas</t>
  </si>
  <si>
    <t>1.4.2 Reducción de la deforestación en áreas protegidas y otras estrategias de conservación</t>
  </si>
  <si>
    <t>1.5.1 Participación con enfoque diferencial en la formulación e implementación del modelo de administración de las áreas protegidas y otras estrategias de conservación</t>
  </si>
  <si>
    <t>1.5.2 Apropiación socio-cultural de las áreas protegidas</t>
  </si>
  <si>
    <t>2.1.1 Definición de conectividades ecosistémicas con enfoque diferencial</t>
  </si>
  <si>
    <t>2.2.1 Restauración de áreas para la conectividad rural</t>
  </si>
  <si>
    <t>2.2.2 Implementación de sistemas de conservación en cuencas abastecedoras de acueductos y ecosistemas estratégicos</t>
  </si>
  <si>
    <t>2.2.3 Recuperación o rehabilitación de suelos degradados</t>
  </si>
  <si>
    <t>2.3.1 Realización de control y seguimiento a los corredores de conectividad establecidos</t>
  </si>
  <si>
    <t>2.4.1 Aprobación y ejecución del plan de ordenación forestal</t>
  </si>
  <si>
    <t>2.5.1 Implementación de medidas de conservación y manejo en especies priorizadas</t>
  </si>
  <si>
    <t>2.5.2 Implementación de medidas de conservación y manejo en especies amenazadas</t>
  </si>
  <si>
    <t>2.5.3 Implementación de medidas de prevención, control y manejo en especies invasoras.</t>
  </si>
  <si>
    <t>2.6.1 Fortalecimiento de la capacidad de los actores para la gestión corresponsable en la conectividad de corredores biológicos y sus ecosistemas</t>
  </si>
  <si>
    <t>3.1.1 Priorización de cuerpos de agua para la planificación del recurso hídrico</t>
  </si>
  <si>
    <t>3.2.1 Formulación de Planes de Ordenamiento y Manejo de Cuenca</t>
  </si>
  <si>
    <t>3.2.2 Adopción de Planes de ordenamiento del recurso hídrico adoptados</t>
  </si>
  <si>
    <t>3.2.3 Formulación de Planes de Manejo de Acuíferos</t>
  </si>
  <si>
    <t>3.3.1 Fortalecimiento de las capacidades de los actores para la participación en la planificación del patrimonio hídrico</t>
  </si>
  <si>
    <t>4.1.1 Ejecución de planes de Ordenación y Manejo de Cuencas Hidrográficas</t>
  </si>
  <si>
    <t>4.1.2 Ejecución de Planes de Ordenamiento del Recurso Hídrico</t>
  </si>
  <si>
    <t>4.1.3 Ejecución de Planes de Manejo de Acuíferos</t>
  </si>
  <si>
    <t>4.2.1 Implementación de la estrategia para la apropiación social y gestión corresponsable del patrimonio hídrico</t>
  </si>
  <si>
    <t>4.3.1 Mejoramiento del acceso al agua potable para las comunidades étnicas</t>
  </si>
  <si>
    <t>4.4.1 Instalación de pozos sépticos</t>
  </si>
  <si>
    <t>4.4.2 Construcción de plantas de tratamiento de agua residual</t>
  </si>
  <si>
    <t>4.5.1 Operación de redes y estaciones de monitoreo del recurso hídrico</t>
  </si>
  <si>
    <t>4.5.2 Seguimiento a planes de saneamiento y manejo de vertimientos</t>
  </si>
  <si>
    <t>4.5.3 Seguimiento a programas de uso eficiente y ahorro del agua</t>
  </si>
  <si>
    <t>5.1.1 Definición del modelo de ocupación regional sostenible, con enfoque diferencial, en articulación interinstitucional</t>
  </si>
  <si>
    <t>5.1.2 Priorización, delimitación y regulación Rondas hídricas</t>
  </si>
  <si>
    <t>5.2.1 Implementación de la estrategia de gestión del conocimiento social, y apropiación de la planificación ambiental del territorio para que los actores incidan en las decisiones de los usos del suelo y generen acciones corresponsables</t>
  </si>
  <si>
    <t>5.3.1 Asesoramiento a los municipios en la definición de su modelo de ocupación territorial, a partir del modelo de ocupación regional definido</t>
  </si>
  <si>
    <t>5.4.2 Asesoramiento en la incorporación de los planes de desarrollo de decisiones de planeación territorial de los municipios fundamentados en los POT actualizados y en las determinantes ambientales adoptadas a la fecha</t>
  </si>
  <si>
    <t>5.5.1 Definición e implementación de metodología para el seguimiento y monitoreo a los instrumentos de planificación concertados en el cuatrienio</t>
  </si>
  <si>
    <t>5.6.1 Armonización de los componentes programáticos de instrumentos de planificación</t>
  </si>
  <si>
    <t>5.6.2 Armonización de los instrumentos de Planificación Ambiental presentes en el territorio y orientados a una gestión articulada con las demás autoridades ambientales hacia la sostenibilidad ambiental del territorio</t>
  </si>
  <si>
    <t>6.1.1 Realización de estudios de conocimiento y amenaza del riesgo realizados en los municipios de la jurisdicción</t>
  </si>
  <si>
    <t>6.4.1 Implementación de la estrategia de reconocimiento de la memoria adaptativa del territorio y apropiación socio-cultural de herramientas de participación y educación para la adaptación al cambio climático y la gestión del riesgo</t>
  </si>
  <si>
    <t>6.5.1 Implementación del Plan de Gestión del Cambio Climático en la Jurisdicción de Corantioquia</t>
  </si>
  <si>
    <t>6.5.2 Implementación de las medidas acordadas para la reducción de gases de efecto invernadero</t>
  </si>
  <si>
    <t>7.1.1 Ejecución de planes de negocio asociativo en turismo de naturaleza por socioecosistema</t>
  </si>
  <si>
    <t>7.1.2 Implementación de esquemas asociativos propios de las comunidades étnicas en lo productivo según regulación propia, que incorporan uso de la biodiversidad</t>
  </si>
  <si>
    <t>7.1.3 Fortalecimiento de las prácticas de economía propia bajo principios de sostenibilidad</t>
  </si>
  <si>
    <t>7.1.4 Acompañamiento a los sectores para la reconversión hacia sistemas sostenibles de producción</t>
  </si>
  <si>
    <t>7.1.5 Verificación de negocios verdes</t>
  </si>
  <si>
    <t>7.1.6 Implementación del programa regional de negocios verdes</t>
  </si>
  <si>
    <t>7.1.7 Implementación de estrategias de promoción de uso de energía alternativa</t>
  </si>
  <si>
    <t>7.2.1 Acompañamiento a los sectores en la generación de articulaciones socio-cultural que permitan consolidar escenarios económicos locales y regionales sostenibles</t>
  </si>
  <si>
    <t>7.3.1 Aplicación de criterios de sostenibilidad para bienes y servicios incluidos en el plan anual de adquisiciones</t>
  </si>
  <si>
    <t>7.4.1 Definición e implementación de metodología para el seguimiento y monitoreo a los acuerdos establecidos con los sectores</t>
  </si>
  <si>
    <t>8.1.1 Intervención de las entidades territoriales del orden municipal con elementos naturales del espacio público verde</t>
  </si>
  <si>
    <t>8.2.1 Implementación del "Plan + aire puro"</t>
  </si>
  <si>
    <t>8.2.2 Formulación e implementación del Plan de movilidad empresarial sostenible-Plan MES</t>
  </si>
  <si>
    <t>8.3.1 Seguimiento a los Planes de Gestión Integral de Residuos Sólidos con metas de aprovechamiento</t>
  </si>
  <si>
    <t>8.3.2 Seguimiento a las metas de aprovechamiento contempladas en los PGIRS</t>
  </si>
  <si>
    <t>8.3.3 Implementación de campañas para la disminución en la generación de residuos</t>
  </si>
  <si>
    <t>8.4.1 Implementación de prácticas ambientales sostenibles desde el reconocimiento de sus derechos, deberes y el fortalecimiento de lo cultural</t>
  </si>
  <si>
    <t>8.5.1 Fortalecimiento de hogares ecológicos</t>
  </si>
  <si>
    <t>8.6.1 Operación de redes y estaciones de monitoreo</t>
  </si>
  <si>
    <t>9.1.1 Definición y adopción del Modelo de Administración de los Recursos Naturales, con enfoque diferencial</t>
  </si>
  <si>
    <t>9.1.2 Adopción de la Metodología de Evaluación de Daños y Análisis de Necesidades Ambientales</t>
  </si>
  <si>
    <t>9.2.1 Coordinación y articulación con las autoridades ambientales de la jurisdicción de mecanismos y respuesta en la administración de los recursos naturales</t>
  </si>
  <si>
    <t>9.2.2 Coordinación y articulación de mecanismos de gestión territorial ambiental concertados con las autoridades internas de administración de los pueblos étnicos desde su modelo de gestión con enfoque étnico</t>
  </si>
  <si>
    <t>9.2.3 Definición de rutas de gestión de conflictos ambientales</t>
  </si>
  <si>
    <t>9.2.4 Coordinación de acciones con autoridades étnicas</t>
  </si>
  <si>
    <t>9.2.5 Atención efectiva de situaciones críticas en lo ambiental mediante acciones de control articuladas</t>
  </si>
  <si>
    <t>9.2.6 Acompañamiento en la formalización de sectores estratégicos</t>
  </si>
  <si>
    <t>9.2.7 Implementación del Modelo de Administración de los Recursos Naturales</t>
  </si>
  <si>
    <t>9.2.8 Formalización de actores</t>
  </si>
  <si>
    <t>9.2.10 Resolución de solicitudes de licencias ambientales dentro de los tiempos establecidos en la normatividad vigente</t>
  </si>
  <si>
    <t>9.2.11 Atención de los tramites ambientales en los tiempos establecidos</t>
  </si>
  <si>
    <t>9.2.12 Atención de procesos sancionatorios</t>
  </si>
  <si>
    <t>9.2.13 Seguimiento a autorizaciones ambientales</t>
  </si>
  <si>
    <t>9.3.1 Implementación de la estrategia de apropiación y colaboración social en la administración ambiental a partir de procesos educativos, de reconocimiento del territorio, monitoreo participativo y sensibilización de actores</t>
  </si>
  <si>
    <t>10.1.1 Promoción de desarrollos tecnológicos del manejo de información que soporte la gestión ambiental con enfoque étnico</t>
  </si>
  <si>
    <t xml:space="preserve">10.1.2 Integración e interconexión de Sistemas de información </t>
  </si>
  <si>
    <t>10.1.3 Actualización y reporte de la información en el SIAC</t>
  </si>
  <si>
    <t>10.2.1 Formulación e implementación del Plan Anticorrupción y de Atención al Ciudadano</t>
  </si>
  <si>
    <t>10.2.2 Formulación e implementación del Plan Institucional de Archivos de la Entidad-PINAR</t>
  </si>
  <si>
    <t>10.2.3 Formulación e implementación del Plan Anual de Adquisiciones</t>
  </si>
  <si>
    <t>10.2.4 Formulación e implementación del Plan Anual de Vacantes</t>
  </si>
  <si>
    <t>10.2.5 Formulación e implementación del Plan de Previsión de Recursos Humanos</t>
  </si>
  <si>
    <t>10.2.6 Formulación e implementación del Plan Estratégico de Talento Humano</t>
  </si>
  <si>
    <t>10.2.7 Formulación e implementación del Plan Institucional de Capacitación</t>
  </si>
  <si>
    <t>10.2.8 Formulación e implementación del Plan de Bienestar Laboral</t>
  </si>
  <si>
    <t>10.2.9 Formulación e implementación del Plan de Incentivos Institucionales</t>
  </si>
  <si>
    <t>10.2.10 Formulación e implementación del Plan de Trabajo Anual en Seguridad y Salud en el Trabajo articulado con el SGI</t>
  </si>
  <si>
    <t>10.2.11 Formulación e implementación del Plan Estratégico de Tecnologías de la Información y las Comunicaciones-PETIC</t>
  </si>
  <si>
    <t>10.2.12 Formulación e implementación del Plan maestro de infraestructura física</t>
  </si>
  <si>
    <t>10.2.13 Representación judicial de la Corporación</t>
  </si>
  <si>
    <t>10.2.14 Formulación e implementación del proceso de modernización corporativa</t>
  </si>
  <si>
    <t>10.2.15 Implementación del MIPG y su articulación con el SGI</t>
  </si>
  <si>
    <t>10.2.16 Formulación y ejecución del plan de gestión del conocimiento corporativo</t>
  </si>
  <si>
    <t>10.2.17 Gestión del recaudo</t>
  </si>
  <si>
    <t>10.2.18 Ejecución del programa de auditorías de control interno</t>
  </si>
  <si>
    <t>10.3.1 Definición y ejecución del modelo de operación para consolidar el Laboratorio Ambiental</t>
  </si>
  <si>
    <t>10.3.2 Definición y ejecución del modelo de operación para consolidar los viveros y CAV</t>
  </si>
  <si>
    <t>10.3.3 Definición y ejecución del modelo de operación para consolidar el CIA</t>
  </si>
  <si>
    <t>10.3.4 Definición y ejecución del modelo de operación para consolidar las sedes de la Corporación</t>
  </si>
  <si>
    <t>10.4.1 Formulación e implementación del Plan de comunicaciones corporativo articulado con el SGI</t>
  </si>
  <si>
    <t>10.4.2 Formulación e implementación del Plan de Seguridad y Privacidad de la Información</t>
  </si>
  <si>
    <t>10.4.3 Formulación e implementación del Plan de Tratamiento de Riesgos de Seguridad y Privacidad de la Información</t>
  </si>
  <si>
    <t>10.4.4 Ejecución de acciones de comunicación en los proyectos del plan de acción</t>
  </si>
  <si>
    <t>10.5.1 Implementación de procesos de gestión cultural y educación ambiental en los programas y proyectos corporativos</t>
  </si>
  <si>
    <t>10.5.2 Ejecución de acciones en educación ambiental</t>
  </si>
  <si>
    <t>10.5.3 Implementación de espacios etnoeducativos ambientales en territorios ancestrales y colectivos</t>
  </si>
  <si>
    <t>10.5.4 Fortalecimiento de la capacidades en las autoridades étnicas y actores representativos</t>
  </si>
  <si>
    <t>10.5.5 Fortalecimiento de organizaciones socio-ambientales</t>
  </si>
  <si>
    <t>10.6.1 Promoción de la investigación para el fortalecimiento de los saberes ancestrales, culturales, espirituales y sociales para la protección del medio ambiente</t>
  </si>
  <si>
    <t>10.6.2 Promoción de procesos de investigación e innovación ejecutados en las temáticas priorizadas</t>
  </si>
  <si>
    <t>10.6.3 Promoción de innovaciones generadas y puestas en funcionamiento en la administración de lo ambiental</t>
  </si>
  <si>
    <t>10.7.1 Implementación del observatorio ambiental</t>
  </si>
  <si>
    <t>11.1.1 Formulación e implementación del modelo de participación</t>
  </si>
  <si>
    <t>11.1.2 Participación efectiva de los actores en las decisiones relacionadas con la gestión ambiental</t>
  </si>
  <si>
    <t>11.2.1 Promoción de acciones de incidencia de los actores en espacios e instrumentos de participación</t>
  </si>
  <si>
    <t>11.3.1 Ejecución de los retos del PGAR con corresponsabilidad, en el marco del plan de acción</t>
  </si>
  <si>
    <t>11.3.2 Apropiación social del PGAR con acciones por parte de los actores en el territorio</t>
  </si>
  <si>
    <t>11.3.3 Realización de reportes públicos compartidos de avance de cumplimiento PGAR</t>
  </si>
  <si>
    <t xml:space="preserve"> 1. Protegiendo ecosistemas naturales</t>
  </si>
  <si>
    <t xml:space="preserve"> 2. Conectando ecosistemas naturales</t>
  </si>
  <si>
    <t xml:space="preserve"> 3. Planificando el uso y manejo del agua</t>
  </si>
  <si>
    <t xml:space="preserve"> 4. Contribuyendo a la sostenibilidad del agua</t>
  </si>
  <si>
    <t xml:space="preserve"> 5. Direccionando la ocupación del territorio</t>
  </si>
  <si>
    <t xml:space="preserve"> 6. Construyendo territorios resilientes</t>
  </si>
  <si>
    <t xml:space="preserve"> 7. Construyendo escenarios y hábitos económicos sostenibles</t>
  </si>
  <si>
    <t xml:space="preserve"> 8. Consolidando hábitat y hábitos sostenibles</t>
  </si>
  <si>
    <t xml:space="preserve"> 9. Promoviendo la legalidad ambiental</t>
  </si>
  <si>
    <t xml:space="preserve"> 10. Fortaleciendo los actores para la gestión</t>
  </si>
  <si>
    <t xml:space="preserve"> 11. Participando en lo ambiental</t>
  </si>
  <si>
    <t>Indicador de subactividad</t>
  </si>
  <si>
    <t xml:space="preserve">Implementación de acciones de restauración, rehabilitación y reforestación áreas bajo sistemas sostenibles de conservación </t>
  </si>
  <si>
    <t>1.3.6 Implementación de acciones de restauración, rehabilitación y reforestación áreas bajo sistemas sostenibles de conservación</t>
  </si>
  <si>
    <r>
      <t>Cuerpos de agua con objetivos de calidad definidos y alcanzados (70 en total) (%) DBO</t>
    </r>
    <r>
      <rPr>
        <vertAlign val="subscript"/>
        <sz val="10"/>
        <color theme="1"/>
        <rFont val="Arial Narrow"/>
        <family val="2"/>
      </rPr>
      <t>5</t>
    </r>
  </si>
  <si>
    <t>Cuerpos de agua con objetivos de calidad definidos y alcanzados (70 en total) (%) SST</t>
  </si>
  <si>
    <t>Restaurar recuperar y o rehabilitar ecosistemas degradados</t>
  </si>
  <si>
    <t>Municipios priorizados con modelos de ocupación que contienen el escenario de sostenibilidad, protegen su patrimonio ecológico municipal, integran planificación de grupos étnicos y aportan a la consolidación del escenario de sostenibilidad (%)</t>
  </si>
  <si>
    <t>Objetivo</t>
  </si>
  <si>
    <r>
      <rPr>
        <b/>
        <sz val="10"/>
        <color theme="1"/>
        <rFont val="Arial Narrow"/>
        <family val="2"/>
      </rPr>
      <t>1:</t>
    </r>
    <r>
      <rPr>
        <sz val="10"/>
        <color theme="1"/>
        <rFont val="Arial Narrow"/>
        <family val="2"/>
      </rPr>
      <t xml:space="preserve"> Planificación ambiental territorial y protección de áreas que proveen servicios ecosistémicos.</t>
    </r>
  </si>
  <si>
    <r>
      <rPr>
        <b/>
        <sz val="10"/>
        <color theme="1"/>
        <rFont val="Arial Narrow"/>
        <family val="2"/>
      </rPr>
      <t>1:</t>
    </r>
    <r>
      <rPr>
        <sz val="10"/>
        <color theme="1"/>
        <rFont val="Arial Narrow"/>
        <family val="2"/>
      </rPr>
      <t xml:space="preserve"> proteger las áreas que generan y mantienen los servicios ecosistémicos necesarios para el desarrollo sostenible</t>
    </r>
  </si>
  <si>
    <r>
      <rPr>
        <b/>
        <sz val="8"/>
        <color theme="0"/>
        <rFont val="Arial Narrow"/>
        <family val="2"/>
      </rPr>
      <t>1:</t>
    </r>
    <r>
      <rPr>
        <sz val="8"/>
        <color theme="0"/>
        <rFont val="Arial Narrow"/>
        <family val="2"/>
      </rPr>
      <t xml:space="preserve"> proteger las áreas que generan y mantienen los servicios ecosistémicos necesarios para el desarrollo sostenible</t>
    </r>
  </si>
  <si>
    <r>
      <rPr>
        <b/>
        <sz val="10"/>
        <color theme="1"/>
        <rFont val="Arial Narrow"/>
        <family val="2"/>
      </rPr>
      <t>2:</t>
    </r>
    <r>
      <rPr>
        <sz val="10"/>
        <color theme="1"/>
        <rFont val="Arial Narrow"/>
        <family val="2"/>
      </rPr>
      <t xml:space="preserve"> Corresponsabilidad del sistema económico hacia territorios sostenibles</t>
    </r>
  </si>
  <si>
    <r>
      <rPr>
        <b/>
        <sz val="10"/>
        <color theme="1"/>
        <rFont val="Arial Narrow"/>
        <family val="2"/>
      </rPr>
      <t>2:</t>
    </r>
    <r>
      <rPr>
        <sz val="10"/>
        <color theme="1"/>
        <rFont val="Arial Narrow"/>
        <family val="2"/>
      </rPr>
      <t xml:space="preserve"> optimizar el uso del patrimonio ambiental en la dinámica económica, aportando a la consolidación de territorios sostenibles</t>
    </r>
  </si>
  <si>
    <r>
      <rPr>
        <b/>
        <sz val="8"/>
        <color theme="0"/>
        <rFont val="Arial Narrow"/>
        <family val="2"/>
      </rPr>
      <t>2:</t>
    </r>
    <r>
      <rPr>
        <sz val="8"/>
        <color theme="0"/>
        <rFont val="Arial Narrow"/>
        <family val="2"/>
      </rPr>
      <t xml:space="preserve"> optimizar el uso del patrimonio ambiental en la dinámica económica, aportando a la consolidación de territorios sostenibles</t>
    </r>
  </si>
  <si>
    <r>
      <rPr>
        <b/>
        <sz val="10"/>
        <color theme="1"/>
        <rFont val="Arial Narrow"/>
        <family val="2"/>
      </rPr>
      <t>3:</t>
    </r>
    <r>
      <rPr>
        <sz val="10"/>
        <color theme="1"/>
        <rFont val="Arial Narrow"/>
        <family val="2"/>
      </rPr>
      <t xml:space="preserve"> Consolidación de un entorno saludable y seguro</t>
    </r>
  </si>
  <si>
    <r>
      <rPr>
        <b/>
        <sz val="10"/>
        <color theme="1"/>
        <rFont val="Arial Narrow"/>
        <family val="2"/>
      </rPr>
      <t>3:</t>
    </r>
    <r>
      <rPr>
        <sz val="10"/>
        <color theme="1"/>
        <rFont val="Arial Narrow"/>
        <family val="2"/>
      </rPr>
      <t xml:space="preserve"> promover entornos resilientes para el mejoramiento de la habitabilidad de los territorios</t>
    </r>
  </si>
  <si>
    <r>
      <rPr>
        <b/>
        <sz val="8"/>
        <color theme="0"/>
        <rFont val="Arial Narrow"/>
        <family val="2"/>
      </rPr>
      <t>3:</t>
    </r>
    <r>
      <rPr>
        <sz val="8"/>
        <color theme="0"/>
        <rFont val="Arial Narrow"/>
        <family val="2"/>
      </rPr>
      <t xml:space="preserve"> promover entornos resilientes para el mejoramiento de la habitabilidad de los territorios</t>
    </r>
  </si>
  <si>
    <r>
      <rPr>
        <b/>
        <sz val="10"/>
        <color theme="1"/>
        <rFont val="Arial Narrow"/>
        <family val="2"/>
      </rPr>
      <t>4:</t>
    </r>
    <r>
      <rPr>
        <sz val="10"/>
        <color theme="1"/>
        <rFont val="Arial Narrow"/>
        <family val="2"/>
      </rPr>
      <t xml:space="preserve"> generar la gobernanza que permita consolidar el escenario de sostenibilidad ambiental de la jurisdicción</t>
    </r>
  </si>
  <si>
    <r>
      <rPr>
        <b/>
        <sz val="8"/>
        <color theme="0"/>
        <rFont val="Arial Narrow"/>
        <family val="2"/>
      </rPr>
      <t>4:</t>
    </r>
    <r>
      <rPr>
        <sz val="8"/>
        <color theme="0"/>
        <rFont val="Arial Narrow"/>
        <family val="2"/>
      </rPr>
      <t xml:space="preserve"> generar la gobernanza que permita consolidar el escenario de sostenibilidad ambiental de la jurisdicción</t>
    </r>
  </si>
  <si>
    <t xml:space="preserve"> 12. Lograr cero deforestación en cadenas productivas priorizadas</t>
  </si>
  <si>
    <t xml:space="preserve"> 27. Aumentar la población con acceso a agua potable</t>
  </si>
  <si>
    <t>Prácticas ambientales sostenibles implementadas desde el reconocimiento de sus derechos, deberes y el fortalecimiento de lo cultural (número)</t>
  </si>
  <si>
    <r>
      <t>10 prácticas ambientales sostenibles implementadas en al menos 4 tipos de actores estratégicos.</t>
    </r>
    <r>
      <rPr>
        <b/>
        <sz val="10"/>
        <color theme="1"/>
        <rFont val="Arial Narrow"/>
        <family val="2"/>
      </rPr>
      <t/>
    </r>
  </si>
  <si>
    <t>3.2.4 Formulación de Planes de Manejo de Microcuencas</t>
  </si>
  <si>
    <t>Formulación de Planes de Manejo de Microcuencas</t>
  </si>
  <si>
    <t>% de Planes de Ordenamiento del Recurso Hídrico en ejecución</t>
  </si>
  <si>
    <t>Implementación de acciones de manejo en cuencas abastecedoras</t>
  </si>
  <si>
    <t>Conformación de esquemas asociativos municipales que aportan a la protección del patrimonio natural</t>
  </si>
  <si>
    <t>5.3.2 Conformación de esquemas asociativos municipales que aportan a la protección del patrimonio natural</t>
  </si>
  <si>
    <r>
      <t>Asesoramiento a los municipios en la definición de su modelo de ocupación que contenga el escenario de sostenibilidad, protejan su patrimonio ecológico municipal, integren planificación de grupos étnicos</t>
    </r>
    <r>
      <rPr>
        <b/>
        <sz val="8"/>
        <rFont val="Calibri"/>
        <family val="2"/>
        <scheme val="minor"/>
      </rPr>
      <t/>
    </r>
  </si>
  <si>
    <t>5.4.1 Asesoramiento a los municipios en la definición de su modelo de ocupación que contenga el escenario de sostenibilidad, protejan su patrimonio ecológico municipal, integren planificación de grupos étnicos</t>
  </si>
  <si>
    <t>Asesoramiento a entidades territoriales en la formulación e incorporación de acciones de adaptación y mitigación del cambio climático en instrumentos de planificación, en ejecución y en concordancia con los 8 PIGCCS o los que se hayan formulado</t>
  </si>
  <si>
    <t>6.2.1 Asesoramiento a entidades territoriales en la formulación e incorporación de acciones de adaptación y mitigación del cambio climático en instrumentos de planificación, en ejecución y en concordancia con los 8 PIGCCS o los que se hayan formulado</t>
  </si>
  <si>
    <r>
      <rPr>
        <b/>
        <sz val="8"/>
        <color theme="9" tint="-0.249977111117893"/>
        <rFont val="Arial Narrow"/>
        <family val="2"/>
      </rPr>
      <t>1:</t>
    </r>
    <r>
      <rPr>
        <sz val="8"/>
        <color theme="9" tint="-0.249977111117893"/>
        <rFont val="Arial Narrow"/>
        <family val="2"/>
      </rPr>
      <t xml:space="preserve"> Planificación ambiental territorial y protección de áreas que proveen servicios ecosistémicos.</t>
    </r>
  </si>
  <si>
    <r>
      <rPr>
        <b/>
        <sz val="8"/>
        <color rgb="FFFFFF00"/>
        <rFont val="Arial Narrow"/>
        <family val="2"/>
      </rPr>
      <t>2:</t>
    </r>
    <r>
      <rPr>
        <sz val="8"/>
        <color rgb="FFFFFF00"/>
        <rFont val="Arial Narrow"/>
        <family val="2"/>
      </rPr>
      <t xml:space="preserve"> Corresponsabilidad del sistema económico hacia territorios sostenibles</t>
    </r>
  </si>
  <si>
    <r>
      <rPr>
        <b/>
        <sz val="8"/>
        <color rgb="FF00B0F0"/>
        <rFont val="Arial Narrow"/>
        <family val="2"/>
      </rPr>
      <t>3:</t>
    </r>
    <r>
      <rPr>
        <sz val="8"/>
        <color rgb="FF00B0F0"/>
        <rFont val="Arial Narrow"/>
        <family val="2"/>
      </rPr>
      <t xml:space="preserve"> Consolidación de un entorno saludable y seguro</t>
    </r>
  </si>
  <si>
    <r>
      <rPr>
        <b/>
        <sz val="8"/>
        <color rgb="FF0070C0"/>
        <rFont val="Arial Narrow"/>
        <family val="2"/>
      </rPr>
      <t xml:space="preserve">4: </t>
    </r>
    <r>
      <rPr>
        <sz val="8"/>
        <color rgb="FF0070C0"/>
        <rFont val="Arial Narrow"/>
        <family val="2"/>
      </rPr>
      <t>Fortalecimiento de la cultura ambiental y de las capacidades de los actores para la gestión conjunta y el logro de los resultados</t>
    </r>
  </si>
  <si>
    <r>
      <rPr>
        <b/>
        <sz val="10"/>
        <color theme="0"/>
        <rFont val="Arial Narrow"/>
        <family val="2"/>
      </rPr>
      <t xml:space="preserve">4: </t>
    </r>
    <r>
      <rPr>
        <sz val="10"/>
        <color theme="0"/>
        <rFont val="Arial Narrow"/>
        <family val="2"/>
      </rPr>
      <t>Fortalecimiento de la cultura ambiental y de las capacidades de los actores para la gestión conjunta y el logro de los resultados</t>
    </r>
  </si>
  <si>
    <t>Estructura PGAR 2020-2031</t>
  </si>
  <si>
    <t>Favor diligenciar las celdas sombreadas en color naranja</t>
  </si>
  <si>
    <t>Dependencias</t>
  </si>
  <si>
    <t>Dirección General</t>
  </si>
  <si>
    <t>Oficina Jurídico Ambiental</t>
  </si>
  <si>
    <t>Rol</t>
  </si>
  <si>
    <t>Número de jornales</t>
  </si>
  <si>
    <t>Total</t>
  </si>
  <si>
    <t>Valor jornal</t>
  </si>
  <si>
    <t>Valor total</t>
  </si>
  <si>
    <t>% de áreas protegidas y otras estrategias de conservación con acciones de control y seguimiento</t>
  </si>
  <si>
    <r>
      <rPr>
        <b/>
        <sz val="12"/>
        <color theme="1"/>
        <rFont val="Calibri"/>
        <family val="2"/>
        <scheme val="minor"/>
      </rPr>
      <t>Jornal:</t>
    </r>
    <r>
      <rPr>
        <sz val="12"/>
        <color theme="1"/>
        <rFont val="Calibri"/>
        <family val="2"/>
        <scheme val="minor"/>
      </rPr>
      <t xml:space="preserve"> Estipendio que gana el trabajador por cada día de trabajo (RAE)</t>
    </r>
  </si>
  <si>
    <t>FT-FAF-46</t>
  </si>
  <si>
    <t>Restaurar, recuperar o rehabilitar ecosistemas degradados</t>
  </si>
  <si>
    <t>Promover la generación o apropiación de desarrollos tecnológicos para el uso de la biodiversidad y una mayor eficiencia de uso del patrimonio ambiental</t>
  </si>
  <si>
    <t>Desarrollos tecnológicos generados o apropiados para el uso eficiente del recurso natural y el uso de la biodiversidad (número)</t>
  </si>
  <si>
    <t xml:space="preserve">% de avance en la formulación o ajuste de los POMCA
</t>
  </si>
  <si>
    <t>Contratos o convenios</t>
  </si>
  <si>
    <t>Número de acuerdos o agendas comerciales entre productores cero deforestación y compradores</t>
  </si>
  <si>
    <t>Número de desarrollos tecnológicos generados o apropiados para el uso eficiente del recurso natural y el uso de la biodiversidad</t>
  </si>
  <si>
    <t>Esquemas asociativos municipales conformados que aportan a la protección del patrimonio natural a partir de la formulación y ejecución de planes de acción ambiental de orden regional o provincial</t>
  </si>
  <si>
    <t>Coordinar con los sectores formuladores de los PIGCCS de la ejecución de medidas de gestión del riesgo, adaptación y mitigación de cambio climático en articulación con entidades territoriales</t>
  </si>
  <si>
    <t>Coordinación con los sectores formuladores de los PIGCCS de la ejecución de medidas de gestión del riesgo, adaptación y mitigación de cambio climático en articulación con entidades territoriales</t>
  </si>
  <si>
    <t>6.3.1 Coordinación con los sectores formuladores de los PIGCCS de la ejecución de medidas de gestión del riesgo, adaptación y mitigación de cambio climático en articulación con entidades territoriales</t>
  </si>
  <si>
    <t>% de sectores formuladores de los PIGCCS que han ejecutado medidas de gestión del riesgo, adaptación y mitigación de cambio climático en coordinación con entidades territoriales</t>
  </si>
  <si>
    <t>Protección efectiva de los ecosistemas presentes en los territorios étnicos incluyendo la respectiva restauración y saneamiento</t>
  </si>
  <si>
    <t xml:space="preserve"> 10. Protección efectiva de los ecosistemas presentes en los territorios étnicos incluyendo la respectiva restauración y saneamiento</t>
  </si>
  <si>
    <t>7.5.1 Generación de desarrollos tecnológicos apropiados para el uso eficiente del recurso natural y el uso de la biodiversidad</t>
  </si>
  <si>
    <t>Generación de desarrollos tecnológicos apropiados para el uso eficiente del recurso natural y el uso de la biodiversidad</t>
  </si>
  <si>
    <t>7.3.2 Acompañamiento en la formalización de acuerdos y agendas de relacionamientos comerciales entre productores cero deforestación y compradores</t>
  </si>
  <si>
    <t>Acompañamiento en la formalización de acuerdos y agendas de relacionamientos comerciales entre productores cero deforestación y compradores</t>
  </si>
  <si>
    <t>Año de ejecución del contrato</t>
  </si>
  <si>
    <r>
      <t xml:space="preserve">Aporte a la meta de la vigencia </t>
    </r>
    <r>
      <rPr>
        <b/>
        <sz val="8"/>
        <color theme="1"/>
        <rFont val="Arial Narrow"/>
        <family val="2"/>
      </rPr>
      <t>(para llevarlo a % multiplique x 100)</t>
    </r>
  </si>
  <si>
    <t>4.1.4 Implementación de acciones de manejo en cuencas abastecedoras</t>
  </si>
  <si>
    <t>Aumentar la población con acceso a agua potable</t>
  </si>
  <si>
    <t>Acuerdo protocolizado para comunidad étnica</t>
  </si>
  <si>
    <t>ODS</t>
  </si>
  <si>
    <t>Proceso del SGI</t>
  </si>
  <si>
    <t>Procesos</t>
  </si>
  <si>
    <t>Planeación ambiental del territorio</t>
  </si>
  <si>
    <t>Gestión de la información y el conocimiento</t>
  </si>
  <si>
    <t>Administración integral de los recursos naturales renovables</t>
  </si>
  <si>
    <t>Gestión de la cultura ambiental</t>
  </si>
  <si>
    <t>Fortalecimiento administrativo y financiero</t>
  </si>
  <si>
    <t>Medición, análisis y mejora</t>
  </si>
  <si>
    <t>1. Fin de la pobreza</t>
  </si>
  <si>
    <t>2. Hambre cero</t>
  </si>
  <si>
    <t>3. Salud y bienestar</t>
  </si>
  <si>
    <t>4. Educación de calidad</t>
  </si>
  <si>
    <t>5. Igualdad de género</t>
  </si>
  <si>
    <t>6. Agua limpia y saneamiento</t>
  </si>
  <si>
    <t>7. Energía asequible y no contaminante</t>
  </si>
  <si>
    <t>8. Trabajo decente y crecimiento económico</t>
  </si>
  <si>
    <t>9. Industria, innovación e infraestructura</t>
  </si>
  <si>
    <t>10. Reducción de las desigualdades</t>
  </si>
  <si>
    <t>11. Ciudades y comunidades sostenibles</t>
  </si>
  <si>
    <t>12. Producción y consumo responsables</t>
  </si>
  <si>
    <t>13. Acción por el clima</t>
  </si>
  <si>
    <t>14. Vida submarina</t>
  </si>
  <si>
    <t>15. Vida de ecosistemas terrestres</t>
  </si>
  <si>
    <t>16. Paz, justicia e instituciones sólidas</t>
  </si>
  <si>
    <t>17. Alianzas para lograr los objetivos</t>
  </si>
  <si>
    <t>Objetivo de Desarrollo Sostenible</t>
  </si>
  <si>
    <t>Mecanismos de coordinación y articulación de la gestión territorial ambiental concertados entre las autoridades internas de administración de los pueblos étnicos y la autoridad ambiental desde su modelo de gestión con enfoque étnico, en funcionamiento</t>
  </si>
  <si>
    <t>% de definición e implementación de la metodología para el seguimiento y monitoreo a los acuerdos establecidos con los sectores</t>
  </si>
  <si>
    <t>Aburrá Norte</t>
  </si>
  <si>
    <t>Aburrá Sur</t>
  </si>
  <si>
    <t>Cartama</t>
  </si>
  <si>
    <t>Citará</t>
  </si>
  <si>
    <t>Tahamíes</t>
  </si>
  <si>
    <t>Panzenú</t>
  </si>
  <si>
    <t>Zenufaná</t>
  </si>
  <si>
    <t>Barbosa</t>
  </si>
  <si>
    <t>Bello</t>
  </si>
  <si>
    <t>Copacabana</t>
  </si>
  <si>
    <t>Girardota</t>
  </si>
  <si>
    <t>Medellín</t>
  </si>
  <si>
    <t>Amagá</t>
  </si>
  <si>
    <t>Angelópolis</t>
  </si>
  <si>
    <t>Armenia</t>
  </si>
  <si>
    <t>Caldas</t>
  </si>
  <si>
    <t>Envigado</t>
  </si>
  <si>
    <t>Heliconia</t>
  </si>
  <si>
    <t>Itagüí</t>
  </si>
  <si>
    <t>La Estrella</t>
  </si>
  <si>
    <t>Sabaneta</t>
  </si>
  <si>
    <t>Titiribí</t>
  </si>
  <si>
    <t>Caramanta</t>
  </si>
  <si>
    <t>Fredonia</t>
  </si>
  <si>
    <t>Jericó</t>
  </si>
  <si>
    <t>La Pintada</t>
  </si>
  <si>
    <t>Montebello</t>
  </si>
  <si>
    <t>Pueblorrico</t>
  </si>
  <si>
    <t>Santa Bárbara</t>
  </si>
  <si>
    <t>Támesis</t>
  </si>
  <si>
    <t>Tarso</t>
  </si>
  <si>
    <t>Valparaíso</t>
  </si>
  <si>
    <t>Venecia</t>
  </si>
  <si>
    <t>Andes</t>
  </si>
  <si>
    <t>Betania</t>
  </si>
  <si>
    <t>Betulia</t>
  </si>
  <si>
    <t>Ciudad Bolívar</t>
  </si>
  <si>
    <t>Concordia</t>
  </si>
  <si>
    <t>Hispania</t>
  </si>
  <si>
    <t>Jardín</t>
  </si>
  <si>
    <t>Salgar</t>
  </si>
  <si>
    <t>Anzá</t>
  </si>
  <si>
    <t>Buriticá</t>
  </si>
  <si>
    <t>Caicedo</t>
  </si>
  <si>
    <t>Ebéjico</t>
  </si>
  <si>
    <t>Liborina</t>
  </si>
  <si>
    <t>Olaya</t>
  </si>
  <si>
    <t>Sabanalarga</t>
  </si>
  <si>
    <t>San Jerónimo</t>
  </si>
  <si>
    <t>Santa Fe de Antioquia</t>
  </si>
  <si>
    <t>Sopetrán</t>
  </si>
  <si>
    <t>Cáceres</t>
  </si>
  <si>
    <t>Caucasia</t>
  </si>
  <si>
    <t>El Bagre</t>
  </si>
  <si>
    <t>Nechí</t>
  </si>
  <si>
    <t>Tarazá</t>
  </si>
  <si>
    <t>Valdivia</t>
  </si>
  <si>
    <t>Zaragoza</t>
  </si>
  <si>
    <t>Angostura</t>
  </si>
  <si>
    <t>Anorí</t>
  </si>
  <si>
    <t>Belmira</t>
  </si>
  <si>
    <t>Briceño</t>
  </si>
  <si>
    <t>Campamento</t>
  </si>
  <si>
    <t>Carolina del Príncipe</t>
  </si>
  <si>
    <t>Donmatías</t>
  </si>
  <si>
    <t>Entrerríos</t>
  </si>
  <si>
    <t>Gómez Plata</t>
  </si>
  <si>
    <t>Guadalupe</t>
  </si>
  <si>
    <t>Ituango</t>
  </si>
  <si>
    <t>San Andrés de Cuerquia</t>
  </si>
  <si>
    <t>San José de la Montaña</t>
  </si>
  <si>
    <t>San Pedro de los Milagros</t>
  </si>
  <si>
    <t>Santa Rosa de Osos</t>
  </si>
  <si>
    <t>Toledo</t>
  </si>
  <si>
    <t>Yarumal</t>
  </si>
  <si>
    <t>Amalfi</t>
  </si>
  <si>
    <t>Caracolí</t>
  </si>
  <si>
    <t>Cisneros</t>
  </si>
  <si>
    <t>Maceo</t>
  </si>
  <si>
    <t>Puerto Berrío</t>
  </si>
  <si>
    <t>Puerto Nare</t>
  </si>
  <si>
    <t>Remedios</t>
  </si>
  <si>
    <t>Segovia</t>
  </si>
  <si>
    <t>Vegachí</t>
  </si>
  <si>
    <t>Yalí</t>
  </si>
  <si>
    <t>Yolombó</t>
  </si>
  <si>
    <t>Yondó</t>
  </si>
  <si>
    <r>
      <rPr>
        <b/>
        <sz val="12"/>
        <color theme="1"/>
        <rFont val="Bookman Old Style"/>
        <family val="1"/>
      </rPr>
      <t>→</t>
    </r>
    <r>
      <rPr>
        <b/>
        <sz val="12"/>
        <color theme="1"/>
        <rFont val="Calibri"/>
        <family val="2"/>
      </rPr>
      <t xml:space="preserve"> </t>
    </r>
    <r>
      <rPr>
        <b/>
        <sz val="12"/>
        <color theme="1"/>
        <rFont val="Calibri"/>
        <family val="2"/>
        <scheme val="minor"/>
      </rPr>
      <t>Oficina territorial</t>
    </r>
  </si>
  <si>
    <r>
      <rPr>
        <b/>
        <sz val="12"/>
        <color theme="1"/>
        <rFont val="Bookman Old Style"/>
        <family val="1"/>
      </rPr>
      <t>→</t>
    </r>
    <r>
      <rPr>
        <b/>
        <sz val="12"/>
        <color theme="1"/>
        <rFont val="Calibri"/>
        <family val="2"/>
      </rPr>
      <t xml:space="preserve"> </t>
    </r>
    <r>
      <rPr>
        <b/>
        <sz val="12"/>
        <color theme="1"/>
        <rFont val="Calibri"/>
        <family val="2"/>
        <scheme val="minor"/>
      </rPr>
      <t>Municipios</t>
    </r>
  </si>
  <si>
    <t>Hevéxicos</t>
  </si>
  <si>
    <t>Nutabe</t>
  </si>
  <si>
    <t>Santa Barbara</t>
  </si>
  <si>
    <t>Puerto Berrio</t>
  </si>
  <si>
    <t>Afro Panzenú</t>
  </si>
  <si>
    <t>Afro Tahamíes</t>
  </si>
  <si>
    <t>Afro Aburrá Norte</t>
  </si>
  <si>
    <t>Afro Aburrá Sur</t>
  </si>
  <si>
    <t>Afro Cartama</t>
  </si>
  <si>
    <t>Afro Zenufaná</t>
  </si>
  <si>
    <r>
      <t>2.1. PGAR 2020-2031.</t>
    </r>
    <r>
      <rPr>
        <sz val="12"/>
        <color theme="1"/>
        <rFont val="Calibri"/>
        <family val="2"/>
        <scheme val="minor"/>
      </rPr>
      <t xml:space="preserve"> Por favor seleccione la(s) línea(s), componente(s), reto(s), indicador(es) a los cuales se espera el objeto del contrato contribuya a su cumplimiento, de manera automática aparecerá el objetivo de desarrollo sostenible (ODS), el proceso del sistema de gestión integral (SGI), las metas para la vigencia del PGAR </t>
    </r>
    <r>
      <rPr>
        <sz val="12"/>
        <color theme="1"/>
        <rFont val="Calibri"/>
        <family val="2"/>
      </rPr>
      <t>―</t>
    </r>
    <r>
      <rPr>
        <sz val="12"/>
        <color theme="1"/>
        <rFont val="Calibri"/>
        <family val="2"/>
        <scheme val="minor"/>
      </rPr>
      <t>cuatrienio y anualizadas</t>
    </r>
    <r>
      <rPr>
        <sz val="12"/>
        <color theme="1"/>
        <rFont val="Calibri"/>
        <family val="2"/>
      </rPr>
      <t>―</t>
    </r>
    <r>
      <rPr>
        <sz val="12"/>
        <color theme="1"/>
        <rFont val="Calibri"/>
        <family val="2"/>
        <scheme val="minor"/>
      </rPr>
      <t xml:space="preserve">. Finalmente, seleccione una x en la etiqueta "Aporte del contrato".
</t>
    </r>
    <r>
      <rPr>
        <b/>
        <sz val="12"/>
        <color theme="1"/>
        <rFont val="Calibri"/>
        <family val="2"/>
        <scheme val="minor"/>
      </rPr>
      <t>Notas:</t>
    </r>
    <r>
      <rPr>
        <sz val="12"/>
        <color theme="1"/>
        <rFont val="Calibri"/>
        <family val="2"/>
        <scheme val="minor"/>
      </rPr>
      <t xml:space="preserve"> 
a. Dado que los indicadores del PGAR 2020-2031 son de resultado (impacto), el aporte del contrato no se cuantifica por cuanto su logro depende del compromiso de todos los actores, sin embargo, es muy importante identificar los contratos de la Corporación que aportaron al logro de esas metas. Aquellos indicadores del PGAR que hayan sido considerados en el Plan de Acción, el aporte del contrato se cuantificará en el ítem 2. Plan de Acción de este documento.
b. Si requiere más información del PGAR puede consultar la información de las líneas disponible en la hoja "Estructura PGAR" de este archivo.</t>
    </r>
  </si>
  <si>
    <r>
      <rPr>
        <b/>
        <sz val="12"/>
        <color theme="1"/>
        <rFont val="Calibri"/>
        <family val="2"/>
        <scheme val="minor"/>
      </rPr>
      <t xml:space="preserve">1. </t>
    </r>
    <r>
      <rPr>
        <sz val="12"/>
        <color theme="1"/>
        <rFont val="Calibri"/>
        <family val="2"/>
        <scheme val="minor"/>
      </rPr>
      <t>De conformidad con el PGAR 2020-2031 y el Plan de Acción 2020-2031, el proceso de contratación corporativo deberá aportar al logro de las metas definidas en los diferentes instrumentos de planificación; considerando siempre el enfoque territorial y étnico que se presenta a continuación.</t>
    </r>
  </si>
  <si>
    <r>
      <rPr>
        <b/>
        <sz val="12"/>
        <color theme="1"/>
        <rFont val="Calibri"/>
        <family val="2"/>
        <scheme val="minor"/>
      </rPr>
      <t xml:space="preserve">2. </t>
    </r>
    <r>
      <rPr>
        <sz val="12"/>
        <color theme="1"/>
        <rFont val="Calibri"/>
        <family val="2"/>
        <scheme val="minor"/>
      </rPr>
      <t>A continuación, se relacionan los diferentes instrumentos de planificación de la Corporación, por favor relacione la información de los instrumentos con los cuales se espera una contribución del objeto contractual.</t>
    </r>
  </si>
  <si>
    <r>
      <t>2.2. Plan de Acción.</t>
    </r>
    <r>
      <rPr>
        <sz val="12"/>
        <color theme="1"/>
        <rFont val="Calibri"/>
        <family val="2"/>
        <scheme val="minor"/>
      </rPr>
      <t xml:space="preserve"> Por favor seleccione el(los) programa(s), proyecto(s) y subactividad(es) a los cuales se espera el objeto del contrato contribuya a su cumplimiento, de manera automática aparecerá el indicador, el objetivo de desarrollo sostenible (ODS), el proceso del sistema de gestión integral (SGI, las metas para el cuatrienio y anualizadas. Finalmente, relacione el aporte cuantitativo del contrato para la vigencia respectiva.
</t>
    </r>
    <r>
      <rPr>
        <b/>
        <sz val="12"/>
        <color theme="1"/>
        <rFont val="Calibri"/>
        <family val="2"/>
        <scheme val="minor"/>
      </rPr>
      <t>Notas:</t>
    </r>
    <r>
      <rPr>
        <sz val="12"/>
        <color theme="1"/>
        <rFont val="Calibri"/>
        <family val="2"/>
        <scheme val="minor"/>
      </rPr>
      <t xml:space="preserve"> 
a. Dado que los indicadores del Plan de Acción 2020-2023 son de producto, el aporte del contrato se debe cuantificar relacionando la cantidad que aportará en la vigencia respectiva del Plan de Acción en coherencia con la meta planificada, de manera automática calculará el aporte a la meta de la vigencia.
b. Si requiere más información del Plan de Acción puede consultar la estructura programática en la hoja "Estructura Plan Acción" de este archivo.</t>
    </r>
  </si>
  <si>
    <r>
      <t xml:space="preserve">2.3. Planes temáticos o misionales. </t>
    </r>
    <r>
      <rPr>
        <sz val="12"/>
        <color theme="1"/>
        <rFont val="Calibri"/>
        <family val="2"/>
        <scheme val="minor"/>
      </rPr>
      <t xml:space="preserve">Por favor relacione el(los) plan(es), acto de aprobación(s), proyecto(s)/acción(es), indicador(es), ODS, proceso(s) del SGI, meta(s) para el cuatrienio y anualizadas. Finalmente, relacione el aporte cuantitativo del contrato para el año respectivo, de manera automática calculará el aporte a la meta de la vigencia.
</t>
    </r>
    <r>
      <rPr>
        <b/>
        <sz val="12"/>
        <color theme="1"/>
        <rFont val="Calibri"/>
        <family val="2"/>
        <scheme val="minor"/>
      </rPr>
      <t xml:space="preserve">Nota: </t>
    </r>
    <r>
      <rPr>
        <sz val="12"/>
        <color theme="1"/>
        <rFont val="Calibri"/>
        <family val="2"/>
        <scheme val="minor"/>
      </rPr>
      <t xml:space="preserve">
a. Si requiere más información en relación al plan temático o misional deberá consultarlo en E-Sirena o en la dependencia responsable del mismo.
b. El aporte a los planes temáticos o misionales no se da en todos los casos, depende del objeto del contrato.</t>
    </r>
  </si>
  <si>
    <r>
      <t>2.4. Planes estratégicos y de gestión.</t>
    </r>
    <r>
      <rPr>
        <sz val="12"/>
        <color theme="1"/>
        <rFont val="Calibri"/>
        <family val="2"/>
        <scheme val="minor"/>
      </rPr>
      <t xml:space="preserve"> Por favor relacione el(los) plan(es), acto(s) de aprobación, proyecto(s)/acción(es), indicador(es), ODS, proceso(s) del SGI y meta(s) para el cuatrienio y anualizadas. Finalmente, relacione el aporte cuantitativo del contrato para el año respectivo, de manera automática calculará el aporte a la meta de la vigencia.
</t>
    </r>
    <r>
      <rPr>
        <b/>
        <sz val="12"/>
        <color theme="1"/>
        <rFont val="Calibri"/>
        <family val="2"/>
        <scheme val="minor"/>
      </rPr>
      <t xml:space="preserve">Nota: </t>
    </r>
    <r>
      <rPr>
        <sz val="12"/>
        <color theme="1"/>
        <rFont val="Calibri"/>
        <family val="2"/>
        <scheme val="minor"/>
      </rPr>
      <t xml:space="preserve">
a. Si requiere más información en relación al plan estratégico y de gestión deberá consultarlo en E-Sirena o en la dependencia responsable del mismo.
b. El aporte a los planes estratégicos y de gestión no se da en todos los casos, depende del objeto del contrato.</t>
    </r>
  </si>
  <si>
    <r>
      <t>3. Objetivos de Desarrollo Sostenible (ODS).</t>
    </r>
    <r>
      <rPr>
        <sz val="12"/>
        <color theme="1"/>
        <rFont val="Calibri"/>
        <family val="2"/>
        <scheme val="minor"/>
      </rPr>
      <t xml:space="preserve"> La Corporación a través de la inversión de recursos en el territorio también contribuye al cumplimiento de los ODS 1 y 8, apuntando a la generación de empleos decentes que contribuyan a la disminución de la pobreza. El objeto del contrato generará los jornales que se detallan a continuación.</t>
    </r>
    <r>
      <rPr>
        <b/>
        <sz val="12"/>
        <color theme="1"/>
        <rFont val="Calibri"/>
        <family val="2"/>
        <scheme val="minor"/>
      </rPr>
      <t/>
    </r>
  </si>
  <si>
    <t>Afro Hevéxicos</t>
  </si>
  <si>
    <r>
      <rPr>
        <sz val="10"/>
        <color theme="1"/>
        <rFont val="Calibri"/>
        <family val="2"/>
      </rPr>
      <t xml:space="preserve">← </t>
    </r>
    <r>
      <rPr>
        <sz val="10"/>
        <color theme="1"/>
        <rFont val="Calibri"/>
        <family val="2"/>
        <scheme val="minor"/>
      </rPr>
      <t>Comunidades Afro</t>
    </r>
  </si>
  <si>
    <t>→ Municipios</t>
  </si>
  <si>
    <r>
      <rPr>
        <b/>
        <sz val="12"/>
        <color theme="1"/>
        <rFont val="Calibri"/>
        <family val="2"/>
        <scheme val="minor"/>
      </rPr>
      <t xml:space="preserve">1.1. Alcance territorial. </t>
    </r>
    <r>
      <rPr>
        <sz val="12"/>
        <color theme="1"/>
        <rFont val="Calibri"/>
        <family val="2"/>
        <scheme val="minor"/>
      </rPr>
      <t>Por favor seleccione la(s) oficina(s) territorial(es) y municipio(s) en los cuales tendrá alcance el objeto del contrato. De tratarse de un contrato de carácter no misional sólo seleccione las oficinas territoriales en las cuales tendría alcance.</t>
    </r>
  </si>
  <si>
    <t>Comunidades afro - territorial</t>
  </si>
  <si>
    <r>
      <rPr>
        <b/>
        <sz val="12"/>
        <color theme="1"/>
        <rFont val="Calibri"/>
        <family val="2"/>
        <scheme val="minor"/>
      </rPr>
      <t>1.2. Alcance étnico.</t>
    </r>
    <r>
      <rPr>
        <sz val="12"/>
        <color theme="1"/>
        <rFont val="Calibri"/>
        <family val="2"/>
        <scheme val="minor"/>
      </rPr>
      <t xml:space="preserve"> Por favor seleccione el(los) pueblo(s) indígena(s) y municipio(s) en los cuales tendrá alcance el objeto del contrato, de igual forma las comunidades Afro y los respectivos municipios por territorial.</t>
    </r>
  </si>
  <si>
    <t>Pueblos indígenas</t>
  </si>
  <si>
    <r>
      <rPr>
        <sz val="10"/>
        <color theme="1"/>
        <rFont val="Calibri"/>
        <family val="2"/>
      </rPr>
      <t xml:space="preserve">← </t>
    </r>
    <r>
      <rPr>
        <sz val="10"/>
        <color theme="1"/>
        <rFont val="Calibri"/>
        <family val="2"/>
        <scheme val="minor"/>
      </rPr>
      <t>Pueblos indígenas</t>
    </r>
  </si>
  <si>
    <t>n.° de trabajadores</t>
  </si>
  <si>
    <t>Valor mes/trabajador</t>
  </si>
  <si>
    <t>n.° de meses de contrato</t>
  </si>
  <si>
    <t>Implementación del Plan Acción sectorial Ambiental de Mercurio en la jurisdicción de Corantioquia</t>
  </si>
  <si>
    <t>9.2.9 Implementación del Plan Acción sectorial Ambiental de Mercurio en la jurisdicción de Corantioquia</t>
  </si>
  <si>
    <t>Estrategia</t>
  </si>
  <si>
    <t>Líneas de acción</t>
  </si>
  <si>
    <t>2. En el marco de los procesos de gestión y de contratación de la corporación, se priorizará la participación de personas del territorio que hagan parte de los grupos poblaciones de los que trata esta política según los objetos y requerimientos de los procesos de selección.</t>
  </si>
  <si>
    <t>1. Propender para que en los diferentes convenios que se suscriban con la corporación, se tenga en cuenta en la ejecución, la contratación de personas del territorio que hagan parte de los grupos poblaciones de los que trata esta política.</t>
  </si>
  <si>
    <t>3. Dar a conocer entre los grupos de interés las ofertas o procesos de selección en curso.</t>
  </si>
  <si>
    <r>
      <t>4. Política de inclusión social.</t>
    </r>
    <r>
      <rPr>
        <sz val="12"/>
        <color theme="1"/>
        <rFont val="Calibri"/>
        <family val="2"/>
        <scheme val="minor"/>
      </rPr>
      <t xml:space="preserve"> La corporación a través de la inversión de recursos en el territorio también contribuye al cumplimiento de la política de inclusión social de Corantioquia. El objeto del contrato contribuirá a las siguientes estrategias y líneas de acción:</t>
    </r>
    <r>
      <rPr>
        <b/>
        <sz val="12"/>
        <color theme="1"/>
        <rFont val="Calibri"/>
        <family val="2"/>
        <scheme val="minor"/>
      </rPr>
      <t/>
    </r>
  </si>
  <si>
    <t xml:space="preserve">Estrategias → </t>
  </si>
  <si>
    <t>4. La corporación pondrá en funcionamiento los mecanismos de divulgación y seguimiento al cumplimiento de la estrategia.</t>
  </si>
  <si>
    <t>1. Desarrollo de componentes programáticos del Plan de Acción 2020-2023 con enfoque diferencial.</t>
  </si>
  <si>
    <t>2. Caracterización de los grupos poblacionales objeto de esta política para que puedan ser incluidos, priorizados e informados para participar de las actividades y procesos de la gestión ambiental, en el marco de los programas y proyectos de los planes de acción corporativos.</t>
  </si>
  <si>
    <t>3. Desarrollo de procesos edu-comunicacionales conducentes a sensibilizar y formar a los servidores públicos y contratistas de la corporación para la aplicación del enfoque diferencial, la adopción de prácticas culturales y el fortalecimiento en valores que propicien la inclusión social y el respeto a la diversidad en el marco de las actuaciones de los servidores públicos.</t>
  </si>
  <si>
    <t>4. Formulación e implementación del Modelo de atención con enfoque diferencial en el marco del PGAR 2020-2031, capítulo étnico.</t>
  </si>
  <si>
    <t>5. Incorporación del enfoque diferencial y de inclusión social en los procesos de modernización institucional y planes relacionados con la infraestructura física y tecnológica.</t>
  </si>
  <si>
    <t>6. Formular e implementar el modelo de participación corporativa y la estrategia de gestión de la cultura y la educación ambiental con enfoque diferencial.</t>
  </si>
  <si>
    <t>7. Creación y puesta en funcionamiento de la Mesa Interna de Diversidad Cultural integrada por delegados de todas las dependencias, para la coordinación de las acciones que tienen como finalidad la aplicación de esta política y el capítulo étnico en los proyectos y actividades del plan de acción respectivo.</t>
  </si>
  <si>
    <t>8. Seguimiento a la aplicación del enfoque de diferencial en el marco de los proyectos y actividades del plan de acción vigente, de acuerdo con los instrumentos de evaluación definidos por cada proyecto.</t>
  </si>
  <si>
    <t>I. Aplicación de compras públicas socialmente responsables</t>
  </si>
  <si>
    <t>II. Inclusión social y enfoque diferencial en la gestión ambiental y la participación para la incidencia en la toma de decisiones</t>
  </si>
  <si>
    <t xml:space="preserve">Líneas de acción → </t>
  </si>
  <si>
    <t>x</t>
  </si>
  <si>
    <t>Embera Chamí</t>
  </si>
  <si>
    <t>Senú</t>
  </si>
  <si>
    <t>Sabanalarga (Corregimiento el Oro)</t>
  </si>
  <si>
    <t>Pueblo Rico</t>
  </si>
  <si>
    <t>Embera Eyábida</t>
  </si>
  <si>
    <t>Embera Dobida</t>
  </si>
  <si>
    <t>Diana Patricia Jaramillo Ramirez</t>
  </si>
  <si>
    <t>Línea 1. Planificación ambiental territorial y protección de áreas que proveen servicios ecosistémicos</t>
  </si>
  <si>
    <t>Jorge Ignacio Gaviria Saldarriaga</t>
  </si>
  <si>
    <t>Coordinador de interventoría</t>
  </si>
  <si>
    <t>Profesional especialista en el área social</t>
  </si>
  <si>
    <t xml:space="preserve">Profesional especialista en el área ambiental  </t>
  </si>
  <si>
    <t xml:space="preserve">Tecnologo ambiental </t>
  </si>
  <si>
    <t xml:space="preserve">Profesional especialista en el área juridica  </t>
  </si>
  <si>
    <t>Realizar la Interventoría técnica, administrativa, financiera y jurídica, para la formulación e implementación de los Planes de Ordenamiento del Recurso Hídrico – PORH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</si>
</sst>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0_-;\-&quot;$&quot;* #,##0_-;_-&quot;$&quot;* &quot;-&quot;_-;_-@_-"/>
    <numFmt numFmtId="41" formatCode="_-* #,##0_-;\-* #,##0_-;_-* &quot;-&quot;_-;_-@_-"/>
    <numFmt numFmtId="164" formatCode="#,##0.0"/>
    <numFmt numFmtId="165" formatCode="_-* #,##0.0_-;\-* #,##0.0_-;_-* &quot;-&quot;_-;_-@_-"/>
    <numFmt numFmtId="166" formatCode="0.0%"/>
    <numFmt numFmtId="167" formatCode="yyyy\-mm\-dd;@"/>
    <numFmt numFmtId="168" formatCode="[$$-240A]\ #,##0"/>
    <numFmt numFmtId="169" formatCode="[$$-2C0A]\ #,##0"/>
    <numFmt numFmtId="170" formatCode="0.0"/>
    <numFmt numFmtId="171" formatCode="&quot;$&quot;\ #,##0"/>
  </numFmts>
  <fonts count="11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1"/>
      <color rgb="FF000000"/>
      <name val="Arial"/>
      <family val="2"/>
    </font>
    <font>
      <sz val="12"/>
      <color theme="1"/>
      <name val="Calibri"/>
      <family val="2"/>
      <scheme val="minor"/>
    </font>
    <font>
      <sz val="10"/>
      <color theme="1"/>
      <name val="Arial Narrow"/>
      <family val="2"/>
    </font>
    <font>
      <b/>
      <sz val="10"/>
      <color theme="1"/>
      <name val="Arial Narrow"/>
      <family val="2"/>
    </font>
    <font>
      <sz val="10"/>
      <color theme="1"/>
      <name val="Calibri"/>
      <family val="2"/>
    </font>
    <font>
      <sz val="10"/>
      <name val="Arial Narrow"/>
      <family val="2"/>
    </font>
    <font>
      <sz val="10"/>
      <color theme="0"/>
      <name val="Arial Narrow"/>
      <family val="2"/>
    </font>
    <font>
      <sz val="8"/>
      <color theme="0"/>
      <name val="Arial Narrow"/>
      <family val="2"/>
    </font>
    <font>
      <sz val="10"/>
      <color rgb="FFFF0000"/>
      <name val="Arial Narrow"/>
      <family val="2"/>
    </font>
    <font>
      <sz val="10"/>
      <name val="Calibri"/>
      <family val="2"/>
    </font>
    <font>
      <vertAlign val="subscript"/>
      <sz val="10"/>
      <color theme="1"/>
      <name val="Arial Narrow"/>
      <family val="2"/>
    </font>
    <font>
      <b/>
      <sz val="10"/>
      <color rgb="FFFF0000"/>
      <name val="Arial Narrow"/>
      <family val="2"/>
    </font>
    <font>
      <b/>
      <sz val="8"/>
      <color rgb="FFFF0000"/>
      <name val="Arial Narrow"/>
      <family val="2"/>
    </font>
    <font>
      <sz val="8"/>
      <name val="Arial Narrow"/>
      <family val="2"/>
    </font>
    <font>
      <b/>
      <sz val="10"/>
      <color theme="1"/>
      <name val="Calibri"/>
      <family val="2"/>
    </font>
    <font>
      <b/>
      <sz val="10"/>
      <name val="Arial Narrow"/>
      <family val="2"/>
    </font>
    <font>
      <b/>
      <sz val="10"/>
      <name val="Calibri"/>
      <family val="2"/>
    </font>
    <font>
      <vertAlign val="superscript"/>
      <sz val="10"/>
      <color theme="1"/>
      <name val="Arial Narrow"/>
      <family val="2"/>
    </font>
    <font>
      <vertAlign val="superscript"/>
      <sz val="10"/>
      <name val="Arial Narrow"/>
      <family val="2"/>
    </font>
    <font>
      <b/>
      <sz val="12"/>
      <color theme="1"/>
      <name val="Arial Narrow"/>
      <family val="2"/>
    </font>
    <font>
      <sz val="10"/>
      <color theme="9" tint="-0.249977111117893"/>
      <name val="Arial Narrow"/>
      <family val="2"/>
    </font>
    <font>
      <vertAlign val="subscript"/>
      <sz val="10"/>
      <name val="Arial Narrow"/>
      <family val="2"/>
    </font>
    <font>
      <sz val="10"/>
      <color theme="1"/>
      <name val="Bookman Old Style"/>
      <family val="1"/>
    </font>
    <font>
      <sz val="9"/>
      <color indexed="81"/>
      <name val="Tahoma"/>
      <family val="2"/>
    </font>
    <font>
      <b/>
      <sz val="9"/>
      <color indexed="81"/>
      <name val="Tahoma"/>
      <family val="2"/>
    </font>
    <font>
      <sz val="10"/>
      <name val="Calibri"/>
      <family val="2"/>
      <scheme val="minor"/>
    </font>
    <font>
      <sz val="10"/>
      <color theme="1"/>
      <name val="Calibri"/>
      <family val="2"/>
      <scheme val="minor"/>
    </font>
    <font>
      <b/>
      <sz val="12"/>
      <color theme="1"/>
      <name val="Calibri"/>
      <family val="2"/>
      <scheme val="minor"/>
    </font>
    <font>
      <vertAlign val="superscript"/>
      <sz val="9"/>
      <color indexed="81"/>
      <name val="Tahoma"/>
      <family val="2"/>
    </font>
    <font>
      <b/>
      <sz val="10"/>
      <name val="ArialMT"/>
    </font>
    <font>
      <sz val="11"/>
      <name val="Calibri"/>
      <family val="2"/>
      <scheme val="minor"/>
    </font>
    <font>
      <sz val="11"/>
      <color theme="0"/>
      <name val="Calibri"/>
      <family val="2"/>
      <scheme val="minor"/>
    </font>
    <font>
      <sz val="12"/>
      <color theme="1"/>
      <name val="ArialMT"/>
      <family val="2"/>
    </font>
    <font>
      <b/>
      <sz val="11"/>
      <name val="Calibri"/>
      <family val="2"/>
      <scheme val="minor"/>
    </font>
    <font>
      <b/>
      <sz val="9"/>
      <name val="Calibri"/>
      <family val="2"/>
      <scheme val="minor"/>
    </font>
    <font>
      <b/>
      <sz val="8"/>
      <name val="Calibri"/>
      <family val="2"/>
      <scheme val="minor"/>
    </font>
    <font>
      <b/>
      <sz val="11"/>
      <color theme="1"/>
      <name val="ArialMT"/>
    </font>
    <font>
      <sz val="9"/>
      <name val="Calibri"/>
      <family val="2"/>
      <scheme val="minor"/>
    </font>
    <font>
      <u/>
      <sz val="11"/>
      <color rgb="FF0563C1"/>
      <name val="Calibri"/>
      <family val="2"/>
      <scheme val="minor"/>
    </font>
    <font>
      <sz val="11"/>
      <color theme="9" tint="0.79998168889431442"/>
      <name val="Calibri"/>
      <family val="2"/>
      <scheme val="minor"/>
    </font>
    <font>
      <sz val="11"/>
      <color theme="9" tint="0.59999389629810485"/>
      <name val="Calibri"/>
      <family val="2"/>
      <scheme val="minor"/>
    </font>
    <font>
      <sz val="11"/>
      <color theme="9" tint="0.39997558519241921"/>
      <name val="Calibri"/>
      <family val="2"/>
      <scheme val="minor"/>
    </font>
    <font>
      <sz val="11"/>
      <color theme="9" tint="-0.249977111117893"/>
      <name val="Calibri"/>
      <family val="2"/>
      <scheme val="minor"/>
    </font>
    <font>
      <sz val="8"/>
      <name val="Calibri"/>
      <family val="2"/>
      <scheme val="minor"/>
    </font>
    <font>
      <sz val="11"/>
      <color theme="9" tint="-0.499984740745262"/>
      <name val="Calibri"/>
      <family val="2"/>
      <scheme val="minor"/>
    </font>
    <font>
      <sz val="11"/>
      <color rgb="FF00B050"/>
      <name val="Calibri"/>
      <family val="2"/>
      <scheme val="minor"/>
    </font>
    <font>
      <sz val="11"/>
      <name val="Calibri"/>
      <family val="2"/>
    </font>
    <font>
      <sz val="11"/>
      <color theme="8" tint="-0.249977111117893"/>
      <name val="Calibri"/>
      <family val="2"/>
      <scheme val="minor"/>
    </font>
    <font>
      <sz val="11"/>
      <color theme="7" tint="0.79998168889431442"/>
      <name val="Calibri"/>
      <family val="2"/>
      <scheme val="minor"/>
    </font>
    <font>
      <sz val="11"/>
      <color rgb="FF7030A0"/>
      <name val="Calibri"/>
      <family val="2"/>
      <scheme val="minor"/>
    </font>
    <font>
      <sz val="11"/>
      <color theme="7" tint="0.59999389629810485"/>
      <name val="Calibri"/>
      <family val="2"/>
      <scheme val="minor"/>
    </font>
    <font>
      <sz val="11"/>
      <color theme="7" tint="0.39997558519241921"/>
      <name val="Calibri"/>
      <family val="2"/>
      <scheme val="minor"/>
    </font>
    <font>
      <sz val="11"/>
      <color rgb="FF7030A0"/>
      <name val="Calibri (Cuerpo)_x0000_"/>
    </font>
    <font>
      <sz val="11"/>
      <color theme="8" tint="0.79998168889431442"/>
      <name val="Calibri"/>
      <family val="2"/>
      <scheme val="minor"/>
    </font>
    <font>
      <sz val="11"/>
      <color theme="8" tint="0.59999389629810485"/>
      <name val="Calibri"/>
      <family val="2"/>
      <scheme val="minor"/>
    </font>
    <font>
      <sz val="11"/>
      <color theme="8" tint="0.39997558519241921"/>
      <name val="Calibri"/>
      <family val="2"/>
      <scheme val="minor"/>
    </font>
    <font>
      <sz val="11"/>
      <color theme="5" tint="0.79998168889431442"/>
      <name val="Calibri"/>
      <family val="2"/>
      <scheme val="minor"/>
    </font>
    <font>
      <sz val="11"/>
      <color theme="5" tint="0.59999389629810485"/>
      <name val="Calibri"/>
      <family val="2"/>
      <scheme val="minor"/>
    </font>
    <font>
      <vertAlign val="superscript"/>
      <sz val="11"/>
      <name val="Calibri"/>
      <family val="2"/>
      <scheme val="minor"/>
    </font>
    <font>
      <sz val="11"/>
      <color theme="5" tint="0.39997558519241921"/>
      <name val="Calibri"/>
      <family val="2"/>
      <scheme val="minor"/>
    </font>
    <font>
      <sz val="11"/>
      <color theme="4" tint="0.79998168889431442"/>
      <name val="Calibri"/>
      <family val="2"/>
      <scheme val="minor"/>
    </font>
    <font>
      <sz val="11"/>
      <color theme="4" tint="0.59999389629810485"/>
      <name val="Calibri"/>
      <family val="2"/>
      <scheme val="minor"/>
    </font>
    <font>
      <sz val="11"/>
      <color rgb="FF438F60"/>
      <name val="Calibri"/>
      <family val="2"/>
      <scheme val="minor"/>
    </font>
    <font>
      <sz val="11"/>
      <color theme="4" tint="0.39997558519241921"/>
      <name val="Calibri"/>
      <family val="2"/>
      <scheme val="minor"/>
    </font>
    <font>
      <sz val="11"/>
      <color theme="4" tint="-0.249977111117893"/>
      <name val="Calibri"/>
      <family val="2"/>
      <scheme val="minor"/>
    </font>
    <font>
      <b/>
      <sz val="9"/>
      <color rgb="FF000000"/>
      <name val="Tahoma"/>
      <family val="2"/>
    </font>
    <font>
      <sz val="9"/>
      <color rgb="FF000000"/>
      <name val="Tahoma"/>
      <family val="2"/>
    </font>
    <font>
      <b/>
      <sz val="10"/>
      <color rgb="FF000000"/>
      <name val="Tahoma"/>
      <family val="2"/>
    </font>
    <font>
      <sz val="10"/>
      <color rgb="FF000000"/>
      <name val="Tahoma"/>
      <family val="2"/>
    </font>
    <font>
      <b/>
      <sz val="14"/>
      <color rgb="FF000000"/>
      <name val="Tahoma"/>
      <family val="2"/>
    </font>
    <font>
      <sz val="14"/>
      <color rgb="FF000000"/>
      <name val="Tahoma"/>
      <family val="2"/>
    </font>
    <font>
      <b/>
      <sz val="10"/>
      <color rgb="FF000000"/>
      <name val="Calibri"/>
      <family val="2"/>
    </font>
    <font>
      <sz val="10"/>
      <color rgb="FF000000"/>
      <name val="Calibri"/>
      <family val="2"/>
    </font>
    <font>
      <b/>
      <sz val="14"/>
      <color indexed="81"/>
      <name val="Tahoma"/>
      <family val="2"/>
    </font>
    <font>
      <sz val="14"/>
      <color indexed="81"/>
      <name val="Tahoma"/>
      <family val="2"/>
    </font>
    <font>
      <b/>
      <sz val="9"/>
      <color rgb="FF000000"/>
      <name val="Calibri"/>
      <family val="2"/>
    </font>
    <font>
      <sz val="3"/>
      <color rgb="FF000000"/>
      <name val="Calibri"/>
      <family val="2"/>
    </font>
    <font>
      <b/>
      <sz val="18"/>
      <color rgb="FF000000"/>
      <name val="Calibri"/>
      <family val="2"/>
    </font>
    <font>
      <b/>
      <sz val="11"/>
      <color rgb="FF000000"/>
      <name val="Calibri"/>
      <family val="2"/>
    </font>
    <font>
      <sz val="6"/>
      <color rgb="FF000000"/>
      <name val="Calibri"/>
      <family val="2"/>
    </font>
    <font>
      <sz val="10"/>
      <color rgb="FF000000"/>
      <name val="Calibri"/>
      <family val="2"/>
      <scheme val="minor"/>
    </font>
    <font>
      <sz val="9"/>
      <color rgb="FF000000"/>
      <name val="Calibri"/>
      <family val="2"/>
      <scheme val="minor"/>
    </font>
    <font>
      <b/>
      <sz val="10"/>
      <color rgb="FF000000"/>
      <name val="Calibri"/>
      <family val="2"/>
      <scheme val="minor"/>
    </font>
    <font>
      <sz val="10.5"/>
      <color rgb="FF000000"/>
      <name val="Calibri"/>
      <family val="2"/>
    </font>
    <font>
      <sz val="5"/>
      <color rgb="FF000000"/>
      <name val="Calibri"/>
      <family val="2"/>
    </font>
    <font>
      <b/>
      <sz val="12"/>
      <color rgb="FF000000"/>
      <name val="Calibri"/>
      <family val="2"/>
    </font>
    <font>
      <sz val="7"/>
      <color rgb="FF000000"/>
      <name val="Calibri"/>
      <family val="2"/>
    </font>
    <font>
      <sz val="12"/>
      <color rgb="FF000000"/>
      <name val="Calibri"/>
      <family val="2"/>
    </font>
    <font>
      <sz val="10"/>
      <color rgb="FFFF0000"/>
      <name val="Calibri"/>
      <family val="2"/>
    </font>
    <font>
      <sz val="6"/>
      <color rgb="FFFF0000"/>
      <name val="Tahoma"/>
      <family val="2"/>
    </font>
    <font>
      <sz val="11"/>
      <color rgb="FF000000"/>
      <name val="Calibri"/>
      <family val="2"/>
    </font>
    <font>
      <b/>
      <sz val="8"/>
      <color theme="0"/>
      <name val="Arial Narrow"/>
      <family val="2"/>
    </font>
    <font>
      <sz val="8"/>
      <color theme="9" tint="-0.249977111117893"/>
      <name val="Arial Narrow"/>
      <family val="2"/>
    </font>
    <font>
      <b/>
      <sz val="8"/>
      <color theme="9" tint="-0.249977111117893"/>
      <name val="Arial Narrow"/>
      <family val="2"/>
    </font>
    <font>
      <sz val="8"/>
      <color rgb="FFFFFF00"/>
      <name val="Arial Narrow"/>
      <family val="2"/>
    </font>
    <font>
      <b/>
      <sz val="8"/>
      <color rgb="FFFFFF00"/>
      <name val="Arial Narrow"/>
      <family val="2"/>
    </font>
    <font>
      <sz val="8"/>
      <color rgb="FF00B0F0"/>
      <name val="Arial Narrow"/>
      <family val="2"/>
    </font>
    <font>
      <b/>
      <sz val="8"/>
      <color rgb="FF00B0F0"/>
      <name val="Arial Narrow"/>
      <family val="2"/>
    </font>
    <font>
      <sz val="8"/>
      <color rgb="FF0070C0"/>
      <name val="Arial Narrow"/>
      <family val="2"/>
    </font>
    <font>
      <b/>
      <sz val="8"/>
      <color rgb="FF0070C0"/>
      <name val="Arial Narrow"/>
      <family val="2"/>
    </font>
    <font>
      <b/>
      <sz val="10"/>
      <color theme="0"/>
      <name val="Arial Narrow"/>
      <family val="2"/>
    </font>
    <font>
      <sz val="10"/>
      <name val="Arial"/>
      <family val="2"/>
    </font>
    <font>
      <b/>
      <sz val="8"/>
      <color theme="1"/>
      <name val="Arial Narrow"/>
      <family val="2"/>
    </font>
    <font>
      <sz val="12"/>
      <color theme="1"/>
      <name val="Calibri"/>
      <family val="2"/>
    </font>
    <font>
      <b/>
      <sz val="12"/>
      <color theme="5"/>
      <name val="Calibri"/>
      <family val="2"/>
      <scheme val="minor"/>
    </font>
    <font>
      <b/>
      <sz val="10"/>
      <color theme="1"/>
      <name val="Calibri"/>
      <family val="2"/>
      <scheme val="minor"/>
    </font>
    <font>
      <sz val="10"/>
      <color rgb="FF000000"/>
      <name val="Arial Narrow"/>
      <family val="2"/>
    </font>
    <font>
      <b/>
      <sz val="12"/>
      <color theme="1"/>
      <name val="Bookman Old Style"/>
      <family val="1"/>
    </font>
    <font>
      <b/>
      <sz val="12"/>
      <color theme="1"/>
      <name val="Calibri"/>
      <family val="2"/>
    </font>
    <font>
      <b/>
      <sz val="10"/>
      <color rgb="FF000000"/>
      <name val="Arial Narrow"/>
      <family val="2"/>
    </font>
    <font>
      <b/>
      <sz val="10"/>
      <color theme="0"/>
      <name val="Arial"/>
      <family val="2"/>
    </font>
  </fonts>
  <fills count="61">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ED7D31"/>
        <bgColor indexed="64"/>
      </patternFill>
    </fill>
    <fill>
      <patternFill patternType="solid">
        <fgColor rgb="FF00B0F0"/>
        <bgColor indexed="64"/>
      </patternFill>
    </fill>
    <fill>
      <patternFill patternType="solid">
        <fgColor rgb="FFFF0000"/>
        <bgColor indexed="64"/>
      </patternFill>
    </fill>
    <fill>
      <patternFill patternType="solid">
        <fgColor theme="4" tint="0.59999389629810485"/>
        <bgColor indexed="64"/>
      </patternFill>
    </fill>
    <fill>
      <patternFill patternType="solid">
        <fgColor theme="7" tint="0.39997558519241921"/>
        <bgColor indexed="64"/>
      </patternFill>
    </fill>
    <fill>
      <patternFill patternType="solid">
        <fgColor rgb="FFFFCCFF"/>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9"/>
        <bgColor indexed="64"/>
      </patternFill>
    </fill>
    <fill>
      <patternFill patternType="solid">
        <fgColor theme="9" tint="-0.249977111117893"/>
        <bgColor indexed="64"/>
      </patternFill>
    </fill>
    <fill>
      <patternFill patternType="solid">
        <fgColor theme="9" tint="-0.499984740745262"/>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5"/>
        <bgColor indexed="64"/>
      </patternFill>
    </fill>
    <fill>
      <patternFill patternType="solid">
        <fgColor theme="5" tint="-0.249977111117893"/>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4"/>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3"/>
        <bgColor indexed="64"/>
      </patternFill>
    </fill>
    <fill>
      <patternFill patternType="solid">
        <fgColor theme="3" tint="-0.249977111117893"/>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5" tint="-0.49998474074526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8"/>
        <bgColor indexed="64"/>
      </patternFill>
    </fill>
    <fill>
      <patternFill patternType="solid">
        <fgColor theme="8" tint="-0.249977111117893"/>
        <bgColor indexed="64"/>
      </patternFill>
    </fill>
    <fill>
      <patternFill patternType="solid">
        <fgColor theme="8" tint="-0.499984740745262"/>
        <bgColor indexed="64"/>
      </patternFill>
    </fill>
    <fill>
      <patternFill patternType="solid">
        <fgColor rgb="FF002060"/>
        <bgColor indexed="64"/>
      </patternFill>
    </fill>
    <fill>
      <patternFill patternType="solid">
        <fgColor rgb="FF0070C0"/>
        <bgColor indexed="64"/>
      </patternFill>
    </fill>
    <fill>
      <patternFill patternType="solid">
        <fgColor theme="7" tint="-0.249977111117893"/>
        <bgColor indexed="64"/>
      </patternFill>
    </fill>
    <fill>
      <patternFill patternType="solid">
        <fgColor theme="7" tint="-0.499984740745262"/>
        <bgColor indexed="64"/>
      </patternFill>
    </fill>
    <fill>
      <patternFill patternType="solid">
        <fgColor rgb="FF00B050"/>
        <bgColor indexed="64"/>
      </patternFill>
    </fill>
    <fill>
      <patternFill patternType="solid">
        <fgColor rgb="FFC00000"/>
        <bgColor indexed="64"/>
      </patternFill>
    </fill>
    <fill>
      <patternFill patternType="solid">
        <fgColor rgb="FFFF3300"/>
        <bgColor indexed="64"/>
      </patternFill>
    </fill>
    <fill>
      <patternFill patternType="solid">
        <fgColor rgb="FFFFCC00"/>
        <bgColor indexed="64"/>
      </patternFill>
    </fill>
    <fill>
      <patternFill patternType="solid">
        <fgColor rgb="FFCC0000"/>
        <bgColor indexed="64"/>
      </patternFill>
    </fill>
    <fill>
      <patternFill patternType="solid">
        <fgColor rgb="FFFF6600"/>
        <bgColor indexed="64"/>
      </patternFill>
    </fill>
    <fill>
      <patternFill patternType="solid">
        <fgColor rgb="FFD60093"/>
        <bgColor indexed="64"/>
      </patternFill>
    </fill>
    <fill>
      <patternFill patternType="solid">
        <fgColor rgb="FFFF9900"/>
        <bgColor indexed="64"/>
      </patternFill>
    </fill>
    <fill>
      <patternFill patternType="solid">
        <fgColor rgb="FF92D050"/>
        <bgColor indexed="64"/>
      </patternFill>
    </fill>
  </fills>
  <borders count="10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style="dotted">
        <color indexed="64"/>
      </bottom>
      <diagonal/>
    </border>
    <border>
      <left/>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rgb="FF000000"/>
      </right>
      <top style="thin">
        <color rgb="FF000000"/>
      </top>
      <bottom/>
      <diagonal/>
    </border>
    <border>
      <left/>
      <right/>
      <top/>
      <bottom style="thin">
        <color rgb="FF000000"/>
      </bottom>
      <diagonal/>
    </border>
    <border>
      <left/>
      <right/>
      <top style="thin">
        <color rgb="FF000000"/>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rgb="FF000000"/>
      </right>
      <top/>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right/>
      <top style="thin">
        <color indexed="64"/>
      </top>
      <bottom style="medium">
        <color indexed="64"/>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medium">
        <color indexed="64"/>
      </bottom>
      <diagonal/>
    </border>
    <border>
      <left/>
      <right/>
      <top style="thin">
        <color rgb="FF000000"/>
      </top>
      <bottom style="medium">
        <color indexed="64"/>
      </bottom>
      <diagonal/>
    </border>
    <border>
      <left style="thin">
        <color rgb="FF000000"/>
      </left>
      <right/>
      <top style="thin">
        <color rgb="FF000000"/>
      </top>
      <bottom style="medium">
        <color indexed="64"/>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indexed="64"/>
      </right>
      <top/>
      <bottom style="medium">
        <color indexed="64"/>
      </bottom>
      <diagonal/>
    </border>
    <border>
      <left/>
      <right style="thin">
        <color rgb="FF000000"/>
      </right>
      <top style="thin">
        <color rgb="FF000000"/>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Dashed">
        <color theme="0" tint="-0.499984740745262"/>
      </left>
      <right/>
      <top style="medium">
        <color indexed="64"/>
      </top>
      <bottom style="thin">
        <color indexed="64"/>
      </bottom>
      <diagonal/>
    </border>
    <border>
      <left style="mediumDashed">
        <color theme="0" tint="-0.499984740745262"/>
      </left>
      <right/>
      <top/>
      <bottom style="thin">
        <color indexed="64"/>
      </bottom>
      <diagonal/>
    </border>
    <border>
      <left style="mediumDashed">
        <color theme="0" tint="-0.499984740745262"/>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10">
    <xf numFmtId="0" fontId="0" fillId="0" borderId="0"/>
    <xf numFmtId="0" fontId="5" fillId="0" borderId="0"/>
    <xf numFmtId="9" fontId="8" fillId="0" borderId="0" applyFont="0" applyFill="0" applyBorder="0" applyAlignment="0" applyProtection="0"/>
    <xf numFmtId="41" fontId="8" fillId="0" borderId="0" applyFont="0" applyFill="0" applyBorder="0" applyAlignment="0" applyProtection="0"/>
    <xf numFmtId="0" fontId="39" fillId="0" borderId="0"/>
    <xf numFmtId="0" fontId="3" fillId="0" borderId="0"/>
    <xf numFmtId="0" fontId="45" fillId="0" borderId="0" applyNumberFormat="0" applyFill="0" applyBorder="0" applyAlignment="0" applyProtection="0"/>
    <xf numFmtId="9" fontId="3"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cellStyleXfs>
  <cellXfs count="1144">
    <xf numFmtId="0" fontId="0" fillId="0" borderId="0" xfId="0"/>
    <xf numFmtId="0" fontId="5" fillId="0" borderId="0" xfId="1"/>
    <xf numFmtId="0" fontId="6" fillId="0" borderId="1" xfId="1" applyFont="1" applyBorder="1" applyAlignment="1">
      <alignment horizontal="center" vertical="center"/>
    </xf>
    <xf numFmtId="0" fontId="7" fillId="0" borderId="1" xfId="1" applyFont="1" applyBorder="1"/>
    <xf numFmtId="0" fontId="5" fillId="0" borderId="1" xfId="1" applyBorder="1"/>
    <xf numFmtId="0" fontId="9" fillId="0" borderId="0" xfId="0" applyFont="1" applyAlignment="1">
      <alignment vertical="center" wrapText="1"/>
    </xf>
    <xf numFmtId="0" fontId="9" fillId="0" borderId="0" xfId="0" applyFont="1" applyAlignment="1">
      <alignment horizontal="center" vertical="center" wrapText="1"/>
    </xf>
    <xf numFmtId="0" fontId="10" fillId="0" borderId="1" xfId="0" applyFont="1" applyBorder="1" applyAlignment="1">
      <alignment horizontal="center" vertical="center" wrapText="1"/>
    </xf>
    <xf numFmtId="0" fontId="9" fillId="0" borderId="3" xfId="0" applyFont="1" applyBorder="1" applyAlignment="1">
      <alignment vertical="center" wrapText="1"/>
    </xf>
    <xf numFmtId="0" fontId="14" fillId="0" borderId="5" xfId="0" applyFont="1" applyBorder="1" applyAlignment="1">
      <alignment vertical="center" wrapText="1"/>
    </xf>
    <xf numFmtId="0" fontId="9" fillId="0" borderId="1" xfId="0" applyFont="1" applyBorder="1" applyAlignment="1">
      <alignment vertical="center" wrapText="1"/>
    </xf>
    <xf numFmtId="0" fontId="12" fillId="0" borderId="7" xfId="0" applyFont="1" applyBorder="1" applyAlignment="1">
      <alignment vertical="center" wrapText="1"/>
    </xf>
    <xf numFmtId="0" fontId="9" fillId="0" borderId="7" xfId="0" applyFont="1" applyBorder="1" applyAlignment="1">
      <alignment vertical="center" wrapText="1"/>
    </xf>
    <xf numFmtId="0" fontId="9" fillId="0" borderId="5" xfId="0" applyFont="1" applyBorder="1" applyAlignment="1">
      <alignment vertical="center" wrapText="1"/>
    </xf>
    <xf numFmtId="0" fontId="9" fillId="0" borderId="4" xfId="0" applyFont="1" applyBorder="1" applyAlignment="1">
      <alignment vertical="center" wrapText="1"/>
    </xf>
    <xf numFmtId="0" fontId="9" fillId="0" borderId="8" xfId="0" applyFont="1" applyBorder="1" applyAlignment="1">
      <alignment vertical="center" wrapText="1"/>
    </xf>
    <xf numFmtId="0" fontId="13"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vertical="center" wrapText="1"/>
    </xf>
    <xf numFmtId="0" fontId="13" fillId="0" borderId="4" xfId="0" applyFont="1" applyBorder="1" applyAlignment="1">
      <alignment vertical="center" wrapText="1"/>
    </xf>
    <xf numFmtId="0" fontId="9" fillId="0" borderId="2" xfId="0" applyFont="1" applyBorder="1" applyAlignment="1">
      <alignment vertical="center" wrapText="1"/>
    </xf>
    <xf numFmtId="0" fontId="13" fillId="0" borderId="9" xfId="0" applyFont="1" applyBorder="1" applyAlignment="1">
      <alignment vertical="center" wrapText="1"/>
    </xf>
    <xf numFmtId="0" fontId="9" fillId="0" borderId="13" xfId="0" applyFont="1" applyBorder="1" applyAlignment="1">
      <alignment horizontal="center" vertical="center" wrapText="1"/>
    </xf>
    <xf numFmtId="0" fontId="10" fillId="0" borderId="2"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0" xfId="0" applyFont="1" applyBorder="1" applyAlignment="1">
      <alignment vertical="center" wrapText="1"/>
    </xf>
    <xf numFmtId="0" fontId="13" fillId="0" borderId="9" xfId="0" applyFont="1" applyBorder="1" applyAlignment="1">
      <alignment horizontal="center" vertical="center" wrapText="1"/>
    </xf>
    <xf numFmtId="0" fontId="12" fillId="0" borderId="5" xfId="0" applyFont="1" applyBorder="1" applyAlignment="1">
      <alignment vertical="center" wrapText="1"/>
    </xf>
    <xf numFmtId="0" fontId="12" fillId="0" borderId="15" xfId="0" applyFont="1" applyBorder="1" applyAlignment="1">
      <alignment vertical="center" wrapText="1"/>
    </xf>
    <xf numFmtId="0" fontId="12" fillId="0" borderId="8" xfId="0" applyFont="1" applyBorder="1" applyAlignment="1">
      <alignment vertical="center" wrapText="1"/>
    </xf>
    <xf numFmtId="0" fontId="13" fillId="0" borderId="11" xfId="0" applyFont="1" applyBorder="1" applyAlignment="1">
      <alignment vertical="center" wrapText="1"/>
    </xf>
    <xf numFmtId="0" fontId="12" fillId="0" borderId="9" xfId="0" applyFont="1" applyBorder="1" applyAlignment="1">
      <alignment vertical="center" wrapText="1"/>
    </xf>
    <xf numFmtId="0" fontId="12" fillId="0" borderId="1" xfId="0" applyFont="1" applyBorder="1" applyAlignment="1">
      <alignment vertical="center" wrapText="1"/>
    </xf>
    <xf numFmtId="0" fontId="4" fillId="0" borderId="0" xfId="1" applyFont="1"/>
    <xf numFmtId="0" fontId="4" fillId="0" borderId="1" xfId="1" applyFont="1" applyBorder="1"/>
    <xf numFmtId="0" fontId="9" fillId="0" borderId="1" xfId="0" applyFont="1" applyFill="1" applyBorder="1" applyAlignment="1">
      <alignment vertical="center" wrapText="1"/>
    </xf>
    <xf numFmtId="0" fontId="9" fillId="0" borderId="7" xfId="0" applyFont="1" applyBorder="1" applyAlignment="1">
      <alignment horizontal="center" vertical="center" wrapText="1"/>
    </xf>
    <xf numFmtId="0" fontId="19" fillId="0" borderId="5" xfId="0" applyFont="1" applyFill="1" applyBorder="1" applyAlignment="1">
      <alignment horizontal="center" vertical="center" wrapText="1"/>
    </xf>
    <xf numFmtId="9" fontId="9" fillId="0" borderId="0" xfId="2" applyFont="1" applyAlignment="1">
      <alignment vertical="center" wrapText="1"/>
    </xf>
    <xf numFmtId="0" fontId="10" fillId="0" borderId="1" xfId="0" applyFont="1" applyBorder="1" applyAlignment="1">
      <alignment vertical="center" wrapText="1"/>
    </xf>
    <xf numFmtId="9" fontId="9" fillId="0" borderId="0" xfId="0" applyNumberFormat="1" applyFont="1" applyAlignment="1">
      <alignment vertical="center" wrapText="1"/>
    </xf>
    <xf numFmtId="9" fontId="20" fillId="0" borderId="5" xfId="2" applyFont="1" applyBorder="1" applyAlignment="1">
      <alignment vertical="center" wrapText="1"/>
    </xf>
    <xf numFmtId="165" fontId="10" fillId="0" borderId="2" xfId="3" applyNumberFormat="1" applyFont="1" applyBorder="1" applyAlignment="1">
      <alignment horizontal="center" vertical="center" wrapText="1"/>
    </xf>
    <xf numFmtId="166" fontId="9" fillId="0" borderId="0" xfId="2" applyNumberFormat="1" applyFont="1" applyAlignment="1">
      <alignment vertical="center" wrapText="1"/>
    </xf>
    <xf numFmtId="0" fontId="13" fillId="0" borderId="6" xfId="0" applyFont="1" applyBorder="1" applyAlignment="1">
      <alignment vertical="center" wrapText="1"/>
    </xf>
    <xf numFmtId="0" fontId="10" fillId="0" borderId="2" xfId="0" applyFont="1" applyFill="1" applyBorder="1" applyAlignment="1">
      <alignment horizontal="center" vertical="center" wrapText="1"/>
    </xf>
    <xf numFmtId="0" fontId="9" fillId="0" borderId="2" xfId="0" applyFont="1" applyFill="1" applyBorder="1" applyAlignment="1">
      <alignment vertical="center" wrapText="1"/>
    </xf>
    <xf numFmtId="0" fontId="12" fillId="0" borderId="2" xfId="0" applyFont="1" applyFill="1" applyBorder="1" applyAlignment="1">
      <alignment vertical="center" wrapText="1"/>
    </xf>
    <xf numFmtId="0" fontId="12" fillId="0" borderId="1" xfId="0" applyFont="1" applyFill="1" applyBorder="1" applyAlignment="1">
      <alignment vertical="center" wrapText="1"/>
    </xf>
    <xf numFmtId="9" fontId="9" fillId="0" borderId="1" xfId="0" applyNumberFormat="1" applyFont="1" applyBorder="1" applyAlignment="1">
      <alignment vertical="center" wrapText="1"/>
    </xf>
    <xf numFmtId="0" fontId="9" fillId="0" borderId="2" xfId="0" applyFont="1" applyFill="1" applyBorder="1" applyAlignment="1">
      <alignment horizontal="right" vertical="center" wrapText="1"/>
    </xf>
    <xf numFmtId="9" fontId="9" fillId="0" borderId="2" xfId="0" applyNumberFormat="1" applyFont="1" applyFill="1" applyBorder="1" applyAlignment="1">
      <alignment horizontal="right" vertical="center" wrapText="1"/>
    </xf>
    <xf numFmtId="0" fontId="14" fillId="0" borderId="4" xfId="0" applyFont="1" applyBorder="1" applyAlignment="1">
      <alignment vertical="center" wrapText="1"/>
    </xf>
    <xf numFmtId="0" fontId="13" fillId="0" borderId="12" xfId="0" applyFont="1" applyBorder="1" applyAlignment="1">
      <alignment horizontal="center" vertical="center" wrapText="1"/>
    </xf>
    <xf numFmtId="0" fontId="13" fillId="0" borderId="14" xfId="0" applyFont="1" applyBorder="1" applyAlignment="1">
      <alignment horizontal="center" vertical="center" wrapText="1"/>
    </xf>
    <xf numFmtId="164" fontId="9" fillId="0" borderId="0" xfId="0" applyNumberFormat="1" applyFont="1" applyAlignment="1">
      <alignment vertical="center" wrapText="1"/>
    </xf>
    <xf numFmtId="0" fontId="12" fillId="0" borderId="11" xfId="0" applyFont="1" applyBorder="1" applyAlignment="1">
      <alignment horizontal="center" vertical="center" wrapText="1"/>
    </xf>
    <xf numFmtId="0" fontId="18" fillId="2" borderId="5" xfId="0" applyFont="1" applyFill="1" applyBorder="1" applyAlignment="1">
      <alignment vertical="center" wrapText="1"/>
    </xf>
    <xf numFmtId="0" fontId="12" fillId="0" borderId="3" xfId="0" applyFont="1" applyBorder="1" applyAlignment="1">
      <alignment vertical="center" wrapText="1"/>
    </xf>
    <xf numFmtId="0" fontId="9" fillId="0" borderId="0" xfId="0" applyFont="1" applyFill="1" applyAlignment="1">
      <alignment vertical="center" wrapText="1"/>
    </xf>
    <xf numFmtId="0" fontId="9" fillId="0" borderId="3" xfId="0" applyFont="1" applyFill="1" applyBorder="1" applyAlignment="1">
      <alignment vertical="center" wrapText="1"/>
    </xf>
    <xf numFmtId="0" fontId="13" fillId="0" borderId="4" xfId="0" applyFont="1" applyFill="1" applyBorder="1" applyAlignment="1">
      <alignment horizontal="center" vertical="center" wrapText="1"/>
    </xf>
    <xf numFmtId="0" fontId="13" fillId="0" borderId="4" xfId="0" applyFont="1" applyFill="1" applyBorder="1" applyAlignment="1">
      <alignment vertical="center" wrapText="1"/>
    </xf>
    <xf numFmtId="0" fontId="9" fillId="0" borderId="4" xfId="0" applyFont="1" applyFill="1" applyBorder="1" applyAlignment="1">
      <alignment vertical="center" wrapText="1"/>
    </xf>
    <xf numFmtId="0" fontId="12" fillId="0" borderId="5" xfId="0" applyFont="1" applyFill="1" applyBorder="1" applyAlignment="1">
      <alignment vertical="center" wrapText="1"/>
    </xf>
    <xf numFmtId="9" fontId="9" fillId="0" borderId="4" xfId="0" applyNumberFormat="1" applyFont="1" applyBorder="1" applyAlignment="1">
      <alignment vertical="center" wrapText="1"/>
    </xf>
    <xf numFmtId="0" fontId="9" fillId="0" borderId="10" xfId="0" applyFont="1" applyFill="1" applyBorder="1" applyAlignment="1">
      <alignment vertical="center" wrapText="1"/>
    </xf>
    <xf numFmtId="0" fontId="12" fillId="0" borderId="0" xfId="0" applyFont="1" applyAlignment="1">
      <alignment vertical="center" wrapText="1"/>
    </xf>
    <xf numFmtId="0" fontId="12" fillId="0" borderId="2" xfId="0" applyFont="1" applyFill="1" applyBorder="1" applyAlignment="1">
      <alignment horizontal="right" vertical="center" wrapText="1"/>
    </xf>
    <xf numFmtId="2" fontId="9" fillId="0" borderId="0" xfId="0" applyNumberFormat="1" applyFont="1" applyAlignment="1">
      <alignment vertical="center" wrapText="1"/>
    </xf>
    <xf numFmtId="0" fontId="9" fillId="0" borderId="3" xfId="0" applyFont="1" applyFill="1" applyBorder="1" applyAlignment="1">
      <alignment horizontal="center" vertical="center" wrapText="1"/>
    </xf>
    <xf numFmtId="0" fontId="9" fillId="0" borderId="17" xfId="0" applyFont="1" applyBorder="1" applyAlignment="1">
      <alignment vertical="center" wrapText="1"/>
    </xf>
    <xf numFmtId="9" fontId="9" fillId="0" borderId="17" xfId="0" applyNumberFormat="1" applyFont="1" applyBorder="1" applyAlignment="1">
      <alignment horizontal="center" vertical="center" wrapText="1"/>
    </xf>
    <xf numFmtId="0" fontId="26" fillId="0" borderId="0" xfId="0" applyFont="1" applyAlignment="1">
      <alignment vertical="center" wrapText="1"/>
    </xf>
    <xf numFmtId="0" fontId="10" fillId="0" borderId="3"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0" xfId="0" applyFont="1" applyBorder="1" applyAlignment="1">
      <alignment horizontal="center" vertical="center" wrapText="1"/>
    </xf>
    <xf numFmtId="0" fontId="12" fillId="0" borderId="1" xfId="0" applyFont="1" applyBorder="1" applyAlignment="1">
      <alignment horizontal="center" vertical="center" wrapText="1"/>
    </xf>
    <xf numFmtId="165" fontId="9" fillId="0" borderId="0" xfId="3" applyNumberFormat="1" applyFont="1" applyAlignment="1">
      <alignment horizontal="center" vertical="center" wrapText="1"/>
    </xf>
    <xf numFmtId="165" fontId="10" fillId="0" borderId="2" xfId="3" applyNumberFormat="1" applyFont="1" applyFill="1" applyBorder="1" applyAlignment="1">
      <alignment horizontal="center" vertical="center" wrapText="1"/>
    </xf>
    <xf numFmtId="165" fontId="9" fillId="0" borderId="2" xfId="3" applyNumberFormat="1" applyFont="1" applyFill="1" applyBorder="1" applyAlignment="1">
      <alignment horizontal="center" vertical="center" wrapText="1"/>
    </xf>
    <xf numFmtId="0" fontId="22"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165" fontId="9" fillId="0" borderId="1" xfId="3" applyNumberFormat="1" applyFont="1" applyFill="1" applyBorder="1" applyAlignment="1">
      <alignment horizontal="center" vertical="center" wrapText="1"/>
    </xf>
    <xf numFmtId="9" fontId="9" fillId="0" borderId="1" xfId="2" applyFont="1" applyFill="1" applyBorder="1" applyAlignment="1">
      <alignment horizontal="center" vertical="center" wrapText="1"/>
    </xf>
    <xf numFmtId="9" fontId="9" fillId="0" borderId="2" xfId="2" applyFont="1" applyFill="1" applyBorder="1" applyAlignment="1">
      <alignment horizontal="center" vertical="center" wrapText="1"/>
    </xf>
    <xf numFmtId="0" fontId="12"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9" fontId="9" fillId="0" borderId="2" xfId="0" applyNumberFormat="1" applyFont="1" applyFill="1" applyBorder="1" applyAlignment="1">
      <alignment horizontal="center" vertical="center" wrapText="1"/>
    </xf>
    <xf numFmtId="9" fontId="9" fillId="0" borderId="2" xfId="2" applyNumberFormat="1" applyFont="1" applyFill="1" applyBorder="1" applyAlignment="1">
      <alignment horizontal="center" vertical="center" wrapText="1"/>
    </xf>
    <xf numFmtId="9" fontId="12" fillId="0" borderId="2" xfId="0" applyNumberFormat="1" applyFont="1" applyFill="1" applyBorder="1" applyAlignment="1">
      <alignment horizontal="center" vertical="center" wrapText="1"/>
    </xf>
    <xf numFmtId="0" fontId="9" fillId="0" borderId="2" xfId="3" applyNumberFormat="1" applyFont="1" applyFill="1" applyBorder="1" applyAlignment="1">
      <alignment horizontal="center" vertical="center" wrapText="1"/>
    </xf>
    <xf numFmtId="9" fontId="9" fillId="0" borderId="1" xfId="0" applyNumberFormat="1" applyFont="1" applyFill="1" applyBorder="1" applyAlignment="1">
      <alignment horizontal="center" vertical="center" wrapText="1"/>
    </xf>
    <xf numFmtId="0" fontId="9" fillId="0" borderId="4" xfId="0" applyFont="1" applyFill="1" applyBorder="1" applyAlignment="1">
      <alignment horizontal="center" vertical="center" wrapText="1"/>
    </xf>
    <xf numFmtId="9" fontId="12" fillId="0" borderId="1" xfId="0" applyNumberFormat="1" applyFont="1" applyFill="1" applyBorder="1" applyAlignment="1">
      <alignment horizontal="center" vertical="center" wrapText="1"/>
    </xf>
    <xf numFmtId="0" fontId="9" fillId="0" borderId="2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7" xfId="0" applyFont="1" applyBorder="1" applyAlignment="1">
      <alignment horizontal="centerContinuous" vertical="center" wrapText="1"/>
    </xf>
    <xf numFmtId="0" fontId="9" fillId="0" borderId="21" xfId="0" applyFont="1" applyBorder="1" applyAlignment="1">
      <alignment horizontal="centerContinuous" vertical="center" wrapText="1"/>
    </xf>
    <xf numFmtId="0" fontId="12" fillId="0" borderId="1" xfId="0" applyFont="1" applyBorder="1" applyAlignment="1">
      <alignment horizontal="centerContinuous" vertical="center" wrapText="1"/>
    </xf>
    <xf numFmtId="0" fontId="9" fillId="0" borderId="1" xfId="0" applyFont="1" applyBorder="1" applyAlignment="1">
      <alignment horizontal="centerContinuous" vertical="center" wrapText="1"/>
    </xf>
    <xf numFmtId="0" fontId="9" fillId="0" borderId="2" xfId="0" applyFont="1" applyBorder="1" applyAlignment="1">
      <alignment horizontal="centerContinuous" vertical="center" wrapText="1"/>
    </xf>
    <xf numFmtId="10" fontId="9" fillId="0" borderId="2" xfId="0" applyNumberFormat="1" applyFont="1" applyFill="1" applyBorder="1" applyAlignment="1">
      <alignment horizontal="center" vertical="center" wrapText="1"/>
    </xf>
    <xf numFmtId="2" fontId="12" fillId="0" borderId="2" xfId="0" applyNumberFormat="1" applyFont="1" applyFill="1" applyBorder="1" applyAlignment="1">
      <alignment horizontal="center" vertical="center" wrapText="1"/>
    </xf>
    <xf numFmtId="10" fontId="12" fillId="0" borderId="1" xfId="0" applyNumberFormat="1" applyFont="1" applyFill="1" applyBorder="1" applyAlignment="1">
      <alignment horizontal="center" vertical="center" wrapText="1"/>
    </xf>
    <xf numFmtId="9" fontId="12" fillId="0" borderId="2" xfId="2" applyFont="1" applyFill="1" applyBorder="1" applyAlignment="1">
      <alignment horizontal="center" vertical="center" wrapText="1"/>
    </xf>
    <xf numFmtId="9" fontId="12" fillId="0" borderId="2" xfId="2" applyNumberFormat="1" applyFont="1" applyFill="1" applyBorder="1" applyAlignment="1">
      <alignment horizontal="center" vertical="center" wrapText="1"/>
    </xf>
    <xf numFmtId="0" fontId="12" fillId="0" borderId="5" xfId="0" applyFont="1" applyFill="1" applyBorder="1" applyAlignment="1">
      <alignment horizontal="center" vertical="center" wrapText="1"/>
    </xf>
    <xf numFmtId="9" fontId="9" fillId="0" borderId="10" xfId="0" applyNumberFormat="1" applyFont="1" applyFill="1" applyBorder="1" applyAlignment="1">
      <alignment horizontal="center" vertical="center" wrapText="1"/>
    </xf>
    <xf numFmtId="166" fontId="9" fillId="0" borderId="10" xfId="0" applyNumberFormat="1" applyFont="1" applyFill="1" applyBorder="1" applyAlignment="1">
      <alignment horizontal="center" vertical="center" wrapText="1"/>
    </xf>
    <xf numFmtId="1" fontId="9" fillId="0" borderId="2" xfId="3" applyNumberFormat="1"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0" fontId="9" fillId="0" borderId="22" xfId="0" applyFont="1" applyBorder="1" applyAlignment="1">
      <alignment vertical="center" wrapText="1"/>
    </xf>
    <xf numFmtId="0" fontId="9" fillId="2" borderId="1" xfId="0" applyFont="1" applyFill="1" applyBorder="1" applyAlignment="1">
      <alignment vertical="center" wrapText="1"/>
    </xf>
    <xf numFmtId="10" fontId="12" fillId="0" borderId="10" xfId="0" applyNumberFormat="1" applyFont="1" applyFill="1" applyBorder="1" applyAlignment="1">
      <alignment horizontal="center" vertical="center" wrapText="1"/>
    </xf>
    <xf numFmtId="165" fontId="12" fillId="0" borderId="1" xfId="3" applyNumberFormat="1" applyFont="1" applyFill="1" applyBorder="1" applyAlignment="1">
      <alignment horizontal="center" vertical="center" wrapText="1"/>
    </xf>
    <xf numFmtId="165" fontId="9" fillId="0" borderId="2" xfId="3" applyNumberFormat="1" applyFont="1" applyFill="1" applyBorder="1" applyAlignment="1">
      <alignment horizontal="right" vertical="center" wrapText="1"/>
    </xf>
    <xf numFmtId="0" fontId="9" fillId="0" borderId="2" xfId="3" applyNumberFormat="1" applyFont="1" applyFill="1" applyBorder="1" applyAlignment="1">
      <alignment vertical="center" wrapText="1"/>
    </xf>
    <xf numFmtId="0" fontId="12" fillId="0" borderId="2" xfId="3" applyNumberFormat="1" applyFont="1" applyFill="1" applyBorder="1" applyAlignment="1">
      <alignment horizontal="center" vertical="center" wrapText="1"/>
    </xf>
    <xf numFmtId="0" fontId="12" fillId="0" borderId="1" xfId="0" applyFont="1" applyBorder="1" applyAlignment="1">
      <alignment horizontal="left" vertical="center" wrapText="1"/>
    </xf>
    <xf numFmtId="0" fontId="9" fillId="0" borderId="1" xfId="0" applyFont="1" applyBorder="1" applyAlignment="1">
      <alignment horizontal="left" vertical="center" wrapText="1"/>
    </xf>
    <xf numFmtId="0" fontId="9" fillId="0" borderId="3" xfId="0" applyFont="1" applyBorder="1" applyAlignment="1">
      <alignment horizontal="left" vertical="center" wrapText="1"/>
    </xf>
    <xf numFmtId="0" fontId="9" fillId="0" borderId="5" xfId="0" applyFont="1" applyBorder="1" applyAlignment="1">
      <alignment horizontal="left" vertical="center" wrapText="1"/>
    </xf>
    <xf numFmtId="0" fontId="13" fillId="0" borderId="5" xfId="0" applyFont="1" applyBorder="1" applyAlignment="1">
      <alignment horizontal="left" vertical="center" wrapText="1"/>
    </xf>
    <xf numFmtId="0" fontId="12" fillId="0" borderId="5" xfId="0" applyFont="1" applyBorder="1" applyAlignment="1">
      <alignment horizontal="left" vertical="center" wrapText="1"/>
    </xf>
    <xf numFmtId="0" fontId="13" fillId="0" borderId="4" xfId="0" applyFont="1" applyBorder="1" applyAlignment="1">
      <alignment horizontal="left" vertical="center" wrapText="1"/>
    </xf>
    <xf numFmtId="0" fontId="12" fillId="0" borderId="9" xfId="0" applyFont="1" applyBorder="1" applyAlignment="1">
      <alignment horizontal="left" vertical="center" wrapText="1"/>
    </xf>
    <xf numFmtId="0" fontId="9" fillId="0" borderId="10" xfId="0" applyFont="1" applyBorder="1" applyAlignment="1">
      <alignment horizontal="left" vertical="center" wrapText="1"/>
    </xf>
    <xf numFmtId="0" fontId="9" fillId="0" borderId="18" xfId="0" applyFont="1" applyBorder="1" applyAlignment="1">
      <alignment horizontal="left" vertical="center" wrapText="1"/>
    </xf>
    <xf numFmtId="0" fontId="9" fillId="0" borderId="0" xfId="0" applyFont="1" applyAlignment="1">
      <alignment horizontal="left" vertical="center" wrapText="1"/>
    </xf>
    <xf numFmtId="0" fontId="12" fillId="0" borderId="2" xfId="0" applyFont="1" applyBorder="1" applyAlignment="1">
      <alignment horizontal="centerContinuous" vertical="center" wrapText="1"/>
    </xf>
    <xf numFmtId="165" fontId="12" fillId="3" borderId="2" xfId="3" applyNumberFormat="1" applyFont="1" applyFill="1" applyBorder="1" applyAlignment="1">
      <alignment horizontal="center" vertical="center" wrapText="1"/>
    </xf>
    <xf numFmtId="165" fontId="9" fillId="3" borderId="2" xfId="3" applyNumberFormat="1" applyFont="1" applyFill="1" applyBorder="1" applyAlignment="1">
      <alignment horizontal="center" vertical="center" wrapText="1"/>
    </xf>
    <xf numFmtId="165" fontId="12" fillId="3" borderId="1" xfId="3" applyNumberFormat="1" applyFont="1" applyFill="1" applyBorder="1" applyAlignment="1">
      <alignment horizontal="center" vertical="center" wrapText="1"/>
    </xf>
    <xf numFmtId="166" fontId="12" fillId="0" borderId="2" xfId="0" applyNumberFormat="1" applyFont="1" applyFill="1" applyBorder="1" applyAlignment="1">
      <alignment horizontal="center" vertical="center" wrapText="1"/>
    </xf>
    <xf numFmtId="0" fontId="9" fillId="4" borderId="1" xfId="0" applyFont="1" applyFill="1" applyBorder="1" applyAlignment="1">
      <alignment vertical="center" wrapText="1"/>
    </xf>
    <xf numFmtId="0" fontId="12" fillId="0" borderId="0" xfId="0" applyFont="1" applyBorder="1" applyAlignment="1">
      <alignment vertical="center" wrapText="1"/>
    </xf>
    <xf numFmtId="0" fontId="12" fillId="2" borderId="1" xfId="0" applyFont="1" applyFill="1" applyBorder="1" applyAlignment="1">
      <alignment vertical="center" wrapText="1"/>
    </xf>
    <xf numFmtId="10" fontId="9" fillId="0" borderId="2" xfId="3" applyNumberFormat="1" applyFont="1" applyFill="1" applyBorder="1" applyAlignment="1">
      <alignment horizontal="center" vertical="center" wrapText="1"/>
    </xf>
    <xf numFmtId="0" fontId="9" fillId="0" borderId="3"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4" xfId="0" applyFont="1" applyBorder="1" applyAlignment="1">
      <alignment horizontal="center" vertical="center" wrapText="1"/>
    </xf>
    <xf numFmtId="0" fontId="12" fillId="0" borderId="3" xfId="0" applyFont="1" applyBorder="1" applyAlignment="1">
      <alignment horizontal="left" vertical="center" wrapText="1"/>
    </xf>
    <xf numFmtId="0" fontId="12" fillId="0" borderId="4" xfId="0" applyFont="1" applyBorder="1" applyAlignment="1">
      <alignment horizontal="left"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4" xfId="0" applyFont="1" applyBorder="1" applyAlignment="1">
      <alignment horizontal="center" vertical="center" wrapText="1"/>
    </xf>
    <xf numFmtId="0" fontId="9" fillId="0" borderId="17" xfId="0" applyFont="1" applyFill="1" applyBorder="1" applyAlignment="1">
      <alignment horizontal="center" vertical="center" wrapText="1"/>
    </xf>
    <xf numFmtId="0" fontId="9" fillId="0" borderId="8" xfId="0" applyFont="1" applyBorder="1" applyAlignment="1">
      <alignment horizontal="center" vertical="center" wrapText="1"/>
    </xf>
    <xf numFmtId="0" fontId="9" fillId="0" borderId="19" xfId="0" applyFont="1" applyBorder="1" applyAlignment="1">
      <alignment horizontal="center" vertical="center" wrapText="1"/>
    </xf>
    <xf numFmtId="0" fontId="12" fillId="0" borderId="3" xfId="0" applyFont="1" applyBorder="1" applyAlignment="1">
      <alignment horizontal="left" vertical="center" wrapText="1"/>
    </xf>
    <xf numFmtId="0" fontId="12" fillId="0" borderId="3" xfId="0" applyFont="1" applyBorder="1" applyAlignment="1">
      <alignment horizontal="center" vertical="center" wrapText="1"/>
    </xf>
    <xf numFmtId="0" fontId="9" fillId="0" borderId="17" xfId="0" applyFont="1" applyBorder="1" applyAlignment="1">
      <alignment horizontal="left" vertical="center" wrapText="1"/>
    </xf>
    <xf numFmtId="0" fontId="18" fillId="0" borderId="5" xfId="0" applyFont="1" applyFill="1" applyBorder="1" applyAlignment="1">
      <alignment vertical="center" wrapText="1"/>
    </xf>
    <xf numFmtId="0" fontId="10" fillId="0" borderId="1" xfId="0" applyFont="1" applyBorder="1" applyAlignment="1">
      <alignment horizontal="left" vertical="center" wrapText="1"/>
    </xf>
    <xf numFmtId="0" fontId="9" fillId="0" borderId="4" xfId="0" applyFont="1" applyBorder="1" applyAlignment="1">
      <alignment horizontal="left" vertical="center" wrapText="1"/>
    </xf>
    <xf numFmtId="0" fontId="12" fillId="0" borderId="7" xfId="0" applyFont="1" applyBorder="1" applyAlignment="1">
      <alignment horizontal="centerContinuous" vertical="center" wrapText="1"/>
    </xf>
    <xf numFmtId="0" fontId="12" fillId="0" borderId="2" xfId="0" applyFont="1" applyBorder="1" applyAlignment="1">
      <alignment horizontal="left" vertical="center" wrapText="1"/>
    </xf>
    <xf numFmtId="0" fontId="9" fillId="0" borderId="2" xfId="0" applyFont="1" applyBorder="1" applyAlignment="1">
      <alignment horizontal="left" vertical="center" wrapText="1"/>
    </xf>
    <xf numFmtId="0" fontId="9" fillId="0" borderId="15" xfId="0" applyFont="1" applyBorder="1" applyAlignment="1">
      <alignment vertical="center" wrapText="1"/>
    </xf>
    <xf numFmtId="0" fontId="12" fillId="0" borderId="1" xfId="3" applyNumberFormat="1" applyFont="1" applyFill="1" applyBorder="1" applyAlignment="1">
      <alignment horizontal="center" vertical="center" wrapText="1"/>
    </xf>
    <xf numFmtId="0" fontId="13" fillId="0" borderId="6" xfId="0" applyFont="1" applyBorder="1" applyAlignment="1">
      <alignment horizontal="left" vertical="center" wrapText="1"/>
    </xf>
    <xf numFmtId="0" fontId="13" fillId="0" borderId="9" xfId="0" applyFont="1" applyBorder="1" applyAlignment="1">
      <alignment horizontal="left" vertical="center" wrapText="1"/>
    </xf>
    <xf numFmtId="0" fontId="13" fillId="0" borderId="24" xfId="0" applyFont="1" applyBorder="1" applyAlignment="1">
      <alignment horizontal="left" vertical="center" wrapText="1"/>
    </xf>
    <xf numFmtId="0" fontId="13" fillId="0" borderId="0" xfId="0" applyFont="1" applyBorder="1" applyAlignment="1">
      <alignment vertical="center" wrapText="1"/>
    </xf>
    <xf numFmtId="0" fontId="12" fillId="0" borderId="8" xfId="0" applyFont="1" applyBorder="1" applyAlignment="1">
      <alignment horizontal="left" vertical="center" wrapText="1"/>
    </xf>
    <xf numFmtId="0" fontId="12" fillId="0" borderId="5" xfId="0" applyFont="1" applyFill="1" applyBorder="1" applyAlignment="1">
      <alignment horizontal="left" vertical="center" wrapText="1"/>
    </xf>
    <xf numFmtId="165" fontId="9" fillId="0" borderId="8" xfId="3" applyNumberFormat="1" applyFont="1" applyFill="1" applyBorder="1" applyAlignment="1">
      <alignment horizontal="center" vertical="center" wrapText="1"/>
    </xf>
    <xf numFmtId="9" fontId="9" fillId="0" borderId="3" xfId="2" applyFont="1" applyFill="1" applyBorder="1" applyAlignment="1">
      <alignment horizontal="center" vertical="center" wrapText="1"/>
    </xf>
    <xf numFmtId="0" fontId="9" fillId="0" borderId="25" xfId="0" applyFont="1" applyBorder="1" applyAlignment="1">
      <alignment horizontal="left" vertical="center" wrapText="1"/>
    </xf>
    <xf numFmtId="0" fontId="12" fillId="0" borderId="1" xfId="0" applyFont="1" applyFill="1" applyBorder="1" applyAlignment="1">
      <alignment horizontal="justify" vertical="center" wrapText="1"/>
    </xf>
    <xf numFmtId="0" fontId="12" fillId="0" borderId="26" xfId="0" applyFont="1" applyFill="1" applyBorder="1" applyAlignment="1">
      <alignment vertical="center" wrapText="1"/>
    </xf>
    <xf numFmtId="0" fontId="9" fillId="0" borderId="15" xfId="0" applyFont="1" applyBorder="1" applyAlignment="1">
      <alignment horizontal="centerContinuous" vertical="center" wrapText="1"/>
    </xf>
    <xf numFmtId="0" fontId="9" fillId="0" borderId="8" xfId="0" applyFont="1" applyBorder="1" applyAlignment="1">
      <alignment horizontal="centerContinuous" vertical="center" wrapText="1"/>
    </xf>
    <xf numFmtId="165" fontId="10" fillId="0" borderId="21" xfId="3" applyNumberFormat="1" applyFont="1" applyFill="1" applyBorder="1" applyAlignment="1">
      <alignment horizontal="center" vertical="center" wrapText="1"/>
    </xf>
    <xf numFmtId="165" fontId="10" fillId="0" borderId="21" xfId="3" applyNumberFormat="1" applyFont="1" applyBorder="1" applyAlignment="1">
      <alignment horizontal="center" vertical="center" wrapText="1"/>
    </xf>
    <xf numFmtId="0" fontId="10" fillId="5" borderId="27" xfId="1" applyFont="1" applyFill="1" applyBorder="1" applyAlignment="1">
      <alignment horizontal="center" vertical="center" wrapText="1"/>
    </xf>
    <xf numFmtId="0" fontId="10" fillId="5" borderId="28" xfId="1" applyFont="1" applyFill="1" applyBorder="1" applyAlignment="1">
      <alignment horizontal="center" vertical="center" wrapText="1"/>
    </xf>
    <xf numFmtId="0" fontId="10" fillId="5" borderId="29" xfId="1" applyFont="1" applyFill="1" applyBorder="1" applyAlignment="1">
      <alignment horizontal="center" vertical="center" wrapText="1"/>
    </xf>
    <xf numFmtId="0" fontId="9" fillId="0" borderId="5" xfId="0" applyFont="1" applyBorder="1" applyAlignment="1">
      <alignment horizontal="center" vertical="center" wrapText="1"/>
    </xf>
    <xf numFmtId="0" fontId="12" fillId="0" borderId="3" xfId="0" applyFont="1" applyBorder="1" applyAlignment="1">
      <alignment horizontal="left" vertical="center" wrapText="1"/>
    </xf>
    <xf numFmtId="0" fontId="12" fillId="0" borderId="5" xfId="0" applyFont="1" applyBorder="1" applyAlignment="1">
      <alignment horizontal="left" vertical="center" wrapText="1"/>
    </xf>
    <xf numFmtId="0" fontId="9" fillId="0" borderId="17" xfId="0" applyFont="1" applyFill="1" applyBorder="1" applyAlignment="1">
      <alignment horizontal="center" vertical="center" wrapText="1"/>
    </xf>
    <xf numFmtId="0" fontId="12" fillId="0" borderId="0" xfId="0" applyFont="1" applyFill="1" applyBorder="1" applyAlignment="1">
      <alignment vertical="center" wrapText="1"/>
    </xf>
    <xf numFmtId="9" fontId="9" fillId="0" borderId="4" xfId="2" applyFont="1" applyBorder="1" applyAlignment="1">
      <alignment vertical="center" wrapText="1"/>
    </xf>
    <xf numFmtId="9" fontId="9" fillId="0" borderId="1" xfId="2" applyFont="1" applyBorder="1" applyAlignment="1">
      <alignment vertical="center" wrapText="1"/>
    </xf>
    <xf numFmtId="3" fontId="9" fillId="0" borderId="1" xfId="0" applyNumberFormat="1" applyFont="1" applyBorder="1" applyAlignment="1">
      <alignment vertical="center" wrapText="1"/>
    </xf>
    <xf numFmtId="164" fontId="32" fillId="0" borderId="1" xfId="0" applyNumberFormat="1" applyFont="1" applyBorder="1" applyAlignment="1">
      <alignment horizontal="right" vertical="center" wrapText="1"/>
    </xf>
    <xf numFmtId="1" fontId="33" fillId="0" borderId="1" xfId="2" applyNumberFormat="1" applyFont="1" applyFill="1" applyBorder="1" applyAlignment="1">
      <alignment horizontal="right" vertical="center" wrapText="1"/>
    </xf>
    <xf numFmtId="1" fontId="33" fillId="0" borderId="1" xfId="2" applyNumberFormat="1" applyFont="1" applyBorder="1" applyAlignment="1">
      <alignment horizontal="right" vertical="center" wrapText="1"/>
    </xf>
    <xf numFmtId="166" fontId="33" fillId="0" borderId="1" xfId="2" applyNumberFormat="1" applyFont="1" applyFill="1" applyBorder="1" applyAlignment="1">
      <alignment horizontal="right" vertical="center" wrapText="1"/>
    </xf>
    <xf numFmtId="166" fontId="33" fillId="0" borderId="1" xfId="2" applyNumberFormat="1" applyFont="1" applyBorder="1" applyAlignment="1">
      <alignment horizontal="right" vertical="center" wrapText="1"/>
    </xf>
    <xf numFmtId="9" fontId="33" fillId="0" borderId="1" xfId="2" applyNumberFormat="1" applyFont="1" applyFill="1" applyBorder="1" applyAlignment="1">
      <alignment horizontal="right" vertical="center" wrapText="1"/>
    </xf>
    <xf numFmtId="9" fontId="33" fillId="0" borderId="1" xfId="2" applyNumberFormat="1" applyFont="1" applyBorder="1" applyAlignment="1">
      <alignment horizontal="right" vertical="center" wrapText="1"/>
    </xf>
    <xf numFmtId="9" fontId="33" fillId="0" borderId="1" xfId="2" applyFont="1" applyFill="1" applyBorder="1" applyAlignment="1">
      <alignment horizontal="right" vertical="center" wrapText="1"/>
    </xf>
    <xf numFmtId="10" fontId="9" fillId="0" borderId="1" xfId="2" applyNumberFormat="1" applyFont="1" applyBorder="1" applyAlignment="1">
      <alignment vertical="center" wrapText="1"/>
    </xf>
    <xf numFmtId="9" fontId="9" fillId="0" borderId="3" xfId="2" applyFont="1" applyBorder="1" applyAlignment="1">
      <alignment vertical="center" wrapText="1"/>
    </xf>
    <xf numFmtId="0" fontId="12" fillId="0" borderId="21" xfId="0" applyFont="1" applyFill="1" applyBorder="1" applyAlignment="1">
      <alignment vertical="center" wrapText="1"/>
    </xf>
    <xf numFmtId="9" fontId="9" fillId="0" borderId="3" xfId="2" applyFont="1" applyBorder="1" applyAlignment="1">
      <alignment horizontal="right" vertical="center" wrapText="1"/>
    </xf>
    <xf numFmtId="0" fontId="12" fillId="0" borderId="4" xfId="0" applyFont="1" applyFill="1" applyBorder="1" applyAlignment="1">
      <alignment horizontal="justify" vertical="center" wrapText="1"/>
    </xf>
    <xf numFmtId="0" fontId="22" fillId="0" borderId="1" xfId="1" applyFont="1" applyFill="1" applyBorder="1" applyAlignment="1">
      <alignment horizontal="center" vertical="center" wrapText="1"/>
    </xf>
    <xf numFmtId="1" fontId="9" fillId="0" borderId="1" xfId="0" applyNumberFormat="1" applyFont="1" applyFill="1" applyBorder="1" applyAlignment="1">
      <alignment horizontal="right" vertical="center" wrapText="1" indent="1"/>
    </xf>
    <xf numFmtId="0" fontId="12" fillId="0" borderId="1" xfId="0" applyFont="1" applyFill="1" applyBorder="1" applyAlignment="1">
      <alignment horizontal="right" vertical="center" wrapText="1"/>
    </xf>
    <xf numFmtId="0" fontId="9" fillId="0" borderId="8" xfId="0" applyFont="1" applyBorder="1" applyAlignment="1">
      <alignment horizontal="right" vertical="center" wrapText="1"/>
    </xf>
    <xf numFmtId="0" fontId="12" fillId="0" borderId="5" xfId="0" applyFont="1" applyFill="1" applyBorder="1" applyAlignment="1">
      <alignment horizontal="right" vertical="center" wrapText="1"/>
    </xf>
    <xf numFmtId="0" fontId="12" fillId="0" borderId="2" xfId="0" applyFont="1" applyBorder="1" applyAlignment="1">
      <alignment horizontal="right" vertical="center" wrapText="1"/>
    </xf>
    <xf numFmtId="0" fontId="9" fillId="0" borderId="17" xfId="0" applyFont="1" applyBorder="1" applyAlignment="1">
      <alignment horizontal="right" vertical="center" wrapText="1"/>
    </xf>
    <xf numFmtId="0" fontId="9" fillId="0" borderId="0" xfId="0" applyFont="1" applyAlignment="1">
      <alignment horizontal="right" vertical="center" wrapText="1"/>
    </xf>
    <xf numFmtId="0" fontId="12" fillId="0" borderId="1" xfId="0" applyFont="1" applyBorder="1" applyAlignment="1">
      <alignment horizontal="right" vertical="center" wrapText="1"/>
    </xf>
    <xf numFmtId="0" fontId="9" fillId="6" borderId="2" xfId="0" applyFont="1" applyFill="1" applyBorder="1" applyAlignment="1">
      <alignment vertical="center" wrapText="1"/>
    </xf>
    <xf numFmtId="0" fontId="12" fillId="0" borderId="9" xfId="0" applyFont="1" applyBorder="1" applyAlignment="1">
      <alignment horizontal="right" vertical="center" wrapText="1"/>
    </xf>
    <xf numFmtId="1" fontId="9" fillId="0" borderId="1" xfId="0" applyNumberFormat="1" applyFont="1" applyBorder="1" applyAlignment="1">
      <alignment vertical="center" wrapText="1"/>
    </xf>
    <xf numFmtId="0" fontId="9" fillId="0" borderId="1" xfId="0" applyFont="1" applyBorder="1" applyAlignment="1">
      <alignment horizontal="right" vertical="center" wrapText="1"/>
    </xf>
    <xf numFmtId="166" fontId="9" fillId="0" borderId="1" xfId="2" applyNumberFormat="1" applyFont="1" applyBorder="1" applyAlignment="1">
      <alignment vertical="center" wrapText="1"/>
    </xf>
    <xf numFmtId="9" fontId="9" fillId="0" borderId="1" xfId="2" applyFont="1" applyFill="1" applyBorder="1" applyAlignment="1">
      <alignment vertical="center" wrapText="1"/>
    </xf>
    <xf numFmtId="0" fontId="9" fillId="0" borderId="19" xfId="0" applyFont="1" applyBorder="1" applyAlignment="1">
      <alignment horizontal="right" vertical="center" wrapText="1"/>
    </xf>
    <xf numFmtId="0" fontId="13" fillId="0" borderId="30"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33" xfId="0" applyFont="1" applyBorder="1" applyAlignment="1">
      <alignment horizontal="left" vertical="center" wrapText="1"/>
    </xf>
    <xf numFmtId="0" fontId="9" fillId="0" borderId="19" xfId="0" applyFont="1" applyBorder="1" applyAlignment="1">
      <alignment horizontal="left" vertical="center" wrapText="1"/>
    </xf>
    <xf numFmtId="0" fontId="9" fillId="0" borderId="3" xfId="0" applyFont="1" applyBorder="1" applyAlignment="1">
      <alignment horizontal="centerContinuous" vertical="center" wrapText="1"/>
    </xf>
    <xf numFmtId="0" fontId="12" fillId="0" borderId="4" xfId="0" applyFont="1" applyFill="1" applyBorder="1" applyAlignment="1">
      <alignment horizontal="right" vertical="center" wrapText="1"/>
    </xf>
    <xf numFmtId="0" fontId="9" fillId="0" borderId="10" xfId="0" applyFont="1" applyBorder="1" applyAlignment="1">
      <alignment horizontal="right" vertical="center" wrapText="1"/>
    </xf>
    <xf numFmtId="0" fontId="36" fillId="0" borderId="1" xfId="1" applyFont="1" applyFill="1" applyBorder="1" applyAlignment="1">
      <alignment horizontal="right" vertical="center" wrapText="1"/>
    </xf>
    <xf numFmtId="0" fontId="32" fillId="0" borderId="4" xfId="0" applyFont="1" applyFill="1" applyBorder="1" applyAlignment="1">
      <alignment horizontal="right" vertical="center" wrapText="1"/>
    </xf>
    <xf numFmtId="0" fontId="32" fillId="0" borderId="1" xfId="0" applyFont="1" applyFill="1" applyBorder="1" applyAlignment="1">
      <alignment horizontal="right" vertical="center" wrapText="1"/>
    </xf>
    <xf numFmtId="0" fontId="32" fillId="0" borderId="26" xfId="0" applyFont="1" applyFill="1" applyBorder="1" applyAlignment="1">
      <alignment horizontal="right" vertical="center" wrapText="1"/>
    </xf>
    <xf numFmtId="0" fontId="12" fillId="0" borderId="10" xfId="0" applyFont="1" applyBorder="1" applyAlignment="1">
      <alignment horizontal="right" vertical="center" wrapText="1"/>
    </xf>
    <xf numFmtId="0" fontId="9" fillId="0" borderId="3" xfId="0" applyFont="1" applyFill="1" applyBorder="1" applyAlignment="1">
      <alignment horizontal="left" vertical="center" wrapText="1"/>
    </xf>
    <xf numFmtId="0" fontId="9" fillId="0" borderId="8"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5" xfId="0" applyFont="1" applyFill="1" applyBorder="1" applyAlignment="1">
      <alignment horizontal="left" vertical="center" wrapText="1"/>
    </xf>
    <xf numFmtId="0" fontId="14" fillId="0" borderId="9"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3" fillId="0" borderId="5" xfId="0" applyFont="1" applyFill="1" applyBorder="1" applyAlignment="1">
      <alignment horizontal="left" vertical="center" wrapText="1"/>
    </xf>
    <xf numFmtId="165" fontId="12" fillId="0" borderId="2" xfId="3" applyNumberFormat="1" applyFont="1" applyFill="1" applyBorder="1" applyAlignment="1">
      <alignment horizontal="center" vertical="center" wrapText="1"/>
    </xf>
    <xf numFmtId="0" fontId="9" fillId="0" borderId="8"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3" fillId="0" borderId="4" xfId="0" applyFont="1" applyFill="1" applyBorder="1" applyAlignment="1">
      <alignment horizontal="left" vertical="center" wrapText="1"/>
    </xf>
    <xf numFmtId="0" fontId="13" fillId="0" borderId="9" xfId="0" applyFont="1" applyFill="1" applyBorder="1" applyAlignment="1">
      <alignment horizontal="left" vertical="center" wrapText="1"/>
    </xf>
    <xf numFmtId="0" fontId="9" fillId="0" borderId="23" xfId="0" applyFont="1" applyFill="1" applyBorder="1" applyAlignment="1">
      <alignment horizontal="left" vertical="center" wrapText="1"/>
    </xf>
    <xf numFmtId="0" fontId="9" fillId="0" borderId="18" xfId="0" applyFont="1" applyFill="1" applyBorder="1" applyAlignment="1">
      <alignment horizontal="left" vertical="center" wrapText="1"/>
    </xf>
    <xf numFmtId="0" fontId="9" fillId="0" borderId="2" xfId="0" applyFont="1" applyFill="1" applyBorder="1" applyAlignment="1">
      <alignment horizontal="left" vertical="center" wrapText="1"/>
    </xf>
    <xf numFmtId="0" fontId="12" fillId="0" borderId="2"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17" xfId="0" applyFont="1" applyFill="1" applyBorder="1" applyAlignment="1">
      <alignment horizontal="left" vertical="center" wrapText="1"/>
    </xf>
    <xf numFmtId="0" fontId="9" fillId="0" borderId="16" xfId="0" applyFont="1" applyFill="1" applyBorder="1" applyAlignment="1">
      <alignment horizontal="left" vertical="center" wrapText="1"/>
    </xf>
    <xf numFmtId="9" fontId="9" fillId="0" borderId="2" xfId="2" applyFont="1" applyBorder="1" applyAlignment="1">
      <alignment vertical="center" wrapText="1"/>
    </xf>
    <xf numFmtId="9" fontId="12" fillId="0" borderId="8" xfId="0" applyNumberFormat="1" applyFont="1" applyFill="1" applyBorder="1" applyAlignment="1">
      <alignment horizontal="center" vertical="center" wrapText="1"/>
    </xf>
    <xf numFmtId="0" fontId="9" fillId="0" borderId="1" xfId="0" applyFont="1" applyBorder="1" applyAlignment="1">
      <alignment horizontal="justify" vertical="center" wrapText="1"/>
    </xf>
    <xf numFmtId="9" fontId="9" fillId="0" borderId="1" xfId="0" applyNumberFormat="1" applyFont="1" applyBorder="1" applyAlignment="1">
      <alignment horizontal="center" vertical="center" wrapText="1"/>
    </xf>
    <xf numFmtId="0" fontId="12" fillId="0" borderId="26" xfId="0" applyFont="1" applyFill="1" applyBorder="1" applyAlignment="1">
      <alignment horizontal="right" vertical="center" wrapText="1"/>
    </xf>
    <xf numFmtId="0" fontId="12" fillId="0" borderId="5" xfId="0" applyFont="1" applyBorder="1" applyAlignment="1">
      <alignment horizontal="right" vertical="center" wrapText="1"/>
    </xf>
    <xf numFmtId="0" fontId="22" fillId="0" borderId="1" xfId="1" applyFont="1" applyFill="1" applyBorder="1" applyAlignment="1">
      <alignment horizontal="right" vertical="center" wrapText="1"/>
    </xf>
    <xf numFmtId="0" fontId="9" fillId="0" borderId="2" xfId="0" applyFont="1" applyBorder="1" applyAlignment="1">
      <alignment horizontal="right" vertical="center" wrapText="1"/>
    </xf>
    <xf numFmtId="166" fontId="12" fillId="0" borderId="1" xfId="2" applyNumberFormat="1" applyFont="1" applyBorder="1" applyAlignment="1">
      <alignment vertical="center" wrapText="1"/>
    </xf>
    <xf numFmtId="0" fontId="9" fillId="0" borderId="22" xfId="0" applyFont="1" applyBorder="1" applyAlignment="1">
      <alignment horizontal="left" vertical="center" wrapText="1"/>
    </xf>
    <xf numFmtId="0" fontId="9" fillId="0" borderId="19" xfId="0" applyFont="1" applyFill="1" applyBorder="1" applyAlignment="1">
      <alignment horizontal="center" vertical="center" wrapText="1"/>
    </xf>
    <xf numFmtId="9" fontId="9" fillId="0" borderId="19" xfId="0" applyNumberFormat="1" applyFont="1" applyFill="1" applyBorder="1" applyAlignment="1">
      <alignment horizontal="center" vertical="center" wrapText="1"/>
    </xf>
    <xf numFmtId="165" fontId="10" fillId="0" borderId="34" xfId="3" applyNumberFormat="1" applyFont="1" applyFill="1" applyBorder="1" applyAlignment="1">
      <alignment horizontal="center" vertical="center" wrapText="1"/>
    </xf>
    <xf numFmtId="0" fontId="0" fillId="0" borderId="0" xfId="0" applyAlignment="1"/>
    <xf numFmtId="0" fontId="9" fillId="0" borderId="7" xfId="0" applyFont="1" applyFill="1" applyBorder="1" applyAlignment="1">
      <alignment vertical="center" wrapText="1"/>
    </xf>
    <xf numFmtId="0" fontId="9" fillId="0" borderId="7" xfId="0" applyFont="1" applyBorder="1" applyAlignment="1">
      <alignment horizontal="left" vertical="center" wrapText="1"/>
    </xf>
    <xf numFmtId="0" fontId="0" fillId="0" borderId="0" xfId="0" applyAlignment="1">
      <alignment vertical="center" wrapText="1"/>
    </xf>
    <xf numFmtId="0" fontId="12" fillId="0" borderId="3" xfId="0" applyFont="1" applyBorder="1" applyAlignment="1">
      <alignment horizontal="left" vertical="center" wrapText="1"/>
    </xf>
    <xf numFmtId="0" fontId="10" fillId="0" borderId="7" xfId="0" applyFont="1" applyBorder="1" applyAlignment="1">
      <alignment horizontal="left" vertical="center" wrapText="1"/>
    </xf>
    <xf numFmtId="0" fontId="13" fillId="0" borderId="5" xfId="0" applyFont="1" applyFill="1" applyBorder="1" applyAlignment="1">
      <alignment vertical="center" wrapText="1"/>
    </xf>
    <xf numFmtId="0" fontId="9" fillId="7" borderId="7" xfId="0" applyFont="1" applyFill="1" applyBorder="1" applyAlignment="1">
      <alignment horizontal="left" vertical="center" wrapText="1"/>
    </xf>
    <xf numFmtId="0" fontId="9" fillId="7" borderId="3" xfId="0" applyFont="1" applyFill="1" applyBorder="1" applyAlignment="1">
      <alignment horizontal="left" vertical="center" wrapText="1"/>
    </xf>
    <xf numFmtId="0" fontId="9" fillId="7" borderId="1" xfId="0" applyFont="1" applyFill="1" applyBorder="1" applyAlignment="1">
      <alignment horizontal="left" vertical="center" wrapText="1"/>
    </xf>
    <xf numFmtId="0" fontId="12" fillId="7" borderId="1" xfId="0" applyFont="1" applyFill="1" applyBorder="1" applyAlignment="1">
      <alignment horizontal="left" vertical="center" wrapText="1"/>
    </xf>
    <xf numFmtId="0" fontId="9" fillId="7" borderId="1" xfId="0" applyFont="1" applyFill="1" applyBorder="1" applyAlignment="1">
      <alignment vertical="center" wrapText="1"/>
    </xf>
    <xf numFmtId="0" fontId="12" fillId="7" borderId="1" xfId="0" applyFont="1" applyFill="1" applyBorder="1" applyAlignment="1">
      <alignment vertical="center" wrapText="1"/>
    </xf>
    <xf numFmtId="0" fontId="12" fillId="0" borderId="7" xfId="0" applyFont="1" applyBorder="1" applyAlignment="1">
      <alignment horizontal="left" vertical="center" wrapText="1"/>
    </xf>
    <xf numFmtId="0" fontId="12" fillId="6" borderId="1" xfId="0" applyFont="1" applyFill="1" applyBorder="1" applyAlignment="1">
      <alignment horizontal="left" vertical="center" wrapText="1"/>
    </xf>
    <xf numFmtId="0" fontId="9" fillId="8" borderId="1" xfId="0" applyFont="1" applyFill="1" applyBorder="1" applyAlignment="1">
      <alignment horizontal="left" vertical="center" wrapText="1"/>
    </xf>
    <xf numFmtId="0" fontId="12" fillId="8" borderId="1" xfId="0" applyFont="1" applyFill="1" applyBorder="1" applyAlignment="1">
      <alignment horizontal="left" vertical="center" wrapText="1"/>
    </xf>
    <xf numFmtId="0" fontId="12" fillId="8" borderId="5" xfId="0" applyFont="1" applyFill="1" applyBorder="1" applyAlignment="1">
      <alignment vertical="center" wrapText="1"/>
    </xf>
    <xf numFmtId="0" fontId="9" fillId="8" borderId="3"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2" fillId="8" borderId="3" xfId="0" applyFont="1" applyFill="1" applyBorder="1" applyAlignment="1">
      <alignment horizontal="left" vertical="center" wrapText="1"/>
    </xf>
    <xf numFmtId="0" fontId="12" fillId="0" borderId="3" xfId="0" applyFont="1" applyFill="1" applyBorder="1" applyAlignment="1">
      <alignment vertical="center" wrapText="1"/>
    </xf>
    <xf numFmtId="0" fontId="9" fillId="0" borderId="7" xfId="0" applyFont="1" applyFill="1" applyBorder="1" applyAlignment="1">
      <alignment horizontal="left" vertical="center" wrapText="1"/>
    </xf>
    <xf numFmtId="0" fontId="9" fillId="8" borderId="7" xfId="0" applyFont="1" applyFill="1" applyBorder="1" applyAlignment="1">
      <alignment horizontal="left" vertical="center" wrapText="1"/>
    </xf>
    <xf numFmtId="0" fontId="12" fillId="0" borderId="7" xfId="0" applyFont="1" applyFill="1" applyBorder="1" applyAlignment="1">
      <alignment horizontal="left" vertical="center" wrapText="1"/>
    </xf>
    <xf numFmtId="0" fontId="12" fillId="8" borderId="7" xfId="0" applyFont="1" applyFill="1" applyBorder="1" applyAlignment="1">
      <alignment horizontal="left" vertical="center" wrapText="1"/>
    </xf>
    <xf numFmtId="0" fontId="12" fillId="0" borderId="7" xfId="0" applyFont="1" applyFill="1" applyBorder="1" applyAlignment="1">
      <alignment vertical="center" wrapText="1"/>
    </xf>
    <xf numFmtId="0" fontId="12" fillId="8" borderId="11" xfId="0" applyFont="1" applyFill="1" applyBorder="1" applyAlignment="1">
      <alignment vertical="center" wrapText="1"/>
    </xf>
    <xf numFmtId="0" fontId="0" fillId="0" borderId="0" xfId="0" applyBorder="1"/>
    <xf numFmtId="0" fontId="9" fillId="0" borderId="21" xfId="0" applyFont="1" applyFill="1" applyBorder="1" applyAlignment="1">
      <alignment vertical="center" wrapText="1"/>
    </xf>
    <xf numFmtId="0" fontId="9" fillId="6" borderId="7" xfId="0" applyFont="1" applyFill="1" applyBorder="1" applyAlignment="1">
      <alignment vertical="center" wrapText="1"/>
    </xf>
    <xf numFmtId="0" fontId="9" fillId="0" borderId="16" xfId="0" applyFont="1" applyBorder="1" applyAlignment="1">
      <alignment vertical="center" wrapText="1"/>
    </xf>
    <xf numFmtId="0" fontId="9" fillId="0" borderId="26" xfId="0" applyFont="1" applyFill="1" applyBorder="1" applyAlignment="1">
      <alignment vertical="center" wrapText="1"/>
    </xf>
    <xf numFmtId="0" fontId="0" fillId="0" borderId="4" xfId="0" applyBorder="1" applyAlignment="1">
      <alignment vertical="center" wrapText="1"/>
    </xf>
    <xf numFmtId="165" fontId="10" fillId="4" borderId="1" xfId="3" applyNumberFormat="1" applyFont="1" applyFill="1" applyBorder="1" applyAlignment="1">
      <alignment horizontal="center" vertical="center" wrapText="1"/>
    </xf>
    <xf numFmtId="165" fontId="10" fillId="9" borderId="7" xfId="3" applyNumberFormat="1" applyFont="1" applyFill="1" applyBorder="1" applyAlignment="1">
      <alignment horizontal="center" vertical="center" wrapText="1"/>
    </xf>
    <xf numFmtId="165" fontId="10" fillId="8" borderId="2" xfId="3" applyNumberFormat="1" applyFont="1" applyFill="1" applyBorder="1" applyAlignment="1">
      <alignment horizontal="center" vertical="center" wrapText="1"/>
    </xf>
    <xf numFmtId="0" fontId="0" fillId="0" borderId="3" xfId="0" applyBorder="1" applyAlignment="1">
      <alignment vertical="center" wrapText="1"/>
    </xf>
    <xf numFmtId="0" fontId="6" fillId="0" borderId="7" xfId="0" applyFont="1" applyBorder="1" applyAlignment="1" applyProtection="1">
      <alignment horizontal="right" vertical="center" wrapText="1"/>
      <protection locked="0"/>
    </xf>
    <xf numFmtId="167" fontId="37" fillId="0" borderId="2" xfId="0" applyNumberFormat="1" applyFont="1" applyBorder="1" applyAlignment="1" applyProtection="1">
      <alignment horizontal="left" vertical="center" wrapText="1"/>
      <protection locked="0"/>
    </xf>
    <xf numFmtId="1" fontId="37" fillId="0" borderId="2" xfId="0" applyNumberFormat="1" applyFont="1" applyBorder="1" applyAlignment="1" applyProtection="1">
      <alignment horizontal="left" vertical="center" wrapText="1"/>
      <protection locked="0"/>
    </xf>
    <xf numFmtId="0" fontId="34" fillId="0" borderId="12" xfId="0" applyFont="1" applyBorder="1" applyAlignment="1">
      <alignment horizontal="centerContinuous" vertical="center" wrapText="1"/>
    </xf>
    <xf numFmtId="0" fontId="34" fillId="0" borderId="13" xfId="0" applyFont="1" applyBorder="1" applyAlignment="1">
      <alignment horizontal="centerContinuous" vertical="center" wrapText="1"/>
    </xf>
    <xf numFmtId="0" fontId="34" fillId="0" borderId="15" xfId="0" applyFont="1" applyBorder="1" applyAlignment="1">
      <alignment horizontal="centerContinuous" vertical="center" wrapText="1"/>
    </xf>
    <xf numFmtId="0" fontId="34" fillId="0" borderId="8" xfId="0" applyFont="1" applyBorder="1" applyAlignment="1">
      <alignment horizontal="centerContinuous" vertical="center" wrapText="1"/>
    </xf>
    <xf numFmtId="0" fontId="34" fillId="0" borderId="26" xfId="0" applyFont="1" applyBorder="1" applyAlignment="1">
      <alignment horizontal="centerContinuous" vertical="center" wrapText="1"/>
    </xf>
    <xf numFmtId="0" fontId="34" fillId="0" borderId="10" xfId="0" applyFont="1" applyBorder="1" applyAlignment="1">
      <alignment horizontal="centerContinuous" vertical="center" wrapText="1"/>
    </xf>
    <xf numFmtId="0" fontId="34" fillId="0" borderId="0" xfId="0" applyFont="1" applyAlignment="1">
      <alignment horizontal="right" vertical="center" wrapText="1"/>
    </xf>
    <xf numFmtId="0" fontId="0" fillId="0" borderId="0" xfId="0" applyBorder="1" applyAlignment="1">
      <alignment horizontal="justify" vertical="center" wrapText="1"/>
    </xf>
    <xf numFmtId="0" fontId="34" fillId="0" borderId="0" xfId="0" applyFont="1" applyBorder="1" applyAlignment="1">
      <alignment horizontal="right" vertical="center" wrapText="1"/>
    </xf>
    <xf numFmtId="0" fontId="9" fillId="0" borderId="3" xfId="0" applyFont="1" applyBorder="1" applyAlignment="1">
      <alignment horizontal="center" vertical="center" wrapText="1"/>
    </xf>
    <xf numFmtId="0" fontId="9" fillId="0" borderId="5" xfId="0" applyFont="1" applyBorder="1" applyAlignment="1">
      <alignment horizontal="center" vertical="center" wrapText="1"/>
    </xf>
    <xf numFmtId="0" fontId="12" fillId="0" borderId="3" xfId="0" applyFont="1" applyBorder="1" applyAlignment="1">
      <alignment horizontal="left" vertical="center" wrapText="1"/>
    </xf>
    <xf numFmtId="0" fontId="12" fillId="0" borderId="5" xfId="0" applyFont="1" applyBorder="1" applyAlignment="1">
      <alignment horizontal="left" vertical="center" wrapText="1"/>
    </xf>
    <xf numFmtId="0" fontId="12" fillId="0" borderId="4" xfId="0" applyFont="1" applyBorder="1" applyAlignment="1">
      <alignment horizontal="left" vertical="center" wrapText="1"/>
    </xf>
    <xf numFmtId="165" fontId="10" fillId="4" borderId="3" xfId="3" applyNumberFormat="1" applyFont="1" applyFill="1" applyBorder="1" applyAlignment="1">
      <alignment horizontal="center" vertical="center" wrapText="1"/>
    </xf>
    <xf numFmtId="165" fontId="10" fillId="9" borderId="13" xfId="3" applyNumberFormat="1" applyFont="1" applyFill="1" applyBorder="1" applyAlignment="1">
      <alignment horizontal="center" vertical="center" wrapText="1"/>
    </xf>
    <xf numFmtId="165" fontId="10" fillId="8" borderId="8" xfId="3" applyNumberFormat="1" applyFont="1" applyFill="1" applyBorder="1" applyAlignment="1">
      <alignment horizontal="center" vertical="center" wrapText="1"/>
    </xf>
    <xf numFmtId="0" fontId="40" fillId="0" borderId="36" xfId="4" applyFont="1" applyBorder="1" applyAlignment="1">
      <alignment horizontal="center" vertical="center" wrapText="1"/>
    </xf>
    <xf numFmtId="0" fontId="40" fillId="0" borderId="37" xfId="4" applyFont="1" applyBorder="1" applyAlignment="1">
      <alignment horizontal="center" vertical="center" wrapText="1"/>
    </xf>
    <xf numFmtId="0" fontId="40" fillId="0" borderId="34" xfId="4" applyFont="1" applyFill="1" applyBorder="1" applyAlignment="1">
      <alignment horizontal="center" vertical="center" wrapText="1"/>
    </xf>
    <xf numFmtId="0" fontId="41" fillId="0" borderId="34" xfId="4" applyFont="1" applyFill="1" applyBorder="1" applyAlignment="1">
      <alignment horizontal="center" vertical="center" wrapText="1"/>
    </xf>
    <xf numFmtId="0" fontId="40" fillId="0" borderId="2" xfId="4" applyFont="1" applyFill="1" applyBorder="1" applyAlignment="1">
      <alignment horizontal="center" vertical="center" wrapText="1"/>
    </xf>
    <xf numFmtId="0" fontId="40" fillId="0" borderId="1" xfId="4" applyFont="1" applyFill="1" applyBorder="1" applyAlignment="1">
      <alignment horizontal="center" vertical="center" wrapText="1"/>
    </xf>
    <xf numFmtId="0" fontId="40" fillId="0" borderId="10" xfId="4" applyFont="1" applyFill="1" applyBorder="1" applyAlignment="1">
      <alignment horizontal="center" vertical="center" wrapText="1"/>
    </xf>
    <xf numFmtId="0" fontId="6" fillId="10" borderId="34" xfId="5" applyFont="1" applyFill="1" applyBorder="1" applyAlignment="1">
      <alignment horizontal="center" vertical="center" wrapText="1"/>
    </xf>
    <xf numFmtId="0" fontId="40" fillId="0" borderId="38" xfId="4" applyFont="1" applyFill="1" applyBorder="1" applyAlignment="1">
      <alignment horizontal="center" vertical="center" wrapText="1"/>
    </xf>
    <xf numFmtId="0" fontId="6" fillId="12" borderId="7" xfId="5" applyFont="1" applyFill="1" applyBorder="1" applyAlignment="1">
      <alignment horizontal="center" vertical="center" wrapText="1"/>
    </xf>
    <xf numFmtId="0" fontId="6" fillId="13" borderId="39" xfId="5" applyFont="1" applyFill="1" applyBorder="1" applyAlignment="1">
      <alignment horizontal="center" vertical="center" wrapText="1"/>
    </xf>
    <xf numFmtId="0" fontId="6" fillId="13" borderId="34" xfId="5" applyFont="1" applyFill="1" applyBorder="1" applyAlignment="1">
      <alignment horizontal="center" vertical="center" wrapText="1"/>
    </xf>
    <xf numFmtId="0" fontId="6" fillId="13" borderId="40" xfId="5" applyFont="1" applyFill="1" applyBorder="1" applyAlignment="1">
      <alignment horizontal="center" vertical="center" wrapText="1"/>
    </xf>
    <xf numFmtId="0" fontId="6" fillId="14" borderId="39" xfId="5" applyFont="1" applyFill="1" applyBorder="1" applyAlignment="1">
      <alignment horizontal="center" vertical="center" wrapText="1"/>
    </xf>
    <xf numFmtId="0" fontId="6" fillId="14" borderId="34" xfId="5" applyFont="1" applyFill="1" applyBorder="1" applyAlignment="1">
      <alignment horizontal="center" vertical="center" wrapText="1"/>
    </xf>
    <xf numFmtId="0" fontId="6" fillId="10" borderId="39" xfId="5" applyFont="1" applyFill="1" applyBorder="1" applyAlignment="1">
      <alignment horizontal="center" vertical="center" wrapText="1"/>
    </xf>
    <xf numFmtId="0" fontId="6" fillId="10" borderId="40" xfId="5" applyFont="1" applyFill="1" applyBorder="1" applyAlignment="1">
      <alignment horizontal="center" vertical="center" wrapText="1"/>
    </xf>
    <xf numFmtId="0" fontId="6" fillId="15" borderId="40" xfId="5" applyFont="1" applyFill="1" applyBorder="1" applyAlignment="1">
      <alignment horizontal="center" vertical="center" wrapText="1"/>
    </xf>
    <xf numFmtId="0" fontId="37" fillId="0" borderId="0" xfId="5" applyFont="1" applyAlignment="1">
      <alignment vertical="center" wrapText="1"/>
    </xf>
    <xf numFmtId="0" fontId="37" fillId="8" borderId="41" xfId="5" applyFont="1" applyFill="1" applyBorder="1" applyAlignment="1">
      <alignment horizontal="justify" vertical="center" wrapText="1"/>
    </xf>
    <xf numFmtId="0" fontId="37" fillId="3" borderId="42" xfId="5" applyFont="1" applyFill="1" applyBorder="1" applyAlignment="1">
      <alignment horizontal="justify" vertical="center" wrapText="1"/>
    </xf>
    <xf numFmtId="0" fontId="37" fillId="0" borderId="3" xfId="5" applyFont="1" applyBorder="1" applyAlignment="1">
      <alignment horizontal="right" vertical="center" wrapText="1"/>
    </xf>
    <xf numFmtId="0" fontId="37" fillId="0" borderId="8" xfId="5" applyFont="1" applyFill="1" applyBorder="1" applyAlignment="1">
      <alignment vertical="center" wrapText="1"/>
    </xf>
    <xf numFmtId="0" fontId="44" fillId="0" borderId="1" xfId="5" applyFont="1" applyFill="1" applyBorder="1" applyAlignment="1">
      <alignment horizontal="right" vertical="center" wrapText="1"/>
    </xf>
    <xf numFmtId="0" fontId="37" fillId="0" borderId="1" xfId="5" applyFont="1" applyFill="1" applyBorder="1" applyAlignment="1">
      <alignment vertical="center" wrapText="1"/>
    </xf>
    <xf numFmtId="3" fontId="37" fillId="0" borderId="2" xfId="6" applyNumberFormat="1" applyFont="1" applyFill="1" applyBorder="1" applyAlignment="1">
      <alignment horizontal="left" vertical="center" wrapText="1"/>
    </xf>
    <xf numFmtId="0" fontId="37" fillId="0" borderId="4" xfId="5" applyFont="1" applyFill="1" applyBorder="1" applyAlignment="1">
      <alignment vertical="center" wrapText="1"/>
    </xf>
    <xf numFmtId="9" fontId="37" fillId="0" borderId="1" xfId="5" applyNumberFormat="1" applyFont="1" applyFill="1" applyBorder="1" applyAlignment="1">
      <alignment vertical="center" wrapText="1"/>
    </xf>
    <xf numFmtId="3" fontId="37" fillId="0" borderId="1" xfId="5" applyNumberFormat="1" applyFont="1" applyFill="1" applyBorder="1" applyAlignment="1">
      <alignment horizontal="right" vertical="center" wrapText="1"/>
    </xf>
    <xf numFmtId="168" fontId="37" fillId="8" borderId="1" xfId="5" applyNumberFormat="1" applyFont="1" applyFill="1" applyBorder="1" applyAlignment="1">
      <alignment horizontal="right" vertical="center" wrapText="1"/>
    </xf>
    <xf numFmtId="168" fontId="37" fillId="0" borderId="4" xfId="5" applyNumberFormat="1" applyFont="1" applyFill="1" applyBorder="1" applyAlignment="1">
      <alignment horizontal="right" vertical="center" wrapText="1"/>
    </xf>
    <xf numFmtId="3" fontId="37" fillId="0" borderId="43" xfId="5" applyNumberFormat="1" applyFont="1" applyFill="1" applyBorder="1" applyAlignment="1">
      <alignment horizontal="right" vertical="center" wrapText="1"/>
    </xf>
    <xf numFmtId="3" fontId="37" fillId="0" borderId="2" xfId="6" applyNumberFormat="1" applyFont="1" applyFill="1" applyBorder="1" applyAlignment="1">
      <alignment horizontal="right" vertical="center" wrapText="1"/>
    </xf>
    <xf numFmtId="0" fontId="37" fillId="0" borderId="7" xfId="5" applyFont="1" applyFill="1" applyBorder="1" applyAlignment="1">
      <alignment vertical="center" wrapText="1"/>
    </xf>
    <xf numFmtId="169" fontId="37" fillId="0" borderId="44" xfId="5" applyNumberFormat="1" applyFont="1" applyBorder="1" applyAlignment="1">
      <alignment vertical="center" wrapText="1"/>
    </xf>
    <xf numFmtId="169" fontId="37" fillId="0" borderId="1" xfId="5" applyNumberFormat="1" applyFont="1" applyBorder="1" applyAlignment="1">
      <alignment vertical="center" wrapText="1"/>
    </xf>
    <xf numFmtId="169" fontId="37" fillId="0" borderId="43" xfId="5" applyNumberFormat="1" applyFont="1" applyBorder="1" applyAlignment="1">
      <alignment vertical="center" wrapText="1"/>
    </xf>
    <xf numFmtId="168" fontId="37" fillId="0" borderId="44" xfId="5" applyNumberFormat="1" applyFont="1" applyBorder="1" applyAlignment="1">
      <alignment vertical="center" wrapText="1"/>
    </xf>
    <xf numFmtId="168" fontId="37" fillId="0" borderId="1" xfId="5" applyNumberFormat="1" applyFont="1" applyBorder="1" applyAlignment="1">
      <alignment vertical="center" wrapText="1"/>
    </xf>
    <xf numFmtId="168" fontId="37" fillId="0" borderId="43" xfId="5" applyNumberFormat="1" applyFont="1" applyBorder="1" applyAlignment="1">
      <alignment vertical="center" wrapText="1"/>
    </xf>
    <xf numFmtId="0" fontId="46" fillId="8" borderId="45" xfId="5" applyFont="1" applyFill="1" applyBorder="1" applyAlignment="1">
      <alignment horizontal="justify" vertical="center" wrapText="1"/>
    </xf>
    <xf numFmtId="0" fontId="47" fillId="3" borderId="0" xfId="5" applyFont="1" applyFill="1" applyBorder="1" applyAlignment="1">
      <alignment horizontal="justify" vertical="center" wrapText="1"/>
    </xf>
    <xf numFmtId="168" fontId="37" fillId="3" borderId="5" xfId="5" applyNumberFormat="1" applyFont="1" applyFill="1" applyBorder="1" applyAlignment="1">
      <alignment vertical="center" wrapText="1"/>
    </xf>
    <xf numFmtId="168" fontId="37" fillId="0" borderId="1" xfId="5" applyNumberFormat="1" applyFont="1" applyFill="1" applyBorder="1" applyAlignment="1">
      <alignment vertical="center" wrapText="1"/>
    </xf>
    <xf numFmtId="0" fontId="48" fillId="0" borderId="5" xfId="5" applyFont="1" applyBorder="1" applyAlignment="1">
      <alignment horizontal="right" vertical="center" wrapText="1"/>
    </xf>
    <xf numFmtId="0" fontId="38" fillId="0" borderId="9" xfId="5" applyFont="1" applyFill="1" applyBorder="1" applyAlignment="1">
      <alignment vertical="center" wrapText="1"/>
    </xf>
    <xf numFmtId="3" fontId="37" fillId="0" borderId="0" xfId="6" applyNumberFormat="1" applyFont="1" applyFill="1" applyBorder="1" applyAlignment="1">
      <alignment horizontal="left" vertical="center" wrapText="1"/>
    </xf>
    <xf numFmtId="9" fontId="37" fillId="0" borderId="17" xfId="5" applyNumberFormat="1" applyFont="1" applyFill="1" applyBorder="1" applyAlignment="1">
      <alignment vertical="center" wrapText="1"/>
    </xf>
    <xf numFmtId="0" fontId="37" fillId="0" borderId="1" xfId="5" applyFont="1" applyFill="1" applyBorder="1" applyAlignment="1">
      <alignment horizontal="right" vertical="center" wrapText="1"/>
    </xf>
    <xf numFmtId="9" fontId="37" fillId="0" borderId="1" xfId="7" applyFont="1" applyFill="1" applyBorder="1" applyAlignment="1">
      <alignment vertical="center" wrapText="1"/>
    </xf>
    <xf numFmtId="166" fontId="37" fillId="0" borderId="1" xfId="7" applyNumberFormat="1" applyFont="1" applyFill="1" applyBorder="1" applyAlignment="1">
      <alignment vertical="center" wrapText="1"/>
    </xf>
    <xf numFmtId="168" fontId="37" fillId="3" borderId="4" xfId="5" applyNumberFormat="1" applyFont="1" applyFill="1" applyBorder="1" applyAlignment="1">
      <alignment vertical="center" wrapText="1"/>
    </xf>
    <xf numFmtId="0" fontId="37" fillId="0" borderId="8" xfId="5" applyFont="1" applyFill="1" applyBorder="1" applyAlignment="1">
      <alignment horizontal="justify" vertical="center" wrapText="1"/>
    </xf>
    <xf numFmtId="0" fontId="37" fillId="0" borderId="1" xfId="5" applyFont="1" applyFill="1" applyBorder="1" applyAlignment="1">
      <alignment horizontal="justify" vertical="center" wrapText="1"/>
    </xf>
    <xf numFmtId="166" fontId="37" fillId="0" borderId="1" xfId="7" applyNumberFormat="1" applyFont="1" applyFill="1" applyBorder="1" applyAlignment="1">
      <alignment horizontal="right" vertical="center" wrapText="1"/>
    </xf>
    <xf numFmtId="168" fontId="37" fillId="16" borderId="5" xfId="5" applyNumberFormat="1" applyFont="1" applyFill="1" applyBorder="1" applyAlignment="1">
      <alignment vertical="center" wrapText="1"/>
    </xf>
    <xf numFmtId="0" fontId="49" fillId="0" borderId="5" xfId="5" applyFont="1" applyBorder="1" applyAlignment="1">
      <alignment horizontal="right" vertical="center" wrapText="1"/>
    </xf>
    <xf numFmtId="0" fontId="38" fillId="0" borderId="5" xfId="5" applyFont="1" applyFill="1" applyBorder="1" applyAlignment="1">
      <alignment horizontal="justify" vertical="center" wrapText="1"/>
    </xf>
    <xf numFmtId="164" fontId="37" fillId="0" borderId="1" xfId="5" applyNumberFormat="1" applyFont="1" applyFill="1" applyBorder="1" applyAlignment="1">
      <alignment horizontal="right" vertical="center" wrapText="1"/>
    </xf>
    <xf numFmtId="170" fontId="37" fillId="0" borderId="1" xfId="5" applyNumberFormat="1" applyFont="1" applyFill="1" applyBorder="1" applyAlignment="1">
      <alignment horizontal="right" vertical="center" wrapText="1"/>
    </xf>
    <xf numFmtId="168" fontId="37" fillId="0" borderId="2" xfId="5" applyNumberFormat="1" applyFont="1" applyFill="1" applyBorder="1" applyAlignment="1">
      <alignment vertical="center" wrapText="1"/>
    </xf>
    <xf numFmtId="0" fontId="44" fillId="0" borderId="2" xfId="5" applyFont="1" applyFill="1" applyBorder="1" applyAlignment="1">
      <alignment vertical="center" wrapText="1"/>
    </xf>
    <xf numFmtId="0" fontId="37" fillId="0" borderId="21" xfId="5" applyFont="1" applyFill="1" applyBorder="1" applyAlignment="1">
      <alignment horizontal="right" vertical="center" wrapText="1"/>
    </xf>
    <xf numFmtId="168" fontId="37" fillId="16" borderId="5" xfId="5" applyNumberFormat="1" applyFont="1" applyFill="1" applyBorder="1" applyAlignment="1">
      <alignment horizontal="right" vertical="center" wrapText="1"/>
    </xf>
    <xf numFmtId="168" fontId="37" fillId="0" borderId="1" xfId="5" applyNumberFormat="1" applyFont="1" applyFill="1" applyBorder="1" applyAlignment="1">
      <alignment horizontal="right" vertical="center" wrapText="1"/>
    </xf>
    <xf numFmtId="0" fontId="37" fillId="0" borderId="2" xfId="6" applyFont="1" applyFill="1" applyBorder="1" applyAlignment="1">
      <alignment horizontal="left" vertical="center" wrapText="1"/>
    </xf>
    <xf numFmtId="0" fontId="37" fillId="0" borderId="43" xfId="5" applyFont="1" applyFill="1" applyBorder="1" applyAlignment="1">
      <alignment horizontal="right" vertical="center" wrapText="1"/>
    </xf>
    <xf numFmtId="0" fontId="37" fillId="0" borderId="2" xfId="6" applyFont="1" applyFill="1" applyBorder="1" applyAlignment="1">
      <alignment horizontal="right" vertical="center" wrapText="1"/>
    </xf>
    <xf numFmtId="0" fontId="37" fillId="0" borderId="1" xfId="6" applyFont="1" applyFill="1" applyBorder="1" applyAlignment="1">
      <alignment horizontal="right" vertical="center" wrapText="1"/>
    </xf>
    <xf numFmtId="169" fontId="37" fillId="0" borderId="1" xfId="5" applyNumberFormat="1" applyFont="1" applyFill="1" applyBorder="1" applyAlignment="1">
      <alignment horizontal="right" vertical="center" wrapText="1"/>
    </xf>
    <xf numFmtId="0" fontId="38" fillId="0" borderId="9" xfId="5" applyFont="1" applyFill="1" applyBorder="1" applyAlignment="1">
      <alignment horizontal="justify" vertical="center" wrapText="1"/>
    </xf>
    <xf numFmtId="0" fontId="37" fillId="0" borderId="0" xfId="5" applyFont="1" applyFill="1" applyAlignment="1">
      <alignment horizontal="left" vertical="center" wrapText="1" readingOrder="1"/>
    </xf>
    <xf numFmtId="9" fontId="37" fillId="0" borderId="1" xfId="7" applyFont="1" applyFill="1" applyBorder="1" applyAlignment="1">
      <alignment horizontal="right" vertical="center" wrapText="1"/>
    </xf>
    <xf numFmtId="168" fontId="37" fillId="16" borderId="4" xfId="5" applyNumberFormat="1" applyFont="1" applyFill="1" applyBorder="1" applyAlignment="1">
      <alignment horizontal="right" vertical="center" wrapText="1"/>
    </xf>
    <xf numFmtId="168" fontId="37" fillId="18" borderId="5" xfId="5" applyNumberFormat="1" applyFont="1" applyFill="1" applyBorder="1" applyAlignment="1">
      <alignment vertical="center" wrapText="1"/>
    </xf>
    <xf numFmtId="0" fontId="37" fillId="0" borderId="4" xfId="5" applyFont="1" applyBorder="1" applyAlignment="1">
      <alignment horizontal="right" vertical="center" wrapText="1"/>
    </xf>
    <xf numFmtId="3" fontId="37" fillId="0" borderId="8" xfId="6" applyNumberFormat="1" applyFont="1" applyFill="1" applyBorder="1" applyAlignment="1">
      <alignment horizontal="left" vertical="center" wrapText="1"/>
    </xf>
    <xf numFmtId="3" fontId="37" fillId="0" borderId="3" xfId="5" applyNumberFormat="1" applyFont="1" applyFill="1" applyBorder="1" applyAlignment="1">
      <alignment horizontal="right" vertical="center" wrapText="1"/>
    </xf>
    <xf numFmtId="168" fontId="37" fillId="18" borderId="4" xfId="5" applyNumberFormat="1" applyFont="1" applyFill="1" applyBorder="1" applyAlignment="1">
      <alignment vertical="center" wrapText="1"/>
    </xf>
    <xf numFmtId="3" fontId="37" fillId="0" borderId="8" xfId="6" applyNumberFormat="1" applyFont="1" applyFill="1" applyBorder="1" applyAlignment="1">
      <alignment horizontal="right" vertical="center" wrapText="1"/>
    </xf>
    <xf numFmtId="0" fontId="37" fillId="0" borderId="1" xfId="5" applyFont="1" applyBorder="1" applyAlignment="1">
      <alignment horizontal="right" vertical="center" wrapText="1"/>
    </xf>
    <xf numFmtId="0" fontId="37" fillId="0" borderId="3" xfId="5" applyFont="1" applyFill="1" applyBorder="1" applyAlignment="1">
      <alignment vertical="center" wrapText="1"/>
    </xf>
    <xf numFmtId="3" fontId="37" fillId="0" borderId="1" xfId="6" applyNumberFormat="1" applyFont="1" applyFill="1" applyBorder="1" applyAlignment="1">
      <alignment horizontal="left" vertical="center" wrapText="1"/>
    </xf>
    <xf numFmtId="168" fontId="37" fillId="19" borderId="3" xfId="5" applyNumberFormat="1" applyFont="1" applyFill="1" applyBorder="1" applyAlignment="1">
      <alignment vertical="center" wrapText="1"/>
    </xf>
    <xf numFmtId="0" fontId="51" fillId="0" borderId="47" xfId="5" applyFont="1" applyBorder="1" applyAlignment="1">
      <alignment horizontal="right" vertical="center" wrapText="1"/>
    </xf>
    <xf numFmtId="0" fontId="38" fillId="0" borderId="47" xfId="5" applyFont="1" applyFill="1" applyBorder="1" applyAlignment="1">
      <alignment vertical="center" wrapText="1"/>
    </xf>
    <xf numFmtId="0" fontId="44" fillId="0" borderId="48" xfId="5" applyFont="1" applyFill="1" applyBorder="1" applyAlignment="1">
      <alignment horizontal="right" vertical="center" wrapText="1"/>
    </xf>
    <xf numFmtId="0" fontId="37" fillId="0" borderId="48" xfId="5" applyFont="1" applyFill="1" applyBorder="1" applyAlignment="1">
      <alignment vertical="center" wrapText="1"/>
    </xf>
    <xf numFmtId="3" fontId="37" fillId="0" borderId="48" xfId="6" applyNumberFormat="1" applyFont="1" applyFill="1" applyBorder="1" applyAlignment="1">
      <alignment horizontal="left" vertical="center" wrapText="1"/>
    </xf>
    <xf numFmtId="9" fontId="37" fillId="0" borderId="48" xfId="7" applyFont="1" applyFill="1" applyBorder="1" applyAlignment="1">
      <alignment horizontal="right" vertical="center" wrapText="1"/>
    </xf>
    <xf numFmtId="9" fontId="37" fillId="0" borderId="47" xfId="7" applyFont="1" applyFill="1" applyBorder="1" applyAlignment="1">
      <alignment horizontal="right" vertical="center" wrapText="1"/>
    </xf>
    <xf numFmtId="168" fontId="37" fillId="19" borderId="47" xfId="5" applyNumberFormat="1" applyFont="1" applyFill="1" applyBorder="1" applyAlignment="1">
      <alignment vertical="center" wrapText="1"/>
    </xf>
    <xf numFmtId="168" fontId="37" fillId="0" borderId="47" xfId="5" applyNumberFormat="1" applyFont="1" applyFill="1" applyBorder="1" applyAlignment="1">
      <alignment horizontal="right" vertical="center" wrapText="1"/>
    </xf>
    <xf numFmtId="168" fontId="37" fillId="0" borderId="47" xfId="5" applyNumberFormat="1" applyFont="1" applyFill="1" applyBorder="1" applyAlignment="1">
      <alignment vertical="center" wrapText="1"/>
    </xf>
    <xf numFmtId="3" fontId="37" fillId="0" borderId="50" xfId="6" applyNumberFormat="1" applyFont="1" applyFill="1" applyBorder="1" applyAlignment="1">
      <alignment horizontal="right" vertical="center" wrapText="1"/>
    </xf>
    <xf numFmtId="0" fontId="37" fillId="0" borderId="51" xfId="5" applyFont="1" applyFill="1" applyBorder="1" applyAlignment="1">
      <alignment vertical="center" wrapText="1"/>
    </xf>
    <xf numFmtId="0" fontId="37" fillId="16" borderId="0" xfId="5" applyFont="1" applyFill="1" applyBorder="1" applyAlignment="1">
      <alignment horizontal="justify" vertical="center" wrapText="1"/>
    </xf>
    <xf numFmtId="0" fontId="37" fillId="0" borderId="5" xfId="5" applyFont="1" applyBorder="1" applyAlignment="1">
      <alignment horizontal="right" vertical="center" wrapText="1"/>
    </xf>
    <xf numFmtId="0" fontId="37" fillId="0" borderId="0" xfId="5" applyFont="1" applyFill="1" applyBorder="1" applyAlignment="1">
      <alignment vertical="center" wrapText="1"/>
    </xf>
    <xf numFmtId="0" fontId="44" fillId="0" borderId="5" xfId="5" applyFont="1" applyFill="1" applyBorder="1" applyAlignment="1">
      <alignment horizontal="right" vertical="center" wrapText="1"/>
    </xf>
    <xf numFmtId="3" fontId="37" fillId="0" borderId="10" xfId="6" applyNumberFormat="1" applyFont="1" applyFill="1" applyBorder="1" applyAlignment="1">
      <alignment horizontal="left" vertical="center" wrapText="1"/>
    </xf>
    <xf numFmtId="9" fontId="37" fillId="0" borderId="10" xfId="5" applyNumberFormat="1" applyFont="1" applyFill="1" applyBorder="1" applyAlignment="1">
      <alignment vertical="center" wrapText="1"/>
    </xf>
    <xf numFmtId="9" fontId="37" fillId="0" borderId="4" xfId="5" applyNumberFormat="1" applyFont="1" applyFill="1" applyBorder="1" applyAlignment="1">
      <alignment vertical="center" wrapText="1"/>
    </xf>
    <xf numFmtId="0" fontId="37" fillId="0" borderId="4" xfId="5" applyFont="1" applyFill="1" applyBorder="1" applyAlignment="1">
      <alignment horizontal="right" vertical="center" wrapText="1"/>
    </xf>
    <xf numFmtId="168" fontId="37" fillId="8" borderId="34" xfId="5" applyNumberFormat="1" applyFont="1" applyFill="1" applyBorder="1" applyAlignment="1">
      <alignment vertical="center" wrapText="1"/>
    </xf>
    <xf numFmtId="168" fontId="37" fillId="0" borderId="4" xfId="5" applyNumberFormat="1" applyFont="1" applyFill="1" applyBorder="1" applyAlignment="1">
      <alignment vertical="center" wrapText="1"/>
    </xf>
    <xf numFmtId="3" fontId="37" fillId="0" borderId="10" xfId="6" applyNumberFormat="1" applyFont="1" applyFill="1" applyBorder="1" applyAlignment="1">
      <alignment horizontal="right" vertical="center" wrapText="1"/>
    </xf>
    <xf numFmtId="0" fontId="37" fillId="0" borderId="12" xfId="5" applyFont="1" applyFill="1" applyBorder="1" applyAlignment="1">
      <alignment vertical="center" wrapText="1"/>
    </xf>
    <xf numFmtId="169" fontId="37" fillId="0" borderId="1" xfId="5" applyNumberFormat="1" applyFont="1" applyFill="1" applyBorder="1" applyAlignment="1">
      <alignment vertical="center" wrapText="1"/>
    </xf>
    <xf numFmtId="0" fontId="48" fillId="16" borderId="0" xfId="5" applyFont="1" applyFill="1" applyBorder="1" applyAlignment="1">
      <alignment horizontal="justify" vertical="center" wrapText="1"/>
    </xf>
    <xf numFmtId="0" fontId="37" fillId="0" borderId="15" xfId="5" applyFont="1" applyFill="1" applyBorder="1" applyAlignment="1">
      <alignment horizontal="justify" vertical="center" wrapText="1"/>
    </xf>
    <xf numFmtId="0" fontId="37" fillId="0" borderId="2" xfId="5" applyFont="1" applyFill="1" applyBorder="1" applyAlignment="1">
      <alignment vertical="center" wrapText="1"/>
    </xf>
    <xf numFmtId="0" fontId="38" fillId="0" borderId="0" xfId="5" applyFont="1" applyFill="1" applyBorder="1" applyAlignment="1">
      <alignment horizontal="justify" vertical="center" wrapText="1"/>
    </xf>
    <xf numFmtId="0" fontId="37" fillId="0" borderId="21" xfId="5" applyFont="1" applyFill="1" applyBorder="1" applyAlignment="1">
      <alignment vertical="center" wrapText="1"/>
    </xf>
    <xf numFmtId="10" fontId="37" fillId="0" borderId="1" xfId="5" applyNumberFormat="1" applyFont="1" applyFill="1" applyBorder="1" applyAlignment="1">
      <alignment vertical="center" wrapText="1"/>
    </xf>
    <xf numFmtId="168" fontId="37" fillId="16" borderId="1" xfId="5" applyNumberFormat="1" applyFont="1" applyFill="1" applyBorder="1" applyAlignment="1">
      <alignment vertical="center" wrapText="1"/>
    </xf>
    <xf numFmtId="0" fontId="37" fillId="0" borderId="26" xfId="5" applyFont="1" applyFill="1" applyBorder="1" applyAlignment="1">
      <alignment horizontal="justify" vertical="center" wrapText="1"/>
    </xf>
    <xf numFmtId="0" fontId="37" fillId="0" borderId="10" xfId="5" applyFont="1" applyFill="1" applyBorder="1" applyAlignment="1">
      <alignment vertical="center" wrapText="1"/>
    </xf>
    <xf numFmtId="168" fontId="37" fillId="18" borderId="1" xfId="5" applyNumberFormat="1" applyFont="1" applyFill="1" applyBorder="1" applyAlignment="1">
      <alignment vertical="center" wrapText="1"/>
    </xf>
    <xf numFmtId="168" fontId="37" fillId="19" borderId="5" xfId="5" applyNumberFormat="1" applyFont="1" applyFill="1" applyBorder="1" applyAlignment="1">
      <alignment vertical="center" wrapText="1"/>
    </xf>
    <xf numFmtId="0" fontId="38" fillId="0" borderId="11" xfId="5" applyFont="1" applyFill="1" applyBorder="1" applyAlignment="1">
      <alignment horizontal="justify" vertical="center" wrapText="1"/>
    </xf>
    <xf numFmtId="168" fontId="37" fillId="19" borderId="4" xfId="5" applyNumberFormat="1" applyFont="1" applyFill="1" applyBorder="1" applyAlignment="1">
      <alignment vertical="center" wrapText="1"/>
    </xf>
    <xf numFmtId="0" fontId="37" fillId="0" borderId="47" xfId="5" applyFont="1" applyBorder="1" applyAlignment="1">
      <alignment horizontal="right" vertical="center" wrapText="1"/>
    </xf>
    <xf numFmtId="0" fontId="37" fillId="0" borderId="53" xfId="5" applyFont="1" applyFill="1" applyBorder="1" applyAlignment="1">
      <alignment vertical="center" wrapText="1"/>
    </xf>
    <xf numFmtId="0" fontId="44" fillId="0" borderId="47" xfId="5" applyFont="1" applyFill="1" applyBorder="1" applyAlignment="1">
      <alignment horizontal="right" vertical="center" wrapText="1"/>
    </xf>
    <xf numFmtId="3" fontId="37" fillId="0" borderId="50" xfId="6" applyNumberFormat="1" applyFont="1" applyFill="1" applyBorder="1" applyAlignment="1">
      <alignment horizontal="left" vertical="center" wrapText="1"/>
    </xf>
    <xf numFmtId="0" fontId="54" fillId="0" borderId="1" xfId="5" applyFont="1" applyFill="1" applyBorder="1" applyAlignment="1">
      <alignment vertical="center" wrapText="1"/>
    </xf>
    <xf numFmtId="9" fontId="37" fillId="0" borderId="54" xfId="5" applyNumberFormat="1" applyFont="1" applyFill="1" applyBorder="1" applyAlignment="1">
      <alignment vertical="center" wrapText="1"/>
    </xf>
    <xf numFmtId="1" fontId="37" fillId="0" borderId="47" xfId="7" applyNumberFormat="1" applyFont="1" applyFill="1" applyBorder="1" applyAlignment="1">
      <alignment horizontal="right" vertical="center" wrapText="1"/>
    </xf>
    <xf numFmtId="168" fontId="37" fillId="20" borderId="47" xfId="5" applyNumberFormat="1" applyFont="1" applyFill="1" applyBorder="1" applyAlignment="1">
      <alignment vertical="center" wrapText="1"/>
    </xf>
    <xf numFmtId="168" fontId="37" fillId="0" borderId="48" xfId="5" applyNumberFormat="1" applyFont="1" applyFill="1" applyBorder="1" applyAlignment="1">
      <alignment horizontal="right" vertical="center" wrapText="1"/>
    </xf>
    <xf numFmtId="0" fontId="37" fillId="4" borderId="45" xfId="5" applyFont="1" applyFill="1" applyBorder="1" applyAlignment="1">
      <alignment horizontal="justify" vertical="center" wrapText="1"/>
    </xf>
    <xf numFmtId="0" fontId="37" fillId="17" borderId="0" xfId="5" applyFont="1" applyFill="1" applyBorder="1" applyAlignment="1">
      <alignment horizontal="justify" vertical="center" wrapText="1"/>
    </xf>
    <xf numFmtId="0" fontId="37" fillId="0" borderId="9" xfId="5" applyFont="1" applyFill="1" applyBorder="1" applyAlignment="1">
      <alignment horizontal="justify" vertical="center" wrapText="1"/>
    </xf>
    <xf numFmtId="0" fontId="37" fillId="0" borderId="10" xfId="6" applyFont="1" applyFill="1" applyBorder="1" applyAlignment="1">
      <alignment horizontal="left" vertical="center" wrapText="1"/>
    </xf>
    <xf numFmtId="9" fontId="37" fillId="0" borderId="4" xfId="7" applyFont="1" applyFill="1" applyBorder="1" applyAlignment="1">
      <alignment horizontal="right" vertical="center" wrapText="1"/>
    </xf>
    <xf numFmtId="168" fontId="37" fillId="9" borderId="5" xfId="5" applyNumberFormat="1" applyFont="1" applyFill="1" applyBorder="1" applyAlignment="1">
      <alignment vertical="center" wrapText="1"/>
    </xf>
    <xf numFmtId="168" fontId="37" fillId="9" borderId="34" xfId="5" applyNumberFormat="1" applyFont="1" applyFill="1" applyBorder="1" applyAlignment="1">
      <alignment vertical="center" wrapText="1"/>
    </xf>
    <xf numFmtId="0" fontId="37" fillId="0" borderId="52" xfId="5" applyFont="1" applyFill="1" applyBorder="1" applyAlignment="1">
      <alignment horizontal="right" vertical="center" wrapText="1"/>
    </xf>
    <xf numFmtId="0" fontId="37" fillId="0" borderId="10" xfId="6" applyFont="1" applyFill="1" applyBorder="1" applyAlignment="1">
      <alignment horizontal="right" vertical="center" wrapText="1"/>
    </xf>
    <xf numFmtId="0" fontId="55" fillId="4" borderId="45" xfId="5" applyFont="1" applyFill="1" applyBorder="1" applyAlignment="1">
      <alignment horizontal="justify" vertical="center" wrapText="1"/>
    </xf>
    <xf numFmtId="0" fontId="37" fillId="0" borderId="3" xfId="7" applyNumberFormat="1" applyFont="1" applyBorder="1" applyAlignment="1">
      <alignment horizontal="right" vertical="center" wrapText="1"/>
    </xf>
    <xf numFmtId="0" fontId="44" fillId="0" borderId="1" xfId="7" applyNumberFormat="1" applyFont="1" applyFill="1" applyBorder="1" applyAlignment="1">
      <alignment horizontal="right" vertical="center" wrapText="1"/>
    </xf>
    <xf numFmtId="166" fontId="37" fillId="0" borderId="4" xfId="7" applyNumberFormat="1" applyFont="1" applyFill="1" applyBorder="1" applyAlignment="1">
      <alignment horizontal="right" vertical="center" wrapText="1"/>
    </xf>
    <xf numFmtId="168" fontId="37" fillId="13" borderId="5" xfId="5" applyNumberFormat="1" applyFont="1" applyFill="1" applyBorder="1" applyAlignment="1">
      <alignment vertical="center" wrapText="1"/>
    </xf>
    <xf numFmtId="0" fontId="57" fillId="17" borderId="0" xfId="5" applyFont="1" applyFill="1" applyBorder="1" applyAlignment="1">
      <alignment horizontal="justify" vertical="center" wrapText="1"/>
    </xf>
    <xf numFmtId="0" fontId="37" fillId="0" borderId="5" xfId="7" applyNumberFormat="1" applyFont="1" applyBorder="1" applyAlignment="1">
      <alignment horizontal="right" vertical="center" wrapText="1"/>
    </xf>
    <xf numFmtId="0" fontId="37" fillId="0" borderId="4" xfId="7" applyNumberFormat="1" applyFont="1" applyBorder="1" applyAlignment="1">
      <alignment horizontal="right" vertical="center" wrapText="1"/>
    </xf>
    <xf numFmtId="0" fontId="38" fillId="0" borderId="10" xfId="5" applyFont="1" applyFill="1" applyBorder="1" applyAlignment="1">
      <alignment horizontal="justify" vertical="center" wrapText="1"/>
    </xf>
    <xf numFmtId="1" fontId="37" fillId="0" borderId="1" xfId="7" applyNumberFormat="1" applyFont="1" applyFill="1" applyBorder="1" applyAlignment="1">
      <alignment horizontal="right" vertical="center" wrapText="1"/>
    </xf>
    <xf numFmtId="168" fontId="37" fillId="13" borderId="4" xfId="5" applyNumberFormat="1" applyFont="1" applyFill="1" applyBorder="1" applyAlignment="1">
      <alignment vertical="center" wrapText="1"/>
    </xf>
    <xf numFmtId="0" fontId="38" fillId="0" borderId="47" xfId="5" applyFont="1" applyBorder="1" applyAlignment="1">
      <alignment horizontal="right" vertical="center" wrapText="1"/>
    </xf>
    <xf numFmtId="0" fontId="37" fillId="0" borderId="47" xfId="5" applyFont="1" applyFill="1" applyBorder="1" applyAlignment="1">
      <alignment horizontal="justify" vertical="center" wrapText="1"/>
    </xf>
    <xf numFmtId="0" fontId="37" fillId="0" borderId="48" xfId="5" applyFont="1" applyFill="1" applyBorder="1" applyAlignment="1">
      <alignment horizontal="justify" vertical="center" wrapText="1"/>
    </xf>
    <xf numFmtId="0" fontId="37" fillId="0" borderId="50" xfId="6" applyFont="1" applyFill="1" applyBorder="1" applyAlignment="1">
      <alignment horizontal="left" vertical="center" wrapText="1"/>
    </xf>
    <xf numFmtId="0" fontId="37" fillId="0" borderId="54" xfId="6" applyFont="1" applyFill="1" applyBorder="1" applyAlignment="1">
      <alignment horizontal="left" vertical="center" wrapText="1"/>
    </xf>
    <xf numFmtId="1" fontId="37" fillId="0" borderId="48" xfId="7" applyNumberFormat="1" applyFont="1" applyFill="1" applyBorder="1" applyAlignment="1">
      <alignment horizontal="right" vertical="center" wrapText="1"/>
    </xf>
    <xf numFmtId="168" fontId="37" fillId="21" borderId="47" xfId="5" applyNumberFormat="1" applyFont="1" applyFill="1" applyBorder="1" applyAlignment="1">
      <alignment vertical="center" wrapText="1"/>
    </xf>
    <xf numFmtId="0" fontId="37" fillId="0" borderId="49" xfId="5" applyFont="1" applyFill="1" applyBorder="1" applyAlignment="1">
      <alignment horizontal="right" vertical="center" wrapText="1"/>
    </xf>
    <xf numFmtId="0" fontId="37" fillId="0" borderId="50" xfId="6" applyFont="1" applyFill="1" applyBorder="1" applyAlignment="1">
      <alignment horizontal="right" vertical="center" wrapText="1"/>
    </xf>
    <xf numFmtId="0" fontId="37" fillId="14" borderId="0" xfId="5" applyFont="1" applyFill="1" applyBorder="1" applyAlignment="1">
      <alignment horizontal="justify" vertical="center" wrapText="1"/>
    </xf>
    <xf numFmtId="0" fontId="37" fillId="0" borderId="11" xfId="5" applyFont="1" applyFill="1" applyBorder="1" applyAlignment="1">
      <alignment horizontal="justify" vertical="center" wrapText="1"/>
    </xf>
    <xf numFmtId="168" fontId="37" fillId="22" borderId="5" xfId="5" applyNumberFormat="1" applyFont="1" applyFill="1" applyBorder="1" applyAlignment="1">
      <alignment vertical="center" wrapText="1"/>
    </xf>
    <xf numFmtId="0" fontId="58" fillId="14" borderId="0" xfId="5" applyFont="1" applyFill="1" applyBorder="1" applyAlignment="1">
      <alignment horizontal="justify" vertical="center" wrapText="1"/>
    </xf>
    <xf numFmtId="9" fontId="37" fillId="0" borderId="1" xfId="7" applyNumberFormat="1" applyFont="1" applyFill="1" applyBorder="1" applyAlignment="1">
      <alignment horizontal="right" vertical="center" wrapText="1"/>
    </xf>
    <xf numFmtId="0" fontId="38" fillId="0" borderId="4" xfId="5" applyFont="1" applyFill="1" applyBorder="1" applyAlignment="1">
      <alignment horizontal="justify" vertical="center" wrapText="1"/>
    </xf>
    <xf numFmtId="168" fontId="37" fillId="22" borderId="4" xfId="5" applyNumberFormat="1" applyFont="1" applyFill="1" applyBorder="1" applyAlignment="1">
      <alignment vertical="center" wrapText="1"/>
    </xf>
    <xf numFmtId="0" fontId="54" fillId="0" borderId="1" xfId="5" applyFont="1" applyFill="1" applyBorder="1" applyAlignment="1">
      <alignment horizontal="justify" vertical="center" wrapText="1"/>
    </xf>
    <xf numFmtId="0" fontId="37" fillId="0" borderId="1" xfId="6" applyFont="1" applyFill="1" applyBorder="1" applyAlignment="1">
      <alignment horizontal="left" vertical="center" wrapText="1"/>
    </xf>
    <xf numFmtId="168" fontId="37" fillId="23" borderId="1" xfId="5" applyNumberFormat="1" applyFont="1" applyFill="1" applyBorder="1" applyAlignment="1">
      <alignment vertical="center" wrapText="1"/>
    </xf>
    <xf numFmtId="0" fontId="37" fillId="0" borderId="4" xfId="5" applyFont="1" applyFill="1" applyBorder="1" applyAlignment="1">
      <alignment horizontal="justify" vertical="center" wrapText="1"/>
    </xf>
    <xf numFmtId="0" fontId="37" fillId="0" borderId="26" xfId="5" applyFont="1" applyFill="1" applyBorder="1" applyAlignment="1">
      <alignment vertical="center" wrapText="1"/>
    </xf>
    <xf numFmtId="168" fontId="37" fillId="24" borderId="1" xfId="5" applyNumberFormat="1" applyFont="1" applyFill="1" applyBorder="1" applyAlignment="1">
      <alignment vertical="center" wrapText="1"/>
    </xf>
    <xf numFmtId="0" fontId="37" fillId="0" borderId="3" xfId="5" applyFont="1" applyFill="1" applyBorder="1" applyAlignment="1">
      <alignment horizontal="justify" vertical="center" wrapText="1"/>
    </xf>
    <xf numFmtId="168" fontId="37" fillId="25" borderId="5" xfId="5" applyNumberFormat="1" applyFont="1" applyFill="1" applyBorder="1" applyAlignment="1">
      <alignment vertical="center" wrapText="1"/>
    </xf>
    <xf numFmtId="168" fontId="37" fillId="25" borderId="4" xfId="5" applyNumberFormat="1" applyFont="1" applyFill="1" applyBorder="1" applyAlignment="1">
      <alignment vertical="center" wrapText="1"/>
    </xf>
    <xf numFmtId="0" fontId="37" fillId="0" borderId="13" xfId="5" applyFont="1" applyFill="1" applyBorder="1" applyAlignment="1">
      <alignment horizontal="justify" vertical="center" wrapText="1"/>
    </xf>
    <xf numFmtId="9" fontId="37" fillId="0" borderId="1" xfId="5" applyNumberFormat="1" applyFont="1" applyFill="1" applyBorder="1" applyAlignment="1">
      <alignment horizontal="right" vertical="center" wrapText="1"/>
    </xf>
    <xf numFmtId="168" fontId="37" fillId="26" borderId="5" xfId="5" applyNumberFormat="1" applyFont="1" applyFill="1" applyBorder="1" applyAlignment="1">
      <alignment vertical="center" wrapText="1"/>
    </xf>
    <xf numFmtId="0" fontId="38" fillId="0" borderId="47" xfId="5" applyFont="1" applyFill="1" applyBorder="1" applyAlignment="1">
      <alignment horizontal="justify" vertical="center" wrapText="1"/>
    </xf>
    <xf numFmtId="0" fontId="37" fillId="0" borderId="48" xfId="6" applyFont="1" applyFill="1" applyBorder="1" applyAlignment="1">
      <alignment horizontal="left" vertical="center" wrapText="1"/>
    </xf>
    <xf numFmtId="9" fontId="37" fillId="0" borderId="48" xfId="5" applyNumberFormat="1" applyFont="1" applyFill="1" applyBorder="1" applyAlignment="1">
      <alignment horizontal="right" vertical="center" wrapText="1"/>
    </xf>
    <xf numFmtId="0" fontId="37" fillId="0" borderId="48" xfId="5" applyFont="1" applyFill="1" applyBorder="1" applyAlignment="1">
      <alignment horizontal="right" vertical="center" wrapText="1"/>
    </xf>
    <xf numFmtId="168" fontId="37" fillId="22" borderId="50" xfId="5" applyNumberFormat="1" applyFont="1" applyFill="1" applyBorder="1" applyAlignment="1">
      <alignment vertical="center" wrapText="1"/>
    </xf>
    <xf numFmtId="168" fontId="37" fillId="26" borderId="50" xfId="5" applyNumberFormat="1" applyFont="1" applyFill="1" applyBorder="1" applyAlignment="1">
      <alignment vertical="center" wrapText="1"/>
    </xf>
    <xf numFmtId="168" fontId="37" fillId="0" borderId="54" xfId="5" applyNumberFormat="1" applyFont="1" applyFill="1" applyBorder="1" applyAlignment="1">
      <alignment vertical="center" wrapText="1"/>
    </xf>
    <xf numFmtId="0" fontId="44" fillId="0" borderId="54" xfId="5" applyFont="1" applyFill="1" applyBorder="1" applyAlignment="1">
      <alignment vertical="center" wrapText="1"/>
    </xf>
    <xf numFmtId="0" fontId="37" fillId="0" borderId="55" xfId="5" applyFont="1" applyFill="1" applyBorder="1" applyAlignment="1">
      <alignment horizontal="right" vertical="center" wrapText="1"/>
    </xf>
    <xf numFmtId="0" fontId="37" fillId="0" borderId="54" xfId="6" applyFont="1" applyFill="1" applyBorder="1" applyAlignment="1">
      <alignment horizontal="right" vertical="center" wrapText="1"/>
    </xf>
    <xf numFmtId="0" fontId="37" fillId="27" borderId="45" xfId="5" applyFont="1" applyFill="1" applyBorder="1" applyAlignment="1">
      <alignment horizontal="justify" vertical="center" wrapText="1"/>
    </xf>
    <xf numFmtId="0" fontId="37" fillId="28" borderId="0" xfId="5" applyFont="1" applyFill="1" applyBorder="1" applyAlignment="1">
      <alignment horizontal="justify" vertical="center" wrapText="1"/>
    </xf>
    <xf numFmtId="0" fontId="37" fillId="0" borderId="5" xfId="5" applyFont="1" applyFill="1" applyBorder="1" applyAlignment="1">
      <alignment horizontal="justify" vertical="center" wrapText="1"/>
    </xf>
    <xf numFmtId="0" fontId="44" fillId="0" borderId="5" xfId="7" applyNumberFormat="1" applyFont="1" applyFill="1" applyBorder="1" applyAlignment="1">
      <alignment horizontal="right" vertical="center" wrapText="1"/>
    </xf>
    <xf numFmtId="0" fontId="37" fillId="0" borderId="4" xfId="6" applyFont="1" applyFill="1" applyBorder="1" applyAlignment="1">
      <alignment horizontal="left" vertical="center" wrapText="1"/>
    </xf>
    <xf numFmtId="1" fontId="37" fillId="0" borderId="4" xfId="7" applyNumberFormat="1" applyFont="1" applyFill="1" applyBorder="1" applyAlignment="1">
      <alignment horizontal="right" vertical="center" wrapText="1"/>
    </xf>
    <xf numFmtId="0" fontId="60" fillId="27" borderId="45" xfId="5" applyFont="1" applyFill="1" applyBorder="1" applyAlignment="1">
      <alignment horizontal="justify" vertical="center" wrapText="1"/>
    </xf>
    <xf numFmtId="0" fontId="61" fillId="28" borderId="0" xfId="5" applyFont="1" applyFill="1" applyBorder="1" applyAlignment="1">
      <alignment horizontal="justify" vertical="center" wrapText="1"/>
    </xf>
    <xf numFmtId="1" fontId="37" fillId="0" borderId="1" xfId="5" applyNumberFormat="1" applyFont="1" applyFill="1" applyBorder="1" applyAlignment="1">
      <alignment horizontal="right" vertical="center" wrapText="1"/>
    </xf>
    <xf numFmtId="168" fontId="37" fillId="9" borderId="4" xfId="5" applyNumberFormat="1" applyFont="1" applyFill="1" applyBorder="1" applyAlignment="1">
      <alignment vertical="center" wrapText="1"/>
    </xf>
    <xf numFmtId="0" fontId="37" fillId="0" borderId="1" xfId="7" applyNumberFormat="1" applyFont="1" applyBorder="1" applyAlignment="1">
      <alignment horizontal="right" vertical="center" wrapText="1"/>
    </xf>
    <xf numFmtId="9" fontId="37" fillId="0" borderId="4" xfId="7" applyNumberFormat="1" applyFont="1" applyFill="1" applyBorder="1" applyAlignment="1">
      <alignment horizontal="right" vertical="center" wrapText="1"/>
    </xf>
    <xf numFmtId="168" fontId="37" fillId="21" borderId="5" xfId="5" applyNumberFormat="1" applyFont="1" applyFill="1" applyBorder="1" applyAlignment="1">
      <alignment vertical="center" wrapText="1"/>
    </xf>
    <xf numFmtId="168" fontId="37" fillId="21" borderId="4" xfId="5" applyNumberFormat="1" applyFont="1" applyFill="1" applyBorder="1" applyAlignment="1">
      <alignment vertical="center" wrapText="1"/>
    </xf>
    <xf numFmtId="168" fontId="37" fillId="29" borderId="5" xfId="5" applyNumberFormat="1" applyFont="1" applyFill="1" applyBorder="1" applyAlignment="1">
      <alignment vertical="center" wrapText="1"/>
    </xf>
    <xf numFmtId="168" fontId="37" fillId="29" borderId="4" xfId="5" applyNumberFormat="1" applyFont="1" applyFill="1" applyBorder="1" applyAlignment="1">
      <alignment vertical="center" wrapText="1"/>
    </xf>
    <xf numFmtId="0" fontId="44" fillId="0" borderId="2" xfId="6" applyFont="1" applyFill="1" applyBorder="1" applyAlignment="1">
      <alignment vertical="center" wrapText="1"/>
    </xf>
    <xf numFmtId="168" fontId="38" fillId="30" borderId="4" xfId="5" applyNumberFormat="1" applyFont="1" applyFill="1" applyBorder="1" applyAlignment="1">
      <alignment vertical="center" wrapText="1"/>
    </xf>
    <xf numFmtId="168" fontId="38" fillId="31" borderId="3" xfId="5" applyNumberFormat="1" applyFont="1" applyFill="1" applyBorder="1" applyAlignment="1">
      <alignment vertical="center" wrapText="1"/>
    </xf>
    <xf numFmtId="0" fontId="37" fillId="0" borderId="47" xfId="7" applyNumberFormat="1" applyFont="1" applyBorder="1" applyAlignment="1">
      <alignment horizontal="right" vertical="center" wrapText="1"/>
    </xf>
    <xf numFmtId="0" fontId="44" fillId="0" borderId="47" xfId="7" applyNumberFormat="1" applyFont="1" applyFill="1" applyBorder="1" applyAlignment="1">
      <alignment horizontal="right" vertical="center" wrapText="1"/>
    </xf>
    <xf numFmtId="166" fontId="37" fillId="0" borderId="48" xfId="7" applyNumberFormat="1" applyFont="1" applyFill="1" applyBorder="1" applyAlignment="1">
      <alignment vertical="center" wrapText="1"/>
    </xf>
    <xf numFmtId="9" fontId="37" fillId="0" borderId="48" xfId="7" applyFont="1" applyFill="1" applyBorder="1" applyAlignment="1">
      <alignment vertical="center" wrapText="1"/>
    </xf>
    <xf numFmtId="168" fontId="37" fillId="31" borderId="47" xfId="5" applyNumberFormat="1" applyFont="1" applyFill="1" applyBorder="1" applyAlignment="1">
      <alignment vertical="center" wrapText="1"/>
    </xf>
    <xf numFmtId="168" fontId="37" fillId="0" borderId="48" xfId="5" applyNumberFormat="1" applyFont="1" applyFill="1" applyBorder="1" applyAlignment="1">
      <alignment vertical="center" wrapText="1"/>
    </xf>
    <xf numFmtId="0" fontId="37" fillId="32" borderId="0" xfId="5" applyFont="1" applyFill="1" applyBorder="1" applyAlignment="1">
      <alignment horizontal="justify" vertical="center" wrapText="1"/>
    </xf>
    <xf numFmtId="0" fontId="44" fillId="0" borderId="4" xfId="7" applyNumberFormat="1" applyFont="1" applyFill="1" applyBorder="1" applyAlignment="1">
      <alignment horizontal="right" vertical="center" wrapText="1"/>
    </xf>
    <xf numFmtId="168" fontId="37" fillId="33" borderId="4" xfId="5" applyNumberFormat="1" applyFont="1" applyFill="1" applyBorder="1" applyAlignment="1">
      <alignment vertical="center" wrapText="1"/>
    </xf>
    <xf numFmtId="0" fontId="62" fillId="32" borderId="0" xfId="5" applyFont="1" applyFill="1" applyBorder="1" applyAlignment="1">
      <alignment horizontal="justify" vertical="center" wrapText="1"/>
    </xf>
    <xf numFmtId="0" fontId="37" fillId="0" borderId="1" xfId="5" applyNumberFormat="1" applyFont="1" applyBorder="1" applyAlignment="1">
      <alignment horizontal="right" vertical="center" wrapText="1"/>
    </xf>
    <xf numFmtId="0" fontId="44" fillId="0" borderId="1" xfId="5" applyNumberFormat="1" applyFont="1" applyFill="1" applyBorder="1" applyAlignment="1">
      <alignment horizontal="right" vertical="center" wrapText="1"/>
    </xf>
    <xf numFmtId="168" fontId="37" fillId="34" borderId="1" xfId="5" applyNumberFormat="1" applyFont="1" applyFill="1" applyBorder="1" applyAlignment="1">
      <alignment vertical="center" wrapText="1"/>
    </xf>
    <xf numFmtId="0" fontId="56" fillId="0" borderId="1" xfId="5" applyFont="1" applyFill="1" applyBorder="1" applyAlignment="1">
      <alignment vertical="center" wrapText="1"/>
    </xf>
    <xf numFmtId="168" fontId="37" fillId="35" borderId="2" xfId="5" applyNumberFormat="1" applyFont="1" applyFill="1" applyBorder="1" applyAlignment="1">
      <alignment vertical="center" wrapText="1"/>
    </xf>
    <xf numFmtId="169" fontId="37" fillId="11" borderId="1" xfId="5" applyNumberFormat="1" applyFont="1" applyFill="1" applyBorder="1" applyAlignment="1">
      <alignment vertical="center" wrapText="1"/>
    </xf>
    <xf numFmtId="168" fontId="38" fillId="36" borderId="2" xfId="5" applyNumberFormat="1" applyFont="1" applyFill="1" applyBorder="1" applyAlignment="1">
      <alignment vertical="center" wrapText="1"/>
    </xf>
    <xf numFmtId="0" fontId="44" fillId="0" borderId="2" xfId="5" applyFont="1" applyFill="1" applyBorder="1" applyAlignment="1">
      <alignment horizontal="justify" vertical="center" wrapText="1"/>
    </xf>
    <xf numFmtId="0" fontId="38" fillId="0" borderId="3" xfId="5" applyNumberFormat="1" applyFont="1" applyBorder="1" applyAlignment="1">
      <alignment horizontal="right" vertical="center" wrapText="1"/>
    </xf>
    <xf numFmtId="168" fontId="38" fillId="37" borderId="3" xfId="5" applyNumberFormat="1" applyFont="1" applyFill="1" applyBorder="1" applyAlignment="1">
      <alignment vertical="center" wrapText="1"/>
    </xf>
    <xf numFmtId="0" fontId="38" fillId="0" borderId="47" xfId="5" applyNumberFormat="1" applyFont="1" applyBorder="1" applyAlignment="1">
      <alignment horizontal="right" vertical="center" wrapText="1"/>
    </xf>
    <xf numFmtId="0" fontId="44" fillId="0" borderId="47" xfId="5" applyNumberFormat="1" applyFont="1" applyFill="1" applyBorder="1" applyAlignment="1">
      <alignment horizontal="right" vertical="center" wrapText="1"/>
    </xf>
    <xf numFmtId="0" fontId="37" fillId="0" borderId="50" xfId="5" applyFont="1" applyFill="1" applyBorder="1" applyAlignment="1">
      <alignment vertical="center" wrapText="1"/>
    </xf>
    <xf numFmtId="0" fontId="37" fillId="0" borderId="56" xfId="5" applyFont="1" applyFill="1" applyBorder="1" applyAlignment="1">
      <alignment vertical="center" wrapText="1"/>
    </xf>
    <xf numFmtId="168" fontId="37" fillId="33" borderId="50" xfId="5" applyNumberFormat="1" applyFont="1" applyFill="1" applyBorder="1" applyAlignment="1">
      <alignment vertical="center" wrapText="1"/>
    </xf>
    <xf numFmtId="168" fontId="37" fillId="37" borderId="50" xfId="5" applyNumberFormat="1" applyFont="1" applyFill="1" applyBorder="1" applyAlignment="1">
      <alignment vertical="center" wrapText="1"/>
    </xf>
    <xf numFmtId="168" fontId="37" fillId="0" borderId="50" xfId="5" applyNumberFormat="1" applyFont="1" applyFill="1" applyBorder="1" applyAlignment="1">
      <alignment vertical="center" wrapText="1"/>
    </xf>
    <xf numFmtId="0" fontId="44" fillId="0" borderId="50" xfId="5" applyFont="1" applyFill="1" applyBorder="1" applyAlignment="1">
      <alignment vertical="center" wrapText="1"/>
    </xf>
    <xf numFmtId="169" fontId="37" fillId="0" borderId="57" xfId="5" applyNumberFormat="1" applyFont="1" applyBorder="1" applyAlignment="1">
      <alignment vertical="center" wrapText="1"/>
    </xf>
    <xf numFmtId="169" fontId="37" fillId="0" borderId="48" xfId="5" applyNumberFormat="1" applyFont="1" applyBorder="1" applyAlignment="1">
      <alignment vertical="center" wrapText="1"/>
    </xf>
    <xf numFmtId="169" fontId="37" fillId="0" borderId="55" xfId="5" applyNumberFormat="1" applyFont="1" applyBorder="1" applyAlignment="1">
      <alignment vertical="center" wrapText="1"/>
    </xf>
    <xf numFmtId="168" fontId="37" fillId="0" borderId="57" xfId="5" applyNumberFormat="1" applyFont="1" applyBorder="1" applyAlignment="1">
      <alignment vertical="center" wrapText="1"/>
    </xf>
    <xf numFmtId="168" fontId="37" fillId="0" borderId="48" xfId="5" applyNumberFormat="1" applyFont="1" applyBorder="1" applyAlignment="1">
      <alignment vertical="center" wrapText="1"/>
    </xf>
    <xf numFmtId="168" fontId="37" fillId="0" borderId="55" xfId="5" applyNumberFormat="1" applyFont="1" applyBorder="1" applyAlignment="1">
      <alignment vertical="center" wrapText="1"/>
    </xf>
    <xf numFmtId="0" fontId="37" fillId="22" borderId="45" xfId="5" applyFont="1" applyFill="1" applyBorder="1" applyAlignment="1">
      <alignment horizontal="justify" vertical="center" wrapText="1"/>
    </xf>
    <xf numFmtId="0" fontId="37" fillId="23" borderId="0" xfId="5" applyFont="1" applyFill="1" applyBorder="1" applyAlignment="1">
      <alignment horizontal="justify" vertical="center" wrapText="1"/>
    </xf>
    <xf numFmtId="168" fontId="37" fillId="5" borderId="5" xfId="5" applyNumberFormat="1" applyFont="1" applyFill="1" applyBorder="1" applyAlignment="1">
      <alignment vertical="center" wrapText="1"/>
    </xf>
    <xf numFmtId="169" fontId="37" fillId="0" borderId="58" xfId="5" applyNumberFormat="1" applyFont="1" applyBorder="1" applyAlignment="1">
      <alignment vertical="center" wrapText="1"/>
    </xf>
    <xf numFmtId="169" fontId="37" fillId="0" borderId="4" xfId="5" applyNumberFormat="1" applyFont="1" applyBorder="1" applyAlignment="1">
      <alignment vertical="center" wrapText="1"/>
    </xf>
    <xf numFmtId="169" fontId="37" fillId="0" borderId="52" xfId="5" applyNumberFormat="1" applyFont="1" applyBorder="1" applyAlignment="1">
      <alignment vertical="center" wrapText="1"/>
    </xf>
    <xf numFmtId="168" fontId="37" fillId="0" borderId="58" xfId="5" applyNumberFormat="1" applyFont="1" applyBorder="1" applyAlignment="1">
      <alignment vertical="center" wrapText="1"/>
    </xf>
    <xf numFmtId="168" fontId="37" fillId="0" borderId="4" xfId="5" applyNumberFormat="1" applyFont="1" applyBorder="1" applyAlignment="1">
      <alignment vertical="center" wrapText="1"/>
    </xf>
    <xf numFmtId="168" fontId="37" fillId="0" borderId="52" xfId="5" applyNumberFormat="1" applyFont="1" applyBorder="1" applyAlignment="1">
      <alignment vertical="center" wrapText="1"/>
    </xf>
    <xf numFmtId="0" fontId="63" fillId="22" borderId="45" xfId="5" applyFont="1" applyFill="1" applyBorder="1" applyAlignment="1">
      <alignment horizontal="justify" vertical="center" wrapText="1"/>
    </xf>
    <xf numFmtId="0" fontId="64" fillId="23" borderId="0" xfId="5" applyFont="1" applyFill="1" applyBorder="1" applyAlignment="1">
      <alignment horizontal="justify" vertical="center" wrapText="1"/>
    </xf>
    <xf numFmtId="168" fontId="37" fillId="5" borderId="4" xfId="5" applyNumberFormat="1" applyFont="1" applyFill="1" applyBorder="1" applyAlignment="1">
      <alignment vertical="center" wrapText="1"/>
    </xf>
    <xf numFmtId="168" fontId="37" fillId="38" borderId="1" xfId="5" applyNumberFormat="1" applyFont="1" applyFill="1" applyBorder="1" applyAlignment="1">
      <alignment vertical="center" wrapText="1"/>
    </xf>
    <xf numFmtId="0" fontId="37" fillId="0" borderId="3" xfId="5" applyNumberFormat="1" applyFont="1" applyBorder="1" applyAlignment="1">
      <alignment horizontal="right" vertical="center" wrapText="1"/>
    </xf>
    <xf numFmtId="168" fontId="37" fillId="39" borderId="3" xfId="5" applyNumberFormat="1" applyFont="1" applyFill="1" applyBorder="1" applyAlignment="1">
      <alignment vertical="center" wrapText="1"/>
    </xf>
    <xf numFmtId="0" fontId="37" fillId="0" borderId="5" xfId="5" applyNumberFormat="1" applyFont="1" applyBorder="1" applyAlignment="1">
      <alignment horizontal="right" vertical="center" wrapText="1"/>
    </xf>
    <xf numFmtId="168" fontId="37" fillId="39" borderId="4" xfId="5" applyNumberFormat="1" applyFont="1" applyFill="1" applyBorder="1" applyAlignment="1">
      <alignment vertical="center" wrapText="1"/>
    </xf>
    <xf numFmtId="168" fontId="37" fillId="40" borderId="1" xfId="5" applyNumberFormat="1" applyFont="1" applyFill="1" applyBorder="1" applyAlignment="1">
      <alignment vertical="center" wrapText="1"/>
    </xf>
    <xf numFmtId="0" fontId="37" fillId="0" borderId="48" xfId="7" applyNumberFormat="1" applyFont="1" applyBorder="1" applyAlignment="1">
      <alignment horizontal="right" vertical="center" wrapText="1"/>
    </xf>
    <xf numFmtId="0" fontId="44" fillId="0" borderId="48" xfId="7" applyNumberFormat="1" applyFont="1" applyFill="1" applyBorder="1" applyAlignment="1">
      <alignment horizontal="right" vertical="center" wrapText="1"/>
    </xf>
    <xf numFmtId="0" fontId="37" fillId="0" borderId="59" xfId="5" applyFont="1" applyFill="1" applyBorder="1" applyAlignment="1">
      <alignment vertical="center" wrapText="1"/>
    </xf>
    <xf numFmtId="168" fontId="38" fillId="41" borderId="48" xfId="5" applyNumberFormat="1" applyFont="1" applyFill="1" applyBorder="1" applyAlignment="1">
      <alignment vertical="center" wrapText="1"/>
    </xf>
    <xf numFmtId="0" fontId="37" fillId="24" borderId="0" xfId="5" applyFont="1" applyFill="1" applyBorder="1" applyAlignment="1">
      <alignment horizontal="justify" vertical="center" wrapText="1"/>
    </xf>
    <xf numFmtId="3" fontId="37" fillId="0" borderId="1" xfId="5" applyNumberFormat="1" applyFont="1" applyFill="1" applyBorder="1" applyAlignment="1">
      <alignment vertical="center" wrapText="1"/>
    </xf>
    <xf numFmtId="168" fontId="37" fillId="22" borderId="1" xfId="5" applyNumberFormat="1" applyFont="1" applyFill="1" applyBorder="1" applyAlignment="1">
      <alignment vertical="center" wrapText="1"/>
    </xf>
    <xf numFmtId="0" fontId="66" fillId="24" borderId="0" xfId="5" applyFont="1" applyFill="1" applyBorder="1" applyAlignment="1">
      <alignment horizontal="justify" vertical="center" wrapText="1"/>
    </xf>
    <xf numFmtId="168" fontId="37" fillId="23" borderId="3" xfId="5" applyNumberFormat="1" applyFont="1" applyFill="1" applyBorder="1" applyAlignment="1">
      <alignment vertical="center" wrapText="1"/>
    </xf>
    <xf numFmtId="168" fontId="37" fillId="23" borderId="4" xfId="5" applyNumberFormat="1" applyFont="1" applyFill="1" applyBorder="1" applyAlignment="1">
      <alignment vertical="center" wrapText="1"/>
    </xf>
    <xf numFmtId="168" fontId="37" fillId="24" borderId="3" xfId="5" applyNumberFormat="1" applyFont="1" applyFill="1" applyBorder="1" applyAlignment="1">
      <alignment vertical="center" wrapText="1"/>
    </xf>
    <xf numFmtId="168" fontId="37" fillId="24" borderId="5" xfId="5" applyNumberFormat="1" applyFont="1" applyFill="1" applyBorder="1" applyAlignment="1">
      <alignment vertical="center" wrapText="1"/>
    </xf>
    <xf numFmtId="168" fontId="37" fillId="24" borderId="4" xfId="5" applyNumberFormat="1" applyFont="1" applyFill="1" applyBorder="1" applyAlignment="1">
      <alignment vertical="center" wrapText="1"/>
    </xf>
    <xf numFmtId="168" fontId="37" fillId="25" borderId="1" xfId="5" applyNumberFormat="1" applyFont="1" applyFill="1" applyBorder="1" applyAlignment="1">
      <alignment vertical="center" wrapText="1"/>
    </xf>
    <xf numFmtId="168" fontId="37" fillId="26" borderId="1" xfId="5" applyNumberFormat="1" applyFont="1" applyFill="1" applyBorder="1" applyAlignment="1">
      <alignment vertical="center" wrapText="1"/>
    </xf>
    <xf numFmtId="168" fontId="38" fillId="42" borderId="48" xfId="5" applyNumberFormat="1" applyFont="1" applyFill="1" applyBorder="1" applyAlignment="1">
      <alignment vertical="center" wrapText="1"/>
    </xf>
    <xf numFmtId="0" fontId="37" fillId="9" borderId="45" xfId="5" applyFont="1" applyFill="1" applyBorder="1" applyAlignment="1">
      <alignment horizontal="justify" vertical="center" wrapText="1"/>
    </xf>
    <xf numFmtId="0" fontId="37" fillId="13" borderId="0" xfId="5" applyFont="1" applyFill="1" applyBorder="1" applyAlignment="1">
      <alignment horizontal="justify" vertical="center" wrapText="1"/>
    </xf>
    <xf numFmtId="170" fontId="37" fillId="0" borderId="5" xfId="5" applyNumberFormat="1" applyFont="1" applyBorder="1" applyAlignment="1">
      <alignment horizontal="right" vertical="center" wrapText="1"/>
    </xf>
    <xf numFmtId="170" fontId="44" fillId="0" borderId="5" xfId="5" applyNumberFormat="1" applyFont="1" applyFill="1" applyBorder="1" applyAlignment="1">
      <alignment horizontal="right" vertical="center" wrapText="1"/>
    </xf>
    <xf numFmtId="168" fontId="37" fillId="7" borderId="35" xfId="5" applyNumberFormat="1" applyFont="1" applyFill="1" applyBorder="1" applyAlignment="1">
      <alignment vertical="center" wrapText="1"/>
    </xf>
    <xf numFmtId="168" fontId="37" fillId="0" borderId="34" xfId="5" applyNumberFormat="1" applyFont="1" applyFill="1" applyBorder="1" applyAlignment="1">
      <alignment vertical="center" wrapText="1"/>
    </xf>
    <xf numFmtId="0" fontId="67" fillId="9" borderId="45" xfId="5" applyFont="1" applyFill="1" applyBorder="1" applyAlignment="1">
      <alignment horizontal="justify" vertical="center" wrapText="1"/>
    </xf>
    <xf numFmtId="0" fontId="68" fillId="13" borderId="0" xfId="5" applyFont="1" applyFill="1" applyBorder="1" applyAlignment="1">
      <alignment horizontal="justify" vertical="center" wrapText="1"/>
    </xf>
    <xf numFmtId="170" fontId="44" fillId="0" borderId="1" xfId="5" applyNumberFormat="1" applyFont="1" applyFill="1" applyBorder="1" applyAlignment="1">
      <alignment horizontal="right" vertical="center" wrapText="1"/>
    </xf>
    <xf numFmtId="168" fontId="37" fillId="43" borderId="5" xfId="5" applyNumberFormat="1" applyFont="1" applyFill="1" applyBorder="1" applyAlignment="1">
      <alignment vertical="center" wrapText="1"/>
    </xf>
    <xf numFmtId="168" fontId="37" fillId="7" borderId="4" xfId="5" applyNumberFormat="1" applyFont="1" applyFill="1" applyBorder="1" applyAlignment="1">
      <alignment vertical="center" wrapText="1"/>
    </xf>
    <xf numFmtId="168" fontId="37" fillId="43" borderId="3" xfId="5" applyNumberFormat="1" applyFont="1" applyFill="1" applyBorder="1" applyAlignment="1">
      <alignment vertical="center" wrapText="1"/>
    </xf>
    <xf numFmtId="168" fontId="37" fillId="43" borderId="9" xfId="5" applyNumberFormat="1" applyFont="1" applyFill="1" applyBorder="1" applyAlignment="1">
      <alignment vertical="center" wrapText="1"/>
    </xf>
    <xf numFmtId="0" fontId="38" fillId="0" borderId="0" xfId="5" applyFont="1" applyFill="1" applyBorder="1" applyAlignment="1">
      <alignment vertical="center" wrapText="1"/>
    </xf>
    <xf numFmtId="2" fontId="37" fillId="0" borderId="1" xfId="5" applyNumberFormat="1" applyFont="1" applyFill="1" applyBorder="1" applyAlignment="1">
      <alignment horizontal="right" vertical="center" wrapText="1"/>
    </xf>
    <xf numFmtId="9" fontId="37" fillId="0" borderId="3" xfId="5" applyNumberFormat="1" applyFont="1" applyFill="1" applyBorder="1" applyAlignment="1">
      <alignment horizontal="right" vertical="center" wrapText="1"/>
    </xf>
    <xf numFmtId="168" fontId="37" fillId="0" borderId="3" xfId="5" applyNumberFormat="1" applyFont="1" applyFill="1" applyBorder="1" applyAlignment="1">
      <alignment vertical="center" wrapText="1"/>
    </xf>
    <xf numFmtId="0" fontId="37" fillId="0" borderId="46" xfId="5" applyFont="1" applyFill="1" applyBorder="1" applyAlignment="1">
      <alignment horizontal="right" vertical="center" wrapText="1"/>
    </xf>
    <xf numFmtId="0" fontId="37" fillId="0" borderId="8" xfId="6" applyFont="1" applyFill="1" applyBorder="1" applyAlignment="1">
      <alignment horizontal="right" vertical="center" wrapText="1"/>
    </xf>
    <xf numFmtId="0" fontId="54" fillId="0" borderId="47" xfId="5" applyFont="1" applyFill="1" applyBorder="1" applyAlignment="1">
      <alignment horizontal="justify" vertical="center" wrapText="1"/>
    </xf>
    <xf numFmtId="0" fontId="37" fillId="0" borderId="5" xfId="5" applyFont="1" applyFill="1" applyBorder="1" applyAlignment="1">
      <alignment vertical="center" wrapText="1"/>
    </xf>
    <xf numFmtId="0" fontId="37" fillId="0" borderId="5" xfId="6" applyFont="1" applyFill="1" applyBorder="1" applyAlignment="1">
      <alignment horizontal="left" vertical="center" wrapText="1"/>
    </xf>
    <xf numFmtId="0" fontId="54" fillId="0" borderId="5" xfId="5" applyFont="1" applyFill="1" applyBorder="1" applyAlignment="1">
      <alignment vertical="center" wrapText="1"/>
    </xf>
    <xf numFmtId="0" fontId="37" fillId="0" borderId="9" xfId="6" applyFont="1" applyFill="1" applyBorder="1" applyAlignment="1">
      <alignment horizontal="left" vertical="center" wrapText="1"/>
    </xf>
    <xf numFmtId="168" fontId="37" fillId="44" borderId="48" xfId="5" applyNumberFormat="1" applyFont="1" applyFill="1" applyBorder="1" applyAlignment="1">
      <alignment vertical="center" wrapText="1"/>
    </xf>
    <xf numFmtId="0" fontId="37" fillId="21" borderId="0" xfId="5" applyFont="1" applyFill="1" applyBorder="1" applyAlignment="1">
      <alignment horizontal="justify" vertical="center" wrapText="1"/>
    </xf>
    <xf numFmtId="0" fontId="37" fillId="0" borderId="34" xfId="6" applyFont="1" applyFill="1" applyBorder="1" applyAlignment="1">
      <alignment horizontal="left" vertical="center" wrapText="1"/>
    </xf>
    <xf numFmtId="0" fontId="37" fillId="0" borderId="34" xfId="5" applyFont="1" applyFill="1" applyBorder="1" applyAlignment="1">
      <alignment vertical="center" wrapText="1"/>
    </xf>
    <xf numFmtId="3" fontId="37" fillId="0" borderId="34" xfId="6" applyNumberFormat="1" applyFont="1" applyFill="1" applyBorder="1" applyAlignment="1">
      <alignment horizontal="left" vertical="center" wrapText="1"/>
    </xf>
    <xf numFmtId="168" fontId="37" fillId="27" borderId="5" xfId="5" applyNumberFormat="1" applyFont="1" applyFill="1" applyBorder="1" applyAlignment="1">
      <alignment vertical="center" wrapText="1"/>
    </xf>
    <xf numFmtId="0" fontId="70" fillId="21" borderId="0" xfId="5" applyFont="1" applyFill="1" applyBorder="1" applyAlignment="1">
      <alignment horizontal="justify" vertical="center" wrapText="1"/>
    </xf>
    <xf numFmtId="168" fontId="37" fillId="27" borderId="4" xfId="5" applyNumberFormat="1" applyFont="1" applyFill="1" applyBorder="1" applyAlignment="1">
      <alignment vertical="center" wrapText="1"/>
    </xf>
    <xf numFmtId="168" fontId="37" fillId="28" borderId="3" xfId="5" applyNumberFormat="1" applyFont="1" applyFill="1" applyBorder="1" applyAlignment="1">
      <alignment vertical="center" wrapText="1"/>
    </xf>
    <xf numFmtId="168" fontId="37" fillId="28" borderId="5" xfId="5" applyNumberFormat="1" applyFont="1" applyFill="1" applyBorder="1" applyAlignment="1">
      <alignment vertical="center" wrapText="1"/>
    </xf>
    <xf numFmtId="9" fontId="37" fillId="0" borderId="2" xfId="6" applyNumberFormat="1" applyFont="1" applyFill="1" applyBorder="1" applyAlignment="1">
      <alignment horizontal="left" vertical="center" wrapText="1"/>
    </xf>
    <xf numFmtId="168" fontId="37" fillId="28" borderId="4" xfId="5" applyNumberFormat="1" applyFont="1" applyFill="1" applyBorder="1" applyAlignment="1">
      <alignment vertical="center" wrapText="1"/>
    </xf>
    <xf numFmtId="169" fontId="56" fillId="0" borderId="1" xfId="5" applyNumberFormat="1" applyFont="1" applyBorder="1" applyAlignment="1">
      <alignment vertical="center" wrapText="1"/>
    </xf>
    <xf numFmtId="169" fontId="56" fillId="0" borderId="43" xfId="5" applyNumberFormat="1" applyFont="1" applyBorder="1" applyAlignment="1">
      <alignment vertical="center" wrapText="1"/>
    </xf>
    <xf numFmtId="168" fontId="37" fillId="32" borderId="3" xfId="5" applyNumberFormat="1" applyFont="1" applyFill="1" applyBorder="1" applyAlignment="1">
      <alignment vertical="center" wrapText="1"/>
    </xf>
    <xf numFmtId="168" fontId="37" fillId="32" borderId="5" xfId="5" applyNumberFormat="1" applyFont="1" applyFill="1" applyBorder="1" applyAlignment="1">
      <alignment vertical="center" wrapText="1"/>
    </xf>
    <xf numFmtId="168" fontId="37" fillId="32" borderId="60" xfId="5" applyNumberFormat="1" applyFont="1" applyFill="1" applyBorder="1" applyAlignment="1">
      <alignment vertical="center" wrapText="1"/>
    </xf>
    <xf numFmtId="168" fontId="37" fillId="32" borderId="4" xfId="5" applyNumberFormat="1" applyFont="1" applyFill="1" applyBorder="1" applyAlignment="1">
      <alignment vertical="center" wrapText="1"/>
    </xf>
    <xf numFmtId="168" fontId="38" fillId="45" borderId="3" xfId="5" applyNumberFormat="1" applyFont="1" applyFill="1" applyBorder="1" applyAlignment="1">
      <alignment vertical="center" wrapText="1"/>
    </xf>
    <xf numFmtId="168" fontId="38" fillId="45" borderId="5" xfId="5" applyNumberFormat="1" applyFont="1" applyFill="1" applyBorder="1" applyAlignment="1">
      <alignment vertical="center" wrapText="1"/>
    </xf>
    <xf numFmtId="168" fontId="38" fillId="45" borderId="4" xfId="5" applyNumberFormat="1" applyFont="1" applyFill="1" applyBorder="1" applyAlignment="1">
      <alignment vertical="center" wrapText="1"/>
    </xf>
    <xf numFmtId="168" fontId="38" fillId="46" borderId="3" xfId="5" applyNumberFormat="1" applyFont="1" applyFill="1" applyBorder="1" applyAlignment="1">
      <alignment vertical="center" wrapText="1"/>
    </xf>
    <xf numFmtId="168" fontId="38" fillId="46" borderId="5" xfId="5" applyNumberFormat="1" applyFont="1" applyFill="1" applyBorder="1" applyAlignment="1">
      <alignment vertical="center" wrapText="1"/>
    </xf>
    <xf numFmtId="168" fontId="38" fillId="46" borderId="4" xfId="5" applyNumberFormat="1" applyFont="1" applyFill="1" applyBorder="1" applyAlignment="1">
      <alignment vertical="center" wrapText="1"/>
    </xf>
    <xf numFmtId="41" fontId="37" fillId="0" borderId="1" xfId="8" applyFont="1" applyFill="1" applyBorder="1" applyAlignment="1">
      <alignment horizontal="right" vertical="center" wrapText="1"/>
    </xf>
    <xf numFmtId="168" fontId="38" fillId="47" borderId="3" xfId="5" applyNumberFormat="1" applyFont="1" applyFill="1" applyBorder="1" applyAlignment="1">
      <alignment vertical="center" wrapText="1"/>
    </xf>
    <xf numFmtId="168" fontId="38" fillId="47" borderId="5" xfId="5" applyNumberFormat="1" applyFont="1" applyFill="1" applyBorder="1" applyAlignment="1">
      <alignment vertical="center" wrapText="1"/>
    </xf>
    <xf numFmtId="168" fontId="38" fillId="47" borderId="4" xfId="5" applyNumberFormat="1" applyFont="1" applyFill="1" applyBorder="1" applyAlignment="1">
      <alignment vertical="center" wrapText="1"/>
    </xf>
    <xf numFmtId="0" fontId="37" fillId="0" borderId="48" xfId="5" applyFont="1" applyBorder="1" applyAlignment="1">
      <alignment horizontal="right" vertical="center" wrapText="1"/>
    </xf>
    <xf numFmtId="9" fontId="37" fillId="0" borderId="48" xfId="5" applyNumberFormat="1" applyFont="1" applyFill="1" applyBorder="1" applyAlignment="1">
      <alignment vertical="center" wrapText="1"/>
    </xf>
    <xf numFmtId="168" fontId="38" fillId="48" borderId="48" xfId="5" applyNumberFormat="1" applyFont="1" applyFill="1" applyBorder="1" applyAlignment="1">
      <alignment vertical="center" wrapText="1"/>
    </xf>
    <xf numFmtId="0" fontId="37" fillId="30" borderId="0" xfId="5" applyFont="1" applyFill="1" applyBorder="1" applyAlignment="1">
      <alignment horizontal="justify" vertical="center" wrapText="1"/>
    </xf>
    <xf numFmtId="168" fontId="37" fillId="0" borderId="5" xfId="5" applyNumberFormat="1" applyFont="1" applyFill="1" applyBorder="1" applyAlignment="1">
      <alignment vertical="center" wrapText="1"/>
    </xf>
    <xf numFmtId="168" fontId="37" fillId="0" borderId="35" xfId="5" applyNumberFormat="1" applyFont="1" applyFill="1" applyBorder="1" applyAlignment="1">
      <alignment vertical="center" wrapText="1"/>
    </xf>
    <xf numFmtId="0" fontId="71" fillId="30" borderId="0" xfId="5" applyFont="1" applyFill="1" applyBorder="1" applyAlignment="1">
      <alignment horizontal="justify" vertical="center" wrapText="1"/>
    </xf>
    <xf numFmtId="0" fontId="37" fillId="0" borderId="44" xfId="6" applyFont="1" applyFill="1" applyBorder="1" applyAlignment="1">
      <alignment horizontal="right" vertical="center" wrapText="1"/>
    </xf>
    <xf numFmtId="0" fontId="38" fillId="0" borderId="5" xfId="5" applyFont="1" applyFill="1" applyBorder="1" applyAlignment="1">
      <alignment vertical="center" wrapText="1"/>
    </xf>
    <xf numFmtId="0" fontId="37" fillId="0" borderId="8" xfId="6" applyFont="1" applyFill="1" applyBorder="1" applyAlignment="1">
      <alignment horizontal="left" vertical="center" wrapText="1"/>
    </xf>
    <xf numFmtId="1" fontId="37" fillId="0" borderId="3" xfId="5" applyNumberFormat="1" applyFont="1" applyFill="1" applyBorder="1" applyAlignment="1">
      <alignment vertical="center" wrapText="1"/>
    </xf>
    <xf numFmtId="0" fontId="37" fillId="0" borderId="9" xfId="6" applyFont="1" applyFill="1" applyBorder="1" applyAlignment="1">
      <alignment horizontal="right" vertical="center" wrapText="1"/>
    </xf>
    <xf numFmtId="0" fontId="67" fillId="9" borderId="61" xfId="5" applyFont="1" applyFill="1" applyBorder="1" applyAlignment="1">
      <alignment horizontal="justify" vertical="center" wrapText="1"/>
    </xf>
    <xf numFmtId="0" fontId="71" fillId="30" borderId="56" xfId="5" applyFont="1" applyFill="1" applyBorder="1" applyAlignment="1">
      <alignment horizontal="justify" vertical="center" wrapText="1"/>
    </xf>
    <xf numFmtId="0" fontId="37" fillId="0" borderId="47" xfId="5" applyFont="1" applyFill="1" applyBorder="1" applyAlignment="1">
      <alignment vertical="center" wrapText="1"/>
    </xf>
    <xf numFmtId="168" fontId="37" fillId="0" borderId="3" xfId="5" applyNumberFormat="1" applyFont="1" applyBorder="1" applyAlignment="1">
      <alignment vertical="center" wrapText="1"/>
    </xf>
    <xf numFmtId="168" fontId="37" fillId="0" borderId="46" xfId="5" applyNumberFormat="1" applyFont="1" applyBorder="1" applyAlignment="1">
      <alignment vertical="center" wrapText="1"/>
    </xf>
    <xf numFmtId="0" fontId="37" fillId="0" borderId="0" xfId="5" applyFont="1" applyFill="1" applyAlignment="1">
      <alignment vertical="center" wrapText="1"/>
    </xf>
    <xf numFmtId="0" fontId="44" fillId="0" borderId="0" xfId="5" applyFont="1" applyFill="1" applyAlignment="1">
      <alignment vertical="center" wrapText="1"/>
    </xf>
    <xf numFmtId="0" fontId="37" fillId="0" borderId="0" xfId="5" applyFont="1" applyFill="1" applyAlignment="1">
      <alignment horizontal="left" vertical="center" wrapText="1"/>
    </xf>
    <xf numFmtId="0" fontId="37" fillId="0" borderId="0" xfId="5" applyFont="1" applyFill="1" applyAlignment="1">
      <alignment horizontal="right" vertical="center" wrapText="1"/>
    </xf>
    <xf numFmtId="168" fontId="37" fillId="0" borderId="36" xfId="5" applyNumberFormat="1" applyFont="1" applyBorder="1" applyAlignment="1">
      <alignment vertical="center" wrapText="1"/>
    </xf>
    <xf numFmtId="168" fontId="37" fillId="0" borderId="62" xfId="5" applyNumberFormat="1" applyFont="1" applyBorder="1" applyAlignment="1">
      <alignment vertical="center" wrapText="1"/>
    </xf>
    <xf numFmtId="168" fontId="37" fillId="0" borderId="37" xfId="5" applyNumberFormat="1" applyFont="1" applyFill="1" applyBorder="1" applyAlignment="1">
      <alignment vertical="center" wrapText="1"/>
    </xf>
    <xf numFmtId="168" fontId="37" fillId="0" borderId="63" xfId="5" applyNumberFormat="1" applyFont="1" applyFill="1" applyBorder="1" applyAlignment="1">
      <alignment vertical="center" wrapText="1"/>
    </xf>
    <xf numFmtId="168" fontId="37" fillId="0" borderId="64" xfId="5" applyNumberFormat="1" applyFont="1" applyFill="1" applyBorder="1" applyAlignment="1">
      <alignment vertical="center" wrapText="1"/>
    </xf>
    <xf numFmtId="168" fontId="37" fillId="0" borderId="37" xfId="5" applyNumberFormat="1" applyFont="1" applyBorder="1" applyAlignment="1">
      <alignment vertical="center" wrapText="1"/>
    </xf>
    <xf numFmtId="168" fontId="37" fillId="0" borderId="63" xfId="5" applyNumberFormat="1" applyFont="1" applyBorder="1" applyAlignment="1">
      <alignment vertical="center" wrapText="1"/>
    </xf>
    <xf numFmtId="168" fontId="37" fillId="0" borderId="64" xfId="5" applyNumberFormat="1" applyFont="1" applyBorder="1" applyAlignment="1">
      <alignment vertical="center" wrapText="1"/>
    </xf>
    <xf numFmtId="168" fontId="37" fillId="0" borderId="27" xfId="5" applyNumberFormat="1" applyFont="1" applyBorder="1" applyAlignment="1">
      <alignment vertical="center" wrapText="1"/>
    </xf>
    <xf numFmtId="168" fontId="37" fillId="0" borderId="28" xfId="5" applyNumberFormat="1" applyFont="1" applyBorder="1" applyAlignment="1">
      <alignment vertical="center" wrapText="1"/>
    </xf>
    <xf numFmtId="168" fontId="37" fillId="0" borderId="29" xfId="5" applyNumberFormat="1" applyFont="1" applyBorder="1" applyAlignment="1">
      <alignment vertical="center" wrapText="1"/>
    </xf>
    <xf numFmtId="0" fontId="37" fillId="0" borderId="0" xfId="5" applyFont="1" applyAlignment="1">
      <alignment horizontal="centerContinuous" vertical="center" wrapText="1"/>
    </xf>
    <xf numFmtId="0" fontId="37" fillId="0" borderId="0" xfId="5" applyFont="1" applyFill="1" applyAlignment="1">
      <alignment horizontal="centerContinuous" vertical="center" wrapText="1"/>
    </xf>
    <xf numFmtId="0" fontId="44" fillId="0" borderId="0" xfId="5" applyFont="1" applyAlignment="1">
      <alignment vertical="center" wrapText="1"/>
    </xf>
    <xf numFmtId="0" fontId="37" fillId="0" borderId="0" xfId="5" applyFont="1" applyBorder="1" applyAlignment="1">
      <alignment vertical="center" wrapText="1"/>
    </xf>
    <xf numFmtId="42" fontId="37" fillId="0" borderId="0" xfId="9" applyFont="1" applyFill="1" applyAlignment="1">
      <alignment vertical="center" wrapText="1"/>
    </xf>
    <xf numFmtId="42" fontId="37" fillId="0" borderId="0" xfId="9" applyFont="1" applyAlignment="1">
      <alignment vertical="center" wrapText="1"/>
    </xf>
    <xf numFmtId="0" fontId="37" fillId="0" borderId="0" xfId="5" applyFont="1" applyFill="1" applyAlignment="1">
      <alignment horizontal="justify" vertical="center" wrapText="1"/>
    </xf>
    <xf numFmtId="168" fontId="37" fillId="0" borderId="0" xfId="5" applyNumberFormat="1" applyFont="1" applyBorder="1" applyAlignment="1">
      <alignment vertical="center" wrapText="1"/>
    </xf>
    <xf numFmtId="168" fontId="37" fillId="0" borderId="0" xfId="5" applyNumberFormat="1" applyFont="1" applyFill="1" applyAlignment="1">
      <alignment vertical="center" wrapText="1"/>
    </xf>
    <xf numFmtId="0" fontId="37" fillId="8" borderId="45" xfId="5" applyFont="1" applyFill="1" applyBorder="1" applyAlignment="1">
      <alignment horizontal="justify" vertical="center" wrapText="1"/>
    </xf>
    <xf numFmtId="0" fontId="37" fillId="3" borderId="0" xfId="5" applyFont="1" applyFill="1" applyBorder="1" applyAlignment="1">
      <alignment horizontal="justify" vertical="center" wrapText="1"/>
    </xf>
    <xf numFmtId="0" fontId="37" fillId="8" borderId="1" xfId="5" applyFont="1" applyFill="1" applyBorder="1" applyAlignment="1">
      <alignment horizontal="justify" vertical="center" wrapText="1"/>
    </xf>
    <xf numFmtId="0" fontId="37" fillId="4" borderId="1" xfId="5" applyFont="1" applyFill="1" applyBorder="1" applyAlignment="1">
      <alignment horizontal="justify" vertical="center" wrapText="1"/>
    </xf>
    <xf numFmtId="0" fontId="37" fillId="27" borderId="1" xfId="5" applyFont="1" applyFill="1" applyBorder="1" applyAlignment="1">
      <alignment horizontal="justify" vertical="center" wrapText="1"/>
    </xf>
    <xf numFmtId="0" fontId="37" fillId="22" borderId="1" xfId="5" applyFont="1" applyFill="1" applyBorder="1" applyAlignment="1">
      <alignment horizontal="justify" vertical="center" wrapText="1"/>
    </xf>
    <xf numFmtId="0" fontId="37" fillId="9" borderId="1" xfId="5" applyFont="1" applyFill="1" applyBorder="1" applyAlignment="1">
      <alignment horizontal="justify" vertical="center" wrapText="1"/>
    </xf>
    <xf numFmtId="0" fontId="37" fillId="0" borderId="1" xfId="5" applyFont="1" applyBorder="1" applyAlignment="1">
      <alignment vertical="center" wrapText="1"/>
    </xf>
    <xf numFmtId="0" fontId="40" fillId="0" borderId="1" xfId="5" applyFont="1" applyBorder="1" applyAlignment="1">
      <alignment horizontal="center" vertical="center" wrapText="1"/>
    </xf>
    <xf numFmtId="0" fontId="6" fillId="0" borderId="1" xfId="0" applyFont="1" applyBorder="1" applyAlignment="1">
      <alignment horizontal="left" vertical="center" wrapText="1"/>
    </xf>
    <xf numFmtId="0" fontId="3" fillId="0" borderId="0" xfId="0" applyFont="1" applyAlignment="1">
      <alignment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13" fillId="0" borderId="47" xfId="0" applyFont="1" applyFill="1" applyBorder="1" applyAlignment="1">
      <alignment horizontal="center" vertical="center" wrapText="1"/>
    </xf>
    <xf numFmtId="0" fontId="13" fillId="0" borderId="56" xfId="0" applyFont="1" applyFill="1" applyBorder="1" applyAlignment="1">
      <alignment horizontal="left" vertical="center" wrapText="1"/>
    </xf>
    <xf numFmtId="0" fontId="9" fillId="0" borderId="65" xfId="0" applyFont="1" applyFill="1" applyBorder="1" applyAlignment="1">
      <alignment horizontal="center" vertical="center" wrapText="1"/>
    </xf>
    <xf numFmtId="0" fontId="9" fillId="0" borderId="66" xfId="0" applyFont="1" applyFill="1" applyBorder="1" applyAlignment="1">
      <alignment horizontal="left" vertical="center" wrapText="1"/>
    </xf>
    <xf numFmtId="0" fontId="9" fillId="0" borderId="67" xfId="0" applyFont="1" applyFill="1" applyBorder="1" applyAlignment="1">
      <alignment horizontal="left" vertical="center" wrapText="1"/>
    </xf>
    <xf numFmtId="0" fontId="9" fillId="0" borderId="48" xfId="0" applyFont="1" applyFill="1" applyBorder="1" applyAlignment="1">
      <alignment horizontal="center" vertical="center" wrapText="1"/>
    </xf>
    <xf numFmtId="165" fontId="9" fillId="0" borderId="48" xfId="3" applyNumberFormat="1" applyFont="1" applyFill="1" applyBorder="1" applyAlignment="1">
      <alignment horizontal="center" vertical="center" wrapText="1"/>
    </xf>
    <xf numFmtId="9" fontId="9" fillId="0" borderId="48" xfId="2" applyFont="1" applyFill="1" applyBorder="1" applyAlignment="1">
      <alignment horizontal="center" vertical="center" wrapText="1"/>
    </xf>
    <xf numFmtId="9" fontId="9" fillId="0" borderId="48" xfId="2" applyFont="1" applyBorder="1" applyAlignment="1">
      <alignment horizontal="right" vertical="center" wrapText="1"/>
    </xf>
    <xf numFmtId="0" fontId="13" fillId="0" borderId="47" xfId="0" applyFont="1" applyBorder="1" applyAlignment="1">
      <alignment horizontal="center" vertical="center" wrapText="1"/>
    </xf>
    <xf numFmtId="0" fontId="13" fillId="0" borderId="68" xfId="0" applyFont="1" applyBorder="1" applyAlignment="1">
      <alignment horizontal="center" vertical="center" wrapText="1"/>
    </xf>
    <xf numFmtId="0" fontId="13" fillId="0" borderId="69" xfId="0" applyFont="1" applyBorder="1" applyAlignment="1">
      <alignment horizontal="center" vertical="center" wrapText="1"/>
    </xf>
    <xf numFmtId="0" fontId="13" fillId="0" borderId="70" xfId="0" applyFont="1" applyBorder="1" applyAlignment="1">
      <alignment horizontal="left" vertical="center" wrapText="1"/>
    </xf>
    <xf numFmtId="0" fontId="12" fillId="0" borderId="48" xfId="0" applyFont="1" applyBorder="1" applyAlignment="1">
      <alignment horizontal="right" vertical="center" wrapText="1"/>
    </xf>
    <xf numFmtId="0" fontId="9" fillId="0" borderId="71" xfId="0" applyFont="1" applyBorder="1" applyAlignment="1">
      <alignment vertical="center" wrapText="1"/>
    </xf>
    <xf numFmtId="0" fontId="9" fillId="0" borderId="48" xfId="0" applyFont="1" applyBorder="1" applyAlignment="1">
      <alignment vertical="center" wrapText="1"/>
    </xf>
    <xf numFmtId="0" fontId="12" fillId="0" borderId="54" xfId="0" applyFont="1" applyFill="1" applyBorder="1" applyAlignment="1">
      <alignment horizontal="center" vertical="center" wrapText="1"/>
    </xf>
    <xf numFmtId="9" fontId="9" fillId="0" borderId="65" xfId="0" applyNumberFormat="1" applyFont="1" applyBorder="1" applyAlignment="1">
      <alignment horizontal="center" vertical="center" wrapText="1"/>
    </xf>
    <xf numFmtId="9" fontId="9" fillId="0" borderId="48" xfId="2" applyFont="1" applyBorder="1" applyAlignment="1">
      <alignment vertical="center" wrapText="1"/>
    </xf>
    <xf numFmtId="0" fontId="9" fillId="0" borderId="48" xfId="0" applyFont="1" applyBorder="1" applyAlignment="1">
      <alignment horizontal="center" vertical="center" wrapText="1"/>
    </xf>
    <xf numFmtId="0" fontId="9" fillId="0" borderId="48" xfId="0" applyFont="1" applyBorder="1" applyAlignment="1">
      <alignment horizontal="right" vertical="center" wrapText="1"/>
    </xf>
    <xf numFmtId="9" fontId="9" fillId="0" borderId="48" xfId="0" applyNumberFormat="1" applyFont="1" applyBorder="1" applyAlignment="1">
      <alignment horizontal="center" vertical="center" wrapText="1"/>
    </xf>
    <xf numFmtId="0" fontId="10" fillId="0" borderId="7" xfId="0" applyFont="1" applyBorder="1" applyAlignment="1">
      <alignment horizontal="centerContinuous" vertical="center" wrapText="1"/>
    </xf>
    <xf numFmtId="0" fontId="14" fillId="0" borderId="47" xfId="0" applyFont="1" applyBorder="1" applyAlignment="1">
      <alignment horizontal="centerContinuous" vertical="center" wrapText="1"/>
    </xf>
    <xf numFmtId="0" fontId="14" fillId="0" borderId="5" xfId="0" applyFont="1" applyBorder="1" applyAlignment="1">
      <alignment horizontal="centerContinuous" vertical="center" wrapText="1"/>
    </xf>
    <xf numFmtId="0" fontId="9" fillId="0" borderId="5" xfId="0" applyFont="1" applyBorder="1" applyAlignment="1">
      <alignment horizontal="centerContinuous" vertical="center" wrapText="1"/>
    </xf>
    <xf numFmtId="0" fontId="13" fillId="0" borderId="56" xfId="0" applyFont="1" applyBorder="1" applyAlignment="1">
      <alignment horizontal="left" vertical="center" wrapText="1"/>
    </xf>
    <xf numFmtId="0" fontId="12" fillId="0" borderId="48" xfId="0" applyFont="1" applyBorder="1" applyAlignment="1">
      <alignment horizontal="center" vertical="center" wrapText="1"/>
    </xf>
    <xf numFmtId="0" fontId="9" fillId="0" borderId="66" xfId="0" applyFont="1" applyBorder="1" applyAlignment="1">
      <alignment horizontal="left" vertical="center" wrapText="1"/>
    </xf>
    <xf numFmtId="0" fontId="37" fillId="0" borderId="4" xfId="5" applyFont="1" applyBorder="1" applyAlignment="1">
      <alignment vertical="center" wrapText="1"/>
    </xf>
    <xf numFmtId="0" fontId="37" fillId="0" borderId="48" xfId="5" applyFont="1" applyBorder="1" applyAlignment="1">
      <alignment vertical="center" wrapText="1"/>
    </xf>
    <xf numFmtId="0" fontId="2" fillId="0" borderId="1" xfId="0" applyFont="1" applyBorder="1" applyAlignment="1">
      <alignment vertical="center" wrapText="1"/>
    </xf>
    <xf numFmtId="0" fontId="9" fillId="19" borderId="13" xfId="0" applyFont="1" applyFill="1" applyBorder="1" applyAlignment="1">
      <alignment horizontal="centerContinuous" vertical="center" wrapText="1"/>
    </xf>
    <xf numFmtId="0" fontId="99" fillId="19" borderId="11" xfId="0" applyFont="1" applyFill="1" applyBorder="1" applyAlignment="1">
      <alignment horizontal="centerContinuous" vertical="center" wrapText="1"/>
    </xf>
    <xf numFmtId="0" fontId="99" fillId="19" borderId="51" xfId="0" applyFont="1" applyFill="1" applyBorder="1" applyAlignment="1">
      <alignment horizontal="centerContinuous" vertical="center" wrapText="1"/>
    </xf>
    <xf numFmtId="0" fontId="9" fillId="2" borderId="5" xfId="0" applyFont="1" applyFill="1" applyBorder="1" applyAlignment="1">
      <alignment horizontal="centerContinuous" vertical="center" wrapText="1"/>
    </xf>
    <xf numFmtId="0" fontId="101" fillId="2" borderId="5" xfId="0" applyFont="1" applyFill="1" applyBorder="1" applyAlignment="1">
      <alignment horizontal="centerContinuous" vertical="center" wrapText="1"/>
    </xf>
    <xf numFmtId="0" fontId="101" fillId="2" borderId="47" xfId="0" applyFont="1" applyFill="1" applyBorder="1" applyAlignment="1">
      <alignment horizontal="centerContinuous" vertical="center" wrapText="1"/>
    </xf>
    <xf numFmtId="0" fontId="9" fillId="11" borderId="3" xfId="0" applyFont="1" applyFill="1" applyBorder="1" applyAlignment="1">
      <alignment horizontal="centerContinuous" vertical="center" wrapText="1"/>
    </xf>
    <xf numFmtId="0" fontId="103" fillId="11" borderId="5" xfId="0" applyFont="1" applyFill="1" applyBorder="1" applyAlignment="1">
      <alignment horizontal="centerContinuous" vertical="center" wrapText="1"/>
    </xf>
    <xf numFmtId="0" fontId="103" fillId="11" borderId="47" xfId="0" applyFont="1" applyFill="1" applyBorder="1" applyAlignment="1">
      <alignment horizontal="centerContinuous" vertical="center" wrapText="1"/>
    </xf>
    <xf numFmtId="0" fontId="105" fillId="49" borderId="5" xfId="0" applyFont="1" applyFill="1" applyBorder="1" applyAlignment="1">
      <alignment horizontal="centerContinuous" vertical="center" wrapText="1"/>
    </xf>
    <xf numFmtId="0" fontId="105" fillId="49" borderId="47" xfId="0" applyFont="1" applyFill="1" applyBorder="1" applyAlignment="1">
      <alignment horizontal="centerContinuous" vertical="center" wrapText="1"/>
    </xf>
    <xf numFmtId="0" fontId="13" fillId="49" borderId="5" xfId="0" applyFont="1" applyFill="1" applyBorder="1" applyAlignment="1">
      <alignment horizontal="centerContinuous" vertical="center" wrapText="1"/>
    </xf>
    <xf numFmtId="0" fontId="9" fillId="0" borderId="26" xfId="0" applyFont="1" applyBorder="1" applyAlignment="1">
      <alignment horizontal="centerContinuous" vertical="center" wrapText="1"/>
    </xf>
    <xf numFmtId="0" fontId="9" fillId="0" borderId="0" xfId="0" applyFont="1" applyBorder="1" applyAlignment="1">
      <alignment horizontal="centerContinuous" vertical="center" wrapText="1"/>
    </xf>
    <xf numFmtId="0" fontId="54" fillId="0" borderId="48" xfId="5" applyFont="1" applyFill="1" applyBorder="1" applyAlignment="1">
      <alignment vertical="center" wrapText="1"/>
    </xf>
    <xf numFmtId="0" fontId="0" fillId="0" borderId="0" xfId="0" applyAlignment="1">
      <alignment horizontal="centerContinuous" vertical="center" wrapText="1"/>
    </xf>
    <xf numFmtId="0" fontId="0" fillId="0" borderId="1" xfId="0" applyBorder="1" applyAlignment="1" applyProtection="1">
      <alignment horizontal="justify" vertical="center" wrapText="1"/>
      <protection locked="0"/>
    </xf>
    <xf numFmtId="167" fontId="0" fillId="0" borderId="1" xfId="0" applyNumberFormat="1" applyBorder="1" applyAlignment="1" applyProtection="1">
      <alignment horizontal="justify" vertical="center" wrapText="1"/>
      <protection locked="0"/>
    </xf>
    <xf numFmtId="0" fontId="108" fillId="0" borderId="1" xfId="0" applyFont="1" applyFill="1" applyBorder="1" applyAlignment="1">
      <alignment horizontal="left" vertical="center" wrapText="1"/>
    </xf>
    <xf numFmtId="0" fontId="108" fillId="0" borderId="3" xfId="0" applyFont="1" applyFill="1" applyBorder="1" applyAlignment="1">
      <alignment horizontal="left" vertical="center" wrapText="1"/>
    </xf>
    <xf numFmtId="0" fontId="34" fillId="0" borderId="1" xfId="0" applyFont="1" applyBorder="1"/>
    <xf numFmtId="0" fontId="0" fillId="0" borderId="13" xfId="0" applyBorder="1" applyAlignment="1">
      <alignment vertical="center" wrapText="1"/>
    </xf>
    <xf numFmtId="0" fontId="0" fillId="0" borderId="15" xfId="0" applyBorder="1" applyAlignment="1">
      <alignment vertical="center" wrapText="1"/>
    </xf>
    <xf numFmtId="0" fontId="0" fillId="0" borderId="8" xfId="0" applyBorder="1" applyAlignment="1">
      <alignment vertical="center" wrapText="1"/>
    </xf>
    <xf numFmtId="0" fontId="0" fillId="0" borderId="11" xfId="0" applyBorder="1" applyAlignment="1">
      <alignment vertical="center" wrapText="1"/>
    </xf>
    <xf numFmtId="0" fontId="0" fillId="0" borderId="0" xfId="0" applyBorder="1" applyAlignment="1">
      <alignment vertical="center" wrapText="1"/>
    </xf>
    <xf numFmtId="0" fontId="0" fillId="0" borderId="9" xfId="0" applyBorder="1" applyAlignment="1">
      <alignment vertical="center" wrapText="1"/>
    </xf>
    <xf numFmtId="0" fontId="0" fillId="0" borderId="12" xfId="0" applyBorder="1" applyAlignment="1">
      <alignment vertical="center" wrapText="1"/>
    </xf>
    <xf numFmtId="0" fontId="0" fillId="0" borderId="26" xfId="0" applyBorder="1" applyAlignment="1">
      <alignment vertical="center" wrapText="1"/>
    </xf>
    <xf numFmtId="0" fontId="0" fillId="0" borderId="10" xfId="0" applyBorder="1" applyAlignment="1">
      <alignment vertical="center" wrapText="1"/>
    </xf>
    <xf numFmtId="0" fontId="1" fillId="0" borderId="7" xfId="0" applyFont="1" applyBorder="1" applyAlignment="1">
      <alignment vertical="center" wrapText="1"/>
    </xf>
    <xf numFmtId="0" fontId="1" fillId="0" borderId="1" xfId="0" applyFont="1" applyBorder="1" applyAlignment="1">
      <alignment vertical="center" wrapText="1"/>
    </xf>
    <xf numFmtId="2" fontId="0" fillId="0" borderId="0" xfId="0" applyNumberFormat="1" applyAlignment="1">
      <alignment vertical="center" wrapText="1"/>
    </xf>
    <xf numFmtId="0" fontId="0" fillId="0" borderId="1" xfId="0" applyNumberFormat="1" applyBorder="1" applyAlignment="1" applyProtection="1">
      <alignment horizontal="left" vertical="center" wrapText="1"/>
      <protection locked="0"/>
    </xf>
    <xf numFmtId="0" fontId="9" fillId="0" borderId="21" xfId="0" applyFont="1" applyBorder="1" applyAlignment="1">
      <alignment horizontal="right" vertical="center" wrapText="1"/>
    </xf>
    <xf numFmtId="0" fontId="10" fillId="0" borderId="1" xfId="0" applyFont="1" applyBorder="1" applyAlignment="1">
      <alignment horizontal="right" vertical="center" wrapText="1"/>
    </xf>
    <xf numFmtId="0" fontId="9" fillId="0" borderId="1" xfId="0" applyFont="1" applyFill="1" applyBorder="1" applyAlignment="1">
      <alignment horizontal="right" vertical="center" wrapText="1"/>
    </xf>
    <xf numFmtId="0" fontId="9" fillId="0" borderId="3" xfId="0" applyFont="1" applyFill="1" applyBorder="1" applyAlignment="1">
      <alignment horizontal="right" vertical="center" wrapText="1"/>
    </xf>
    <xf numFmtId="0" fontId="9" fillId="0" borderId="48" xfId="0" applyFont="1" applyFill="1" applyBorder="1" applyAlignment="1">
      <alignment horizontal="right" vertical="center" wrapText="1"/>
    </xf>
    <xf numFmtId="0" fontId="9" fillId="0" borderId="7" xfId="0" applyFont="1" applyBorder="1" applyAlignment="1">
      <alignment horizontal="right" vertical="center" wrapText="1"/>
    </xf>
    <xf numFmtId="0" fontId="9" fillId="0" borderId="4" xfId="0" applyFont="1" applyBorder="1" applyAlignment="1">
      <alignment horizontal="right" vertical="center" wrapText="1"/>
    </xf>
    <xf numFmtId="0" fontId="9" fillId="0" borderId="0" xfId="0" applyFont="1" applyBorder="1" applyAlignment="1">
      <alignment horizontal="right" vertical="center" wrapText="1"/>
    </xf>
    <xf numFmtId="0" fontId="34" fillId="0" borderId="1" xfId="0" applyFont="1" applyBorder="1" applyAlignment="1">
      <alignment horizontal="center"/>
    </xf>
    <xf numFmtId="0" fontId="108" fillId="0" borderId="7" xfId="0" applyFont="1" applyFill="1" applyBorder="1" applyAlignment="1">
      <alignment horizontal="left" vertical="center" wrapText="1"/>
    </xf>
    <xf numFmtId="0" fontId="108" fillId="0" borderId="13" xfId="0" applyFont="1" applyFill="1" applyBorder="1" applyAlignment="1">
      <alignment horizontal="left" vertical="center" wrapText="1"/>
    </xf>
    <xf numFmtId="0" fontId="10" fillId="5" borderId="72" xfId="1" applyFont="1" applyFill="1" applyBorder="1" applyAlignment="1">
      <alignment horizontal="center" vertical="center" wrapText="1"/>
    </xf>
    <xf numFmtId="0" fontId="9" fillId="0" borderId="12" xfId="0" applyFont="1" applyBorder="1" applyAlignment="1">
      <alignment vertical="center" wrapText="1"/>
    </xf>
    <xf numFmtId="164" fontId="32" fillId="0" borderId="7" xfId="0" applyNumberFormat="1" applyFont="1" applyBorder="1" applyAlignment="1">
      <alignment horizontal="right" vertical="center" wrapText="1"/>
    </xf>
    <xf numFmtId="1" fontId="33" fillId="0" borderId="7" xfId="2" applyNumberFormat="1" applyFont="1" applyBorder="1" applyAlignment="1">
      <alignment horizontal="right" vertical="center" wrapText="1"/>
    </xf>
    <xf numFmtId="166" fontId="33" fillId="0" borderId="7" xfId="2" applyNumberFormat="1" applyFont="1" applyBorder="1" applyAlignment="1">
      <alignment horizontal="right" vertical="center" wrapText="1"/>
    </xf>
    <xf numFmtId="9" fontId="33" fillId="0" borderId="7" xfId="2" applyNumberFormat="1" applyFont="1" applyBorder="1" applyAlignment="1">
      <alignment horizontal="right" vertical="center" wrapText="1"/>
    </xf>
    <xf numFmtId="9" fontId="33" fillId="0" borderId="7" xfId="2" applyFont="1" applyFill="1" applyBorder="1" applyAlignment="1">
      <alignment horizontal="right" vertical="center" wrapText="1"/>
    </xf>
    <xf numFmtId="9" fontId="9" fillId="0" borderId="12" xfId="2" applyFont="1" applyBorder="1" applyAlignment="1">
      <alignment vertical="center" wrapText="1"/>
    </xf>
    <xf numFmtId="9" fontId="9" fillId="0" borderId="7" xfId="2" applyFont="1" applyBorder="1" applyAlignment="1">
      <alignment vertical="center" wrapText="1"/>
    </xf>
    <xf numFmtId="3" fontId="9" fillId="0" borderId="7" xfId="0" applyNumberFormat="1" applyFont="1" applyBorder="1" applyAlignment="1">
      <alignment vertical="center" wrapText="1"/>
    </xf>
    <xf numFmtId="10" fontId="9" fillId="0" borderId="7" xfId="2" applyNumberFormat="1" applyFont="1" applyBorder="1" applyAlignment="1">
      <alignment vertical="center" wrapText="1"/>
    </xf>
    <xf numFmtId="9" fontId="9" fillId="0" borderId="13" xfId="2" applyFont="1" applyBorder="1" applyAlignment="1">
      <alignment vertical="center" wrapText="1"/>
    </xf>
    <xf numFmtId="9" fontId="9" fillId="0" borderId="13" xfId="2" applyFont="1" applyBorder="1" applyAlignment="1">
      <alignment horizontal="right" vertical="center" wrapText="1"/>
    </xf>
    <xf numFmtId="9" fontId="9" fillId="0" borderId="53" xfId="2" applyFont="1" applyBorder="1" applyAlignment="1">
      <alignment horizontal="right" vertical="center" wrapText="1"/>
    </xf>
    <xf numFmtId="0" fontId="9" fillId="0" borderId="12" xfId="0" applyFont="1" applyFill="1" applyBorder="1" applyAlignment="1">
      <alignment horizontal="center" vertical="center" wrapText="1"/>
    </xf>
    <xf numFmtId="1" fontId="9" fillId="0" borderId="7" xfId="0" applyNumberFormat="1" applyFont="1" applyFill="1" applyBorder="1" applyAlignment="1">
      <alignment horizontal="right" vertical="center" wrapText="1" indent="1"/>
    </xf>
    <xf numFmtId="1" fontId="9" fillId="0" borderId="7" xfId="0" applyNumberFormat="1" applyFont="1" applyBorder="1" applyAlignment="1">
      <alignment vertical="center" wrapText="1"/>
    </xf>
    <xf numFmtId="0" fontId="9" fillId="0" borderId="13" xfId="0" applyFont="1" applyBorder="1" applyAlignment="1">
      <alignment vertical="center" wrapText="1"/>
    </xf>
    <xf numFmtId="166" fontId="9" fillId="0" borderId="7" xfId="2" applyNumberFormat="1" applyFont="1" applyBorder="1" applyAlignment="1">
      <alignment vertical="center" wrapText="1"/>
    </xf>
    <xf numFmtId="9" fontId="9" fillId="0" borderId="7" xfId="2" applyFont="1" applyFill="1" applyBorder="1" applyAlignment="1">
      <alignment vertical="center" wrapText="1"/>
    </xf>
    <xf numFmtId="9" fontId="9" fillId="0" borderId="53" xfId="2" applyFont="1" applyBorder="1" applyAlignment="1">
      <alignment vertical="center" wrapText="1"/>
    </xf>
    <xf numFmtId="9" fontId="9" fillId="0" borderId="7" xfId="0" applyNumberFormat="1" applyFont="1" applyBorder="1" applyAlignment="1">
      <alignment vertical="center" wrapText="1"/>
    </xf>
    <xf numFmtId="166" fontId="12" fillId="0" borderId="7" xfId="2" applyNumberFormat="1" applyFont="1" applyBorder="1" applyAlignment="1">
      <alignment vertical="center" wrapText="1"/>
    </xf>
    <xf numFmtId="0" fontId="9" fillId="0" borderId="21" xfId="0" applyFont="1" applyBorder="1" applyAlignment="1">
      <alignment vertical="center" wrapText="1"/>
    </xf>
    <xf numFmtId="9" fontId="9" fillId="0" borderId="21" xfId="2" applyFont="1" applyBorder="1" applyAlignment="1">
      <alignment vertical="center" wrapText="1"/>
    </xf>
    <xf numFmtId="0" fontId="9" fillId="0" borderId="53" xfId="0" applyFont="1" applyBorder="1" applyAlignment="1">
      <alignment horizontal="right" vertical="center" wrapText="1"/>
    </xf>
    <xf numFmtId="0" fontId="9" fillId="0" borderId="74" xfId="0" applyFont="1" applyBorder="1" applyAlignment="1">
      <alignment vertical="center" wrapText="1"/>
    </xf>
    <xf numFmtId="0" fontId="9" fillId="0" borderId="74" xfId="0" applyFont="1" applyFill="1" applyBorder="1" applyAlignment="1">
      <alignment vertical="center" wrapText="1"/>
    </xf>
    <xf numFmtId="164" fontId="32" fillId="0" borderId="74" xfId="0" applyNumberFormat="1" applyFont="1" applyBorder="1" applyAlignment="1">
      <alignment horizontal="right" vertical="center" wrapText="1"/>
    </xf>
    <xf numFmtId="9" fontId="9" fillId="0" borderId="74" xfId="2" applyFont="1" applyBorder="1" applyAlignment="1">
      <alignment vertical="center" wrapText="1"/>
    </xf>
    <xf numFmtId="3" fontId="9" fillId="0" borderId="74" xfId="0" applyNumberFormat="1" applyFont="1" applyBorder="1" applyAlignment="1">
      <alignment vertical="center" wrapText="1"/>
    </xf>
    <xf numFmtId="10" fontId="9" fillId="0" borderId="74" xfId="2" applyNumberFormat="1" applyFont="1" applyBorder="1" applyAlignment="1">
      <alignment vertical="center" wrapText="1"/>
    </xf>
    <xf numFmtId="9" fontId="9" fillId="0" borderId="74" xfId="2" applyFont="1" applyBorder="1" applyAlignment="1">
      <alignment horizontal="right" vertical="center" wrapText="1"/>
    </xf>
    <xf numFmtId="0" fontId="9" fillId="0" borderId="74" xfId="0" applyFont="1" applyFill="1" applyBorder="1" applyAlignment="1">
      <alignment horizontal="center" vertical="center" wrapText="1"/>
    </xf>
    <xf numFmtId="1" fontId="9" fillId="0" borderId="74" xfId="0" applyNumberFormat="1" applyFont="1" applyFill="1" applyBorder="1" applyAlignment="1">
      <alignment horizontal="right" vertical="center" wrapText="1" indent="1"/>
    </xf>
    <xf numFmtId="0" fontId="9" fillId="0" borderId="74" xfId="0" applyFont="1" applyBorder="1" applyAlignment="1">
      <alignment horizontal="center" vertical="center" wrapText="1"/>
    </xf>
    <xf numFmtId="1" fontId="9" fillId="0" borderId="74" xfId="0" applyNumberFormat="1" applyFont="1" applyBorder="1" applyAlignment="1">
      <alignment vertical="center" wrapText="1"/>
    </xf>
    <xf numFmtId="166" fontId="9" fillId="0" borderId="74" xfId="2" applyNumberFormat="1" applyFont="1" applyBorder="1" applyAlignment="1">
      <alignment vertical="center" wrapText="1"/>
    </xf>
    <xf numFmtId="9" fontId="9" fillId="0" borderId="74" xfId="2" applyFont="1" applyFill="1" applyBorder="1" applyAlignment="1">
      <alignment vertical="center" wrapText="1"/>
    </xf>
    <xf numFmtId="9" fontId="9" fillId="0" borderId="74" xfId="0" applyNumberFormat="1" applyFont="1" applyBorder="1" applyAlignment="1">
      <alignment vertical="center" wrapText="1"/>
    </xf>
    <xf numFmtId="166" fontId="12" fillId="0" borderId="74" xfId="2" applyNumberFormat="1" applyFont="1" applyBorder="1" applyAlignment="1">
      <alignment vertical="center" wrapText="1"/>
    </xf>
    <xf numFmtId="0" fontId="9" fillId="0" borderId="74" xfId="0" applyFont="1" applyBorder="1" applyAlignment="1">
      <alignment horizontal="right" vertical="center" wrapText="1"/>
    </xf>
    <xf numFmtId="0" fontId="9" fillId="0" borderId="75" xfId="0" applyFont="1" applyBorder="1" applyAlignment="1">
      <alignment horizontal="right" vertical="center" wrapText="1"/>
    </xf>
    <xf numFmtId="1" fontId="33" fillId="0" borderId="76" xfId="2" applyNumberFormat="1" applyFont="1" applyBorder="1" applyAlignment="1">
      <alignment horizontal="right" vertical="center" wrapText="1"/>
    </xf>
    <xf numFmtId="9" fontId="9" fillId="0" borderId="76" xfId="2" applyFont="1" applyBorder="1" applyAlignment="1">
      <alignment horizontal="right" vertical="center" wrapText="1"/>
    </xf>
    <xf numFmtId="1" fontId="9" fillId="0" borderId="76" xfId="0" applyNumberFormat="1" applyFont="1" applyFill="1" applyBorder="1" applyAlignment="1">
      <alignment horizontal="right" vertical="center" wrapText="1" indent="1"/>
    </xf>
    <xf numFmtId="0" fontId="9" fillId="0" borderId="76" xfId="0" applyFont="1" applyBorder="1" applyAlignment="1">
      <alignment horizontal="right" vertical="center" wrapText="1"/>
    </xf>
    <xf numFmtId="0" fontId="9" fillId="0" borderId="77" xfId="0" applyFont="1" applyBorder="1" applyAlignment="1">
      <alignment horizontal="right" vertical="center" wrapText="1"/>
    </xf>
    <xf numFmtId="0" fontId="9" fillId="3" borderId="2"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22" fillId="0" borderId="2" xfId="0" applyFont="1" applyBorder="1" applyAlignment="1">
      <alignment vertical="center" wrapText="1"/>
    </xf>
    <xf numFmtId="0" fontId="12" fillId="0" borderId="2" xfId="0" applyFont="1" applyBorder="1" applyAlignment="1">
      <alignment vertical="center" wrapText="1"/>
    </xf>
    <xf numFmtId="9" fontId="9" fillId="0" borderId="2" xfId="2" applyFont="1" applyBorder="1" applyAlignment="1">
      <alignment horizontal="right" vertical="center" wrapText="1"/>
    </xf>
    <xf numFmtId="0" fontId="9" fillId="0" borderId="65" xfId="0" applyFont="1" applyFill="1" applyBorder="1" applyAlignment="1">
      <alignment horizontal="left" vertical="center" wrapText="1"/>
    </xf>
    <xf numFmtId="0" fontId="9" fillId="0" borderId="41" xfId="0" applyFont="1" applyBorder="1" applyAlignment="1">
      <alignment horizontal="right" vertical="center" wrapText="1"/>
    </xf>
    <xf numFmtId="0" fontId="9" fillId="0" borderId="76" xfId="0" applyFont="1" applyFill="1" applyBorder="1" applyAlignment="1">
      <alignment horizontal="right" vertical="center" wrapText="1"/>
    </xf>
    <xf numFmtId="1" fontId="9" fillId="0" borderId="76" xfId="0" applyNumberFormat="1" applyFont="1" applyBorder="1" applyAlignment="1">
      <alignment horizontal="right" vertical="center" wrapText="1"/>
    </xf>
    <xf numFmtId="166" fontId="9" fillId="0" borderId="76" xfId="2" applyNumberFormat="1" applyFont="1" applyBorder="1" applyAlignment="1">
      <alignment horizontal="right" vertical="center" wrapText="1"/>
    </xf>
    <xf numFmtId="9" fontId="9" fillId="0" borderId="76" xfId="2" applyFont="1" applyFill="1" applyBorder="1" applyAlignment="1">
      <alignment horizontal="right" vertical="center" wrapText="1"/>
    </xf>
    <xf numFmtId="9" fontId="9" fillId="0" borderId="76" xfId="0" applyNumberFormat="1" applyFont="1" applyBorder="1" applyAlignment="1">
      <alignment horizontal="right" vertical="center" wrapText="1"/>
    </xf>
    <xf numFmtId="10" fontId="9" fillId="0" borderId="76" xfId="2" applyNumberFormat="1" applyFont="1" applyBorder="1" applyAlignment="1">
      <alignment horizontal="right" vertical="center" wrapText="1"/>
    </xf>
    <xf numFmtId="166" fontId="12" fillId="0" borderId="76" xfId="2" applyNumberFormat="1" applyFont="1" applyBorder="1" applyAlignment="1">
      <alignment horizontal="right" vertical="center" wrapText="1"/>
    </xf>
    <xf numFmtId="0" fontId="33" fillId="0" borderId="1" xfId="0" applyFont="1" applyBorder="1" applyAlignment="1" applyProtection="1">
      <alignment vertical="center" wrapText="1"/>
      <protection locked="0"/>
    </xf>
    <xf numFmtId="165" fontId="10" fillId="4" borderId="7" xfId="3" applyNumberFormat="1" applyFont="1" applyFill="1" applyBorder="1" applyAlignment="1">
      <alignment horizontal="center" vertical="center" wrapText="1"/>
    </xf>
    <xf numFmtId="0" fontId="33" fillId="0" borderId="1" xfId="0" applyFont="1" applyBorder="1" applyAlignment="1">
      <alignment vertical="center" wrapText="1"/>
    </xf>
    <xf numFmtId="0" fontId="33" fillId="0" borderId="1" xfId="0" applyFont="1" applyBorder="1" applyAlignment="1" applyProtection="1">
      <alignment horizontal="center" vertical="center" wrapText="1"/>
      <protection locked="0"/>
    </xf>
    <xf numFmtId="0" fontId="33" fillId="0" borderId="1" xfId="0" applyFont="1" applyBorder="1" applyAlignment="1" applyProtection="1">
      <alignment vertical="center" wrapText="1"/>
    </xf>
    <xf numFmtId="0" fontId="40" fillId="0" borderId="34" xfId="4" applyFont="1" applyFill="1" applyBorder="1" applyAlignment="1">
      <alignment horizontal="right" vertical="center" wrapText="1"/>
    </xf>
    <xf numFmtId="0" fontId="10" fillId="5" borderId="64" xfId="1" applyFont="1" applyFill="1" applyBorder="1" applyAlignment="1">
      <alignment horizontal="center" vertical="center" wrapText="1"/>
    </xf>
    <xf numFmtId="3" fontId="37" fillId="0" borderId="79" xfId="5" applyNumberFormat="1" applyFont="1" applyFill="1" applyBorder="1" applyAlignment="1">
      <alignment horizontal="right" vertical="center" wrapText="1"/>
    </xf>
    <xf numFmtId="0" fontId="37" fillId="0" borderId="79" xfId="5" applyFont="1" applyFill="1" applyBorder="1" applyAlignment="1">
      <alignment horizontal="right" vertical="center" wrapText="1"/>
    </xf>
    <xf numFmtId="3" fontId="37" fillId="0" borderId="80" xfId="5" applyNumberFormat="1" applyFont="1" applyFill="1" applyBorder="1" applyAlignment="1">
      <alignment horizontal="right" vertical="center" wrapText="1"/>
    </xf>
    <xf numFmtId="3" fontId="37" fillId="0" borderId="81" xfId="5" applyNumberFormat="1" applyFont="1" applyFill="1" applyBorder="1" applyAlignment="1">
      <alignment horizontal="right" vertical="center" wrapText="1"/>
    </xf>
    <xf numFmtId="3" fontId="37" fillId="0" borderId="82" xfId="5" applyNumberFormat="1" applyFont="1" applyFill="1" applyBorder="1" applyAlignment="1">
      <alignment horizontal="right" vertical="center" wrapText="1"/>
    </xf>
    <xf numFmtId="0" fontId="37" fillId="0" borderId="82" xfId="5" applyFont="1" applyFill="1" applyBorder="1" applyAlignment="1">
      <alignment horizontal="right" vertical="center" wrapText="1"/>
    </xf>
    <xf numFmtId="0" fontId="37" fillId="0" borderId="81" xfId="5" applyFont="1" applyFill="1" applyBorder="1" applyAlignment="1">
      <alignment horizontal="right" vertical="center" wrapText="1"/>
    </xf>
    <xf numFmtId="0" fontId="37" fillId="0" borderId="83" xfId="5" applyFont="1" applyFill="1" applyBorder="1" applyAlignment="1">
      <alignment horizontal="right" vertical="center" wrapText="1"/>
    </xf>
    <xf numFmtId="0" fontId="37" fillId="0" borderId="80" xfId="5" applyFont="1" applyFill="1" applyBorder="1" applyAlignment="1">
      <alignment horizontal="right" vertical="center" wrapText="1"/>
    </xf>
    <xf numFmtId="3" fontId="37" fillId="0" borderId="84" xfId="5" applyNumberFormat="1" applyFont="1" applyFill="1" applyBorder="1" applyAlignment="1">
      <alignment horizontal="right" vertical="center" wrapText="1"/>
    </xf>
    <xf numFmtId="3" fontId="37" fillId="0" borderId="40" xfId="5" applyNumberFormat="1" applyFont="1" applyFill="1" applyBorder="1" applyAlignment="1">
      <alignment horizontal="right" vertical="center" wrapText="1"/>
    </xf>
    <xf numFmtId="3" fontId="37" fillId="0" borderId="76" xfId="5" applyNumberFormat="1" applyFont="1" applyFill="1" applyBorder="1" applyAlignment="1">
      <alignment horizontal="right" vertical="center" wrapText="1"/>
    </xf>
    <xf numFmtId="0" fontId="37" fillId="0" borderId="76" xfId="5" applyFont="1" applyFill="1" applyBorder="1" applyAlignment="1">
      <alignment horizontal="right" vertical="center" wrapText="1"/>
    </xf>
    <xf numFmtId="0" fontId="37" fillId="0" borderId="85" xfId="5" applyFont="1" applyFill="1" applyBorder="1" applyAlignment="1">
      <alignment horizontal="right" vertical="center" wrapText="1"/>
    </xf>
    <xf numFmtId="0" fontId="37" fillId="0" borderId="61" xfId="5" applyFont="1" applyFill="1" applyBorder="1" applyAlignment="1">
      <alignment horizontal="right" vertical="center" wrapText="1"/>
    </xf>
    <xf numFmtId="0" fontId="37" fillId="0" borderId="86" xfId="5" applyFont="1" applyFill="1" applyBorder="1" applyAlignment="1">
      <alignment horizontal="right" vertical="center" wrapText="1"/>
    </xf>
    <xf numFmtId="10" fontId="37" fillId="0" borderId="43" xfId="7" applyNumberFormat="1" applyFont="1" applyFill="1" applyBorder="1" applyAlignment="1">
      <alignment horizontal="right" vertical="center" wrapText="1"/>
    </xf>
    <xf numFmtId="9" fontId="37" fillId="0" borderId="43" xfId="7" applyFont="1" applyFill="1" applyBorder="1" applyAlignment="1">
      <alignment horizontal="right" vertical="center" wrapText="1"/>
    </xf>
    <xf numFmtId="0" fontId="37" fillId="0" borderId="77" xfId="5" applyFont="1" applyFill="1" applyBorder="1" applyAlignment="1">
      <alignment horizontal="right" vertical="center" wrapText="1"/>
    </xf>
    <xf numFmtId="0" fontId="37" fillId="0" borderId="44" xfId="5" applyFont="1" applyFill="1" applyBorder="1" applyAlignment="1">
      <alignment horizontal="right" vertical="center" wrapText="1"/>
    </xf>
    <xf numFmtId="0" fontId="10" fillId="5" borderId="27" xfId="1" applyFont="1" applyFill="1" applyBorder="1" applyAlignment="1">
      <alignment horizontal="right" vertical="center" wrapText="1"/>
    </xf>
    <xf numFmtId="0" fontId="108" fillId="0" borderId="1" xfId="0" applyFont="1" applyFill="1" applyBorder="1" applyAlignment="1">
      <alignment horizontal="right" vertical="center" wrapText="1"/>
    </xf>
    <xf numFmtId="0" fontId="37" fillId="0" borderId="57" xfId="5" applyFont="1" applyFill="1" applyBorder="1" applyAlignment="1">
      <alignment horizontal="right" vertical="center" wrapText="1"/>
    </xf>
    <xf numFmtId="0" fontId="34" fillId="0" borderId="11" xfId="0" applyFont="1" applyBorder="1" applyAlignment="1">
      <alignment horizontal="right" vertical="center" wrapText="1"/>
    </xf>
    <xf numFmtId="0" fontId="34" fillId="0" borderId="0" xfId="0" applyFont="1" applyAlignment="1">
      <alignment horizontal="right" vertical="center" wrapText="1"/>
    </xf>
    <xf numFmtId="0" fontId="37" fillId="0" borderId="39" xfId="5" applyFont="1" applyFill="1" applyBorder="1" applyAlignment="1">
      <alignment horizontal="right" vertical="center" wrapText="1"/>
    </xf>
    <xf numFmtId="0" fontId="108" fillId="0" borderId="87" xfId="0" applyFont="1" applyFill="1" applyBorder="1" applyAlignment="1">
      <alignment horizontal="left" vertical="center" wrapText="1"/>
    </xf>
    <xf numFmtId="0" fontId="37" fillId="0" borderId="40" xfId="5" applyFont="1" applyFill="1" applyBorder="1" applyAlignment="1">
      <alignment vertical="center" wrapText="1"/>
    </xf>
    <xf numFmtId="0" fontId="108" fillId="0" borderId="44" xfId="0" applyFont="1" applyFill="1" applyBorder="1" applyAlignment="1">
      <alignment horizontal="right" vertical="center" wrapText="1"/>
    </xf>
    <xf numFmtId="0" fontId="37" fillId="0" borderId="2" xfId="5" applyFont="1" applyFill="1" applyBorder="1" applyAlignment="1">
      <alignment horizontal="right" vertical="center" wrapText="1"/>
    </xf>
    <xf numFmtId="0" fontId="37" fillId="0" borderId="47" xfId="5" applyFont="1" applyFill="1" applyBorder="1" applyAlignment="1">
      <alignment horizontal="right" vertical="center" wrapText="1"/>
    </xf>
    <xf numFmtId="10" fontId="37" fillId="0" borderId="1" xfId="7" applyNumberFormat="1" applyFont="1" applyFill="1" applyBorder="1" applyAlignment="1">
      <alignment horizontal="right" vertical="center" wrapText="1"/>
    </xf>
    <xf numFmtId="0" fontId="37" fillId="0" borderId="3" xfId="5" applyFont="1" applyFill="1" applyBorder="1" applyAlignment="1">
      <alignment horizontal="right" vertical="center" wrapText="1"/>
    </xf>
    <xf numFmtId="0" fontId="43" fillId="0" borderId="88" xfId="4" applyFont="1" applyFill="1" applyBorder="1" applyAlignment="1">
      <alignment horizontal="center" vertical="center" wrapText="1"/>
    </xf>
    <xf numFmtId="3" fontId="37" fillId="0" borderId="74" xfId="5" applyNumberFormat="1" applyFont="1" applyFill="1" applyBorder="1" applyAlignment="1">
      <alignment horizontal="right" vertical="center" wrapText="1"/>
    </xf>
    <xf numFmtId="0" fontId="37" fillId="0" borderId="74" xfId="5" applyFont="1" applyFill="1" applyBorder="1" applyAlignment="1">
      <alignment horizontal="right" vertical="center" wrapText="1"/>
    </xf>
    <xf numFmtId="0" fontId="37" fillId="17" borderId="74" xfId="5" applyFont="1" applyFill="1" applyBorder="1" applyAlignment="1">
      <alignment horizontal="right" vertical="center" wrapText="1"/>
    </xf>
    <xf numFmtId="0" fontId="37" fillId="0" borderId="74" xfId="5" applyFont="1" applyBorder="1" applyAlignment="1">
      <alignment horizontal="right" vertical="center" wrapText="1"/>
    </xf>
    <xf numFmtId="0" fontId="52" fillId="0" borderId="89" xfId="5" applyFont="1" applyBorder="1" applyAlignment="1">
      <alignment horizontal="right" vertical="center" wrapText="1"/>
    </xf>
    <xf numFmtId="0" fontId="37" fillId="0" borderId="90" xfId="5" applyFont="1" applyFill="1" applyBorder="1" applyAlignment="1">
      <alignment horizontal="right" vertical="center" wrapText="1"/>
    </xf>
    <xf numFmtId="0" fontId="37" fillId="0" borderId="89" xfId="5" applyFont="1" applyBorder="1" applyAlignment="1">
      <alignment horizontal="right" vertical="center" wrapText="1"/>
    </xf>
    <xf numFmtId="0" fontId="56" fillId="0" borderId="74" xfId="5" applyFont="1" applyFill="1" applyBorder="1" applyAlignment="1">
      <alignment horizontal="right" vertical="center" wrapText="1"/>
    </xf>
    <xf numFmtId="10" fontId="37" fillId="0" borderId="74" xfId="7" applyNumberFormat="1" applyFont="1" applyFill="1" applyBorder="1" applyAlignment="1">
      <alignment horizontal="right" vertical="center" wrapText="1"/>
    </xf>
    <xf numFmtId="9" fontId="37" fillId="0" borderId="74" xfId="7" applyFont="1" applyFill="1" applyBorder="1" applyAlignment="1">
      <alignment horizontal="right" vertical="center" wrapText="1"/>
    </xf>
    <xf numFmtId="0" fontId="37" fillId="0" borderId="89" xfId="5" applyFont="1" applyFill="1" applyBorder="1" applyAlignment="1">
      <alignment horizontal="right" vertical="center" wrapText="1"/>
    </xf>
    <xf numFmtId="0" fontId="56" fillId="0" borderId="90" xfId="5" applyFont="1" applyFill="1" applyBorder="1" applyAlignment="1">
      <alignment horizontal="right" vertical="center" wrapText="1"/>
    </xf>
    <xf numFmtId="0" fontId="37" fillId="0" borderId="91" xfId="5" applyFont="1" applyFill="1" applyBorder="1" applyAlignment="1">
      <alignment horizontal="right" vertical="center" wrapText="1"/>
    </xf>
    <xf numFmtId="0" fontId="37" fillId="0" borderId="75" xfId="5" applyFont="1" applyFill="1" applyBorder="1" applyAlignment="1">
      <alignment horizontal="right" vertical="center" wrapText="1"/>
    </xf>
    <xf numFmtId="0" fontId="37" fillId="30" borderId="74" xfId="5" applyFont="1" applyFill="1" applyBorder="1" applyAlignment="1">
      <alignment horizontal="right" vertical="center" wrapText="1"/>
    </xf>
    <xf numFmtId="0" fontId="37" fillId="17" borderId="90" xfId="5" applyFont="1" applyFill="1" applyBorder="1" applyAlignment="1">
      <alignment horizontal="right" vertical="center" wrapText="1"/>
    </xf>
    <xf numFmtId="0" fontId="37" fillId="17" borderId="75" xfId="5" applyFont="1" applyFill="1" applyBorder="1" applyAlignment="1">
      <alignment horizontal="right" vertical="center" wrapText="1"/>
    </xf>
    <xf numFmtId="0" fontId="6" fillId="10" borderId="87" xfId="5" applyFont="1" applyFill="1" applyBorder="1" applyAlignment="1">
      <alignment horizontal="center" vertical="center" wrapText="1"/>
    </xf>
    <xf numFmtId="168" fontId="37" fillId="8" borderId="8" xfId="5" applyNumberFormat="1" applyFont="1" applyFill="1" applyBorder="1" applyAlignment="1">
      <alignment horizontal="right" vertical="center" wrapText="1"/>
    </xf>
    <xf numFmtId="168" fontId="37" fillId="8" borderId="9" xfId="5" applyNumberFormat="1" applyFont="1" applyFill="1" applyBorder="1" applyAlignment="1">
      <alignment vertical="center" wrapText="1"/>
    </xf>
    <xf numFmtId="168" fontId="37" fillId="8" borderId="9" xfId="5" applyNumberFormat="1" applyFont="1" applyFill="1" applyBorder="1" applyAlignment="1">
      <alignment horizontal="right" vertical="center" wrapText="1"/>
    </xf>
    <xf numFmtId="168" fontId="37" fillId="8" borderId="50" xfId="5" applyNumberFormat="1" applyFont="1" applyFill="1" applyBorder="1" applyAlignment="1">
      <alignment vertical="center" wrapText="1"/>
    </xf>
    <xf numFmtId="168" fontId="37" fillId="9" borderId="9" xfId="5" applyNumberFormat="1" applyFont="1" applyFill="1" applyBorder="1" applyAlignment="1">
      <alignment vertical="center" wrapText="1"/>
    </xf>
    <xf numFmtId="168" fontId="37" fillId="9" borderId="50" xfId="5" applyNumberFormat="1" applyFont="1" applyFill="1" applyBorder="1" applyAlignment="1">
      <alignment vertical="center" wrapText="1"/>
    </xf>
    <xf numFmtId="168" fontId="37" fillId="22" borderId="9" xfId="5" applyNumberFormat="1" applyFont="1" applyFill="1" applyBorder="1" applyAlignment="1">
      <alignment vertical="center" wrapText="1"/>
    </xf>
    <xf numFmtId="168" fontId="37" fillId="33" borderId="9" xfId="5" applyNumberFormat="1" applyFont="1" applyFill="1" applyBorder="1" applyAlignment="1">
      <alignment vertical="center" wrapText="1"/>
    </xf>
    <xf numFmtId="168" fontId="37" fillId="5" borderId="9" xfId="5" applyNumberFormat="1" applyFont="1" applyFill="1" applyBorder="1" applyAlignment="1">
      <alignment vertical="center" wrapText="1"/>
    </xf>
    <xf numFmtId="168" fontId="37" fillId="5" borderId="50" xfId="5" applyNumberFormat="1" applyFont="1" applyFill="1" applyBorder="1" applyAlignment="1">
      <alignment vertical="center" wrapText="1"/>
    </xf>
    <xf numFmtId="168" fontId="37" fillId="22" borderId="8" xfId="5" applyNumberFormat="1" applyFont="1" applyFill="1" applyBorder="1" applyAlignment="1">
      <alignment vertical="center" wrapText="1"/>
    </xf>
    <xf numFmtId="168" fontId="37" fillId="43" borderId="92" xfId="5" applyNumberFormat="1" applyFont="1" applyFill="1" applyBorder="1" applyAlignment="1">
      <alignment vertical="center" wrapText="1"/>
    </xf>
    <xf numFmtId="168" fontId="37" fillId="43" borderId="50" xfId="5" applyNumberFormat="1" applyFont="1" applyFill="1" applyBorder="1" applyAlignment="1">
      <alignment vertical="center" wrapText="1"/>
    </xf>
    <xf numFmtId="168" fontId="37" fillId="27" borderId="9" xfId="5" applyNumberFormat="1" applyFont="1" applyFill="1" applyBorder="1" applyAlignment="1">
      <alignment vertical="center" wrapText="1"/>
    </xf>
    <xf numFmtId="168" fontId="37" fillId="27" borderId="50" xfId="5" applyNumberFormat="1" applyFont="1" applyFill="1" applyBorder="1" applyAlignment="1">
      <alignment vertical="center" wrapText="1"/>
    </xf>
    <xf numFmtId="168" fontId="37" fillId="0" borderId="9" xfId="5" applyNumberFormat="1" applyFont="1" applyFill="1" applyBorder="1" applyAlignment="1">
      <alignment vertical="center" wrapText="1"/>
    </xf>
    <xf numFmtId="0" fontId="6" fillId="14" borderId="40" xfId="5" applyFont="1" applyFill="1" applyBorder="1" applyAlignment="1">
      <alignment horizontal="center" vertical="center" wrapText="1"/>
    </xf>
    <xf numFmtId="0" fontId="40" fillId="0" borderId="7" xfId="4" applyFont="1" applyFill="1" applyBorder="1" applyAlignment="1">
      <alignment horizontal="center" vertical="center" wrapText="1"/>
    </xf>
    <xf numFmtId="3" fontId="37" fillId="0" borderId="7" xfId="6" applyNumberFormat="1" applyFont="1" applyFill="1" applyBorder="1" applyAlignment="1">
      <alignment horizontal="right" vertical="center" wrapText="1"/>
    </xf>
    <xf numFmtId="0" fontId="37" fillId="0" borderId="7" xfId="6" applyFont="1" applyFill="1" applyBorder="1" applyAlignment="1">
      <alignment horizontal="right" vertical="center" wrapText="1"/>
    </xf>
    <xf numFmtId="3" fontId="37" fillId="0" borderId="13" xfId="6" applyNumberFormat="1" applyFont="1" applyFill="1" applyBorder="1" applyAlignment="1">
      <alignment horizontal="right" vertical="center" wrapText="1"/>
    </xf>
    <xf numFmtId="3" fontId="37" fillId="0" borderId="51" xfId="6" applyNumberFormat="1" applyFont="1" applyFill="1" applyBorder="1" applyAlignment="1">
      <alignment horizontal="right" vertical="center" wrapText="1"/>
    </xf>
    <xf numFmtId="3" fontId="37" fillId="0" borderId="12" xfId="6" applyNumberFormat="1" applyFont="1" applyFill="1" applyBorder="1" applyAlignment="1">
      <alignment horizontal="right" vertical="center" wrapText="1"/>
    </xf>
    <xf numFmtId="0" fontId="37" fillId="0" borderId="12" xfId="6" applyFont="1" applyFill="1" applyBorder="1" applyAlignment="1">
      <alignment horizontal="right" vertical="center" wrapText="1"/>
    </xf>
    <xf numFmtId="0" fontId="37" fillId="0" borderId="51" xfId="6" applyFont="1" applyFill="1" applyBorder="1" applyAlignment="1">
      <alignment horizontal="right" vertical="center" wrapText="1"/>
    </xf>
    <xf numFmtId="0" fontId="37" fillId="0" borderId="53" xfId="6" applyFont="1" applyFill="1" applyBorder="1" applyAlignment="1">
      <alignment horizontal="right" vertical="center" wrapText="1"/>
    </xf>
    <xf numFmtId="0" fontId="69" fillId="0" borderId="7" xfId="6" applyFont="1" applyFill="1" applyBorder="1" applyAlignment="1">
      <alignment horizontal="right" vertical="center" wrapText="1"/>
    </xf>
    <xf numFmtId="0" fontId="37" fillId="0" borderId="13" xfId="6" applyFont="1" applyFill="1" applyBorder="1" applyAlignment="1">
      <alignment horizontal="right" vertical="center" wrapText="1"/>
    </xf>
    <xf numFmtId="0" fontId="42" fillId="11" borderId="87" xfId="5" applyFont="1" applyFill="1" applyBorder="1" applyAlignment="1">
      <alignment horizontal="center" vertical="center" wrapText="1"/>
    </xf>
    <xf numFmtId="3" fontId="44" fillId="0" borderId="10" xfId="5" applyNumberFormat="1" applyFont="1" applyFill="1" applyBorder="1" applyAlignment="1">
      <alignment vertical="center" wrapText="1"/>
    </xf>
    <xf numFmtId="0" fontId="44" fillId="0" borderId="22" xfId="5" applyFont="1" applyFill="1" applyBorder="1" applyAlignment="1">
      <alignment vertical="center" wrapText="1"/>
    </xf>
    <xf numFmtId="0" fontId="50" fillId="0" borderId="10" xfId="5" applyFont="1" applyFill="1" applyBorder="1" applyAlignment="1">
      <alignment vertical="center" wrapText="1"/>
    </xf>
    <xf numFmtId="0" fontId="44" fillId="0" borderId="54" xfId="5" applyFont="1" applyFill="1" applyBorder="1" applyAlignment="1">
      <alignment horizontal="justify" vertical="center" wrapText="1"/>
    </xf>
    <xf numFmtId="0" fontId="44" fillId="0" borderId="10" xfId="5" applyFont="1" applyFill="1" applyBorder="1" applyAlignment="1">
      <alignment vertical="center" wrapText="1"/>
    </xf>
    <xf numFmtId="0" fontId="44" fillId="0" borderId="50" xfId="5" applyFont="1" applyFill="1" applyBorder="1" applyAlignment="1">
      <alignment horizontal="justify" vertical="center" wrapText="1"/>
    </xf>
    <xf numFmtId="0" fontId="44" fillId="0" borderId="10" xfId="5" applyFont="1" applyFill="1" applyBorder="1" applyAlignment="1">
      <alignment horizontal="justify" vertical="center" wrapText="1"/>
    </xf>
    <xf numFmtId="0" fontId="44" fillId="0" borderId="87" xfId="5" applyFont="1" applyFill="1" applyBorder="1" applyAlignment="1">
      <alignment vertical="center" wrapText="1"/>
    </xf>
    <xf numFmtId="0" fontId="44" fillId="0" borderId="8" xfId="5" applyFont="1" applyFill="1" applyBorder="1" applyAlignment="1">
      <alignment vertical="center" wrapText="1"/>
    </xf>
    <xf numFmtId="171" fontId="44" fillId="0" borderId="2" xfId="5" applyNumberFormat="1" applyFont="1" applyFill="1" applyBorder="1" applyAlignment="1">
      <alignment horizontal="justify" vertical="center" wrapText="1"/>
    </xf>
    <xf numFmtId="0" fontId="44" fillId="0" borderId="8" xfId="5" applyFont="1" applyFill="1" applyBorder="1" applyAlignment="1">
      <alignment horizontal="justify" vertical="center" wrapText="1"/>
    </xf>
    <xf numFmtId="168" fontId="37" fillId="8" borderId="93" xfId="5" applyNumberFormat="1" applyFont="1" applyFill="1" applyBorder="1" applyAlignment="1">
      <alignment horizontal="right" vertical="center" wrapText="1"/>
    </xf>
    <xf numFmtId="168" fontId="37" fillId="0" borderId="52" xfId="5" applyNumberFormat="1" applyFont="1" applyFill="1" applyBorder="1" applyAlignment="1">
      <alignment horizontal="right" vertical="center" wrapText="1"/>
    </xf>
    <xf numFmtId="168" fontId="37" fillId="8" borderId="94" xfId="5" applyNumberFormat="1" applyFont="1" applyFill="1" applyBorder="1" applyAlignment="1">
      <alignment vertical="center" wrapText="1"/>
    </xf>
    <xf numFmtId="168" fontId="37" fillId="0" borderId="43" xfId="5" applyNumberFormat="1" applyFont="1" applyFill="1" applyBorder="1" applyAlignment="1">
      <alignment vertical="center" wrapText="1"/>
    </xf>
    <xf numFmtId="168" fontId="37" fillId="0" borderId="79" xfId="5" applyNumberFormat="1" applyFont="1" applyFill="1" applyBorder="1" applyAlignment="1">
      <alignment vertical="center" wrapText="1"/>
    </xf>
    <xf numFmtId="168" fontId="37" fillId="8" borderId="94" xfId="5" applyNumberFormat="1" applyFont="1" applyFill="1" applyBorder="1" applyAlignment="1">
      <alignment horizontal="right" vertical="center" wrapText="1"/>
    </xf>
    <xf numFmtId="168" fontId="37" fillId="0" borderId="43" xfId="5" applyNumberFormat="1" applyFont="1" applyFill="1" applyBorder="1" applyAlignment="1">
      <alignment horizontal="right" vertical="center" wrapText="1"/>
    </xf>
    <xf numFmtId="168" fontId="37" fillId="8" borderId="95" xfId="5" applyNumberFormat="1" applyFont="1" applyFill="1" applyBorder="1" applyAlignment="1">
      <alignment vertical="center" wrapText="1"/>
    </xf>
    <xf numFmtId="168" fontId="37" fillId="0" borderId="49" xfId="5" applyNumberFormat="1" applyFont="1" applyFill="1" applyBorder="1" applyAlignment="1">
      <alignment vertical="center" wrapText="1"/>
    </xf>
    <xf numFmtId="168" fontId="37" fillId="0" borderId="52" xfId="5" applyNumberFormat="1" applyFont="1" applyFill="1" applyBorder="1" applyAlignment="1">
      <alignment vertical="center" wrapText="1"/>
    </xf>
    <xf numFmtId="168" fontId="37" fillId="9" borderId="94" xfId="5" applyNumberFormat="1" applyFont="1" applyFill="1" applyBorder="1" applyAlignment="1">
      <alignment vertical="center" wrapText="1"/>
    </xf>
    <xf numFmtId="168" fontId="37" fillId="9" borderId="95" xfId="5" applyNumberFormat="1" applyFont="1" applyFill="1" applyBorder="1" applyAlignment="1">
      <alignment vertical="center" wrapText="1"/>
    </xf>
    <xf numFmtId="168" fontId="37" fillId="22" borderId="94" xfId="5" applyNumberFormat="1" applyFont="1" applyFill="1" applyBorder="1" applyAlignment="1">
      <alignment vertical="center" wrapText="1"/>
    </xf>
    <xf numFmtId="168" fontId="37" fillId="22" borderId="95" xfId="5" applyNumberFormat="1" applyFont="1" applyFill="1" applyBorder="1" applyAlignment="1">
      <alignment vertical="center" wrapText="1"/>
    </xf>
    <xf numFmtId="168" fontId="37" fillId="0" borderId="83" xfId="5" applyNumberFormat="1" applyFont="1" applyFill="1" applyBorder="1" applyAlignment="1">
      <alignment vertical="center" wrapText="1"/>
    </xf>
    <xf numFmtId="168" fontId="37" fillId="0" borderId="55" xfId="5" applyNumberFormat="1" applyFont="1" applyFill="1" applyBorder="1" applyAlignment="1">
      <alignment vertical="center" wrapText="1"/>
    </xf>
    <xf numFmtId="168" fontId="37" fillId="33" borderId="94" xfId="5" applyNumberFormat="1" applyFont="1" applyFill="1" applyBorder="1" applyAlignment="1">
      <alignment vertical="center" wrapText="1"/>
    </xf>
    <xf numFmtId="168" fontId="37" fillId="33" borderId="95" xfId="5" applyNumberFormat="1" applyFont="1" applyFill="1" applyBorder="1" applyAlignment="1">
      <alignment vertical="center" wrapText="1"/>
    </xf>
    <xf numFmtId="168" fontId="37" fillId="0" borderId="81" xfId="5" applyNumberFormat="1" applyFont="1" applyFill="1" applyBorder="1" applyAlignment="1">
      <alignment vertical="center" wrapText="1"/>
    </xf>
    <xf numFmtId="168" fontId="37" fillId="5" borderId="94" xfId="5" applyNumberFormat="1" applyFont="1" applyFill="1" applyBorder="1" applyAlignment="1">
      <alignment vertical="center" wrapText="1"/>
    </xf>
    <xf numFmtId="168" fontId="37" fillId="5" borderId="95" xfId="5" applyNumberFormat="1" applyFont="1" applyFill="1" applyBorder="1" applyAlignment="1">
      <alignment vertical="center" wrapText="1"/>
    </xf>
    <xf numFmtId="168" fontId="37" fillId="22" borderId="93" xfId="5" applyNumberFormat="1" applyFont="1" applyFill="1" applyBorder="1" applyAlignment="1">
      <alignment vertical="center" wrapText="1"/>
    </xf>
    <xf numFmtId="168" fontId="37" fillId="43" borderId="72" xfId="5" applyNumberFormat="1" applyFont="1" applyFill="1" applyBorder="1" applyAlignment="1">
      <alignment vertical="center" wrapText="1"/>
    </xf>
    <xf numFmtId="168" fontId="37" fillId="0" borderId="40" xfId="5" applyNumberFormat="1" applyFont="1" applyFill="1" applyBorder="1" applyAlignment="1">
      <alignment vertical="center" wrapText="1"/>
    </xf>
    <xf numFmtId="168" fontId="37" fillId="43" borderId="94" xfId="5" applyNumberFormat="1" applyFont="1" applyFill="1" applyBorder="1" applyAlignment="1">
      <alignment vertical="center" wrapText="1"/>
    </xf>
    <xf numFmtId="168" fontId="37" fillId="0" borderId="46" xfId="5" applyNumberFormat="1" applyFont="1" applyFill="1" applyBorder="1" applyAlignment="1">
      <alignment vertical="center" wrapText="1"/>
    </xf>
    <xf numFmtId="168" fontId="37" fillId="43" borderId="95" xfId="5" applyNumberFormat="1" applyFont="1" applyFill="1" applyBorder="1" applyAlignment="1">
      <alignment vertical="center" wrapText="1"/>
    </xf>
    <xf numFmtId="168" fontId="37" fillId="27" borderId="94" xfId="5" applyNumberFormat="1" applyFont="1" applyFill="1" applyBorder="1" applyAlignment="1">
      <alignment vertical="center" wrapText="1"/>
    </xf>
    <xf numFmtId="168" fontId="37" fillId="27" borderId="95" xfId="5" applyNumberFormat="1" applyFont="1" applyFill="1" applyBorder="1" applyAlignment="1">
      <alignment vertical="center" wrapText="1"/>
    </xf>
    <xf numFmtId="168" fontId="37" fillId="0" borderId="94" xfId="5" applyNumberFormat="1" applyFont="1" applyFill="1" applyBorder="1" applyAlignment="1">
      <alignment vertical="center" wrapText="1"/>
    </xf>
    <xf numFmtId="168" fontId="37" fillId="0" borderId="95" xfId="5" applyNumberFormat="1" applyFont="1" applyFill="1" applyBorder="1" applyAlignment="1">
      <alignment vertical="center" wrapText="1"/>
    </xf>
    <xf numFmtId="0" fontId="0" fillId="0" borderId="0" xfId="0" applyAlignment="1">
      <alignment vertical="center" wrapText="1"/>
    </xf>
    <xf numFmtId="0" fontId="111" fillId="0" borderId="0" xfId="0" applyFont="1" applyAlignment="1">
      <alignment horizontal="centerContinuous" vertical="center" wrapText="1"/>
    </xf>
    <xf numFmtId="0" fontId="33" fillId="0" borderId="4" xfId="0" applyFont="1" applyBorder="1" applyAlignment="1">
      <alignment vertical="center" wrapText="1"/>
    </xf>
    <xf numFmtId="0" fontId="33" fillId="0" borderId="1" xfId="0" applyFont="1" applyFill="1" applyBorder="1" applyAlignment="1" applyProtection="1">
      <alignment vertical="center" wrapText="1"/>
    </xf>
    <xf numFmtId="0" fontId="33" fillId="0" borderId="4" xfId="0" applyFont="1" applyBorder="1" applyAlignment="1" applyProtection="1">
      <alignment vertical="center" wrapText="1"/>
      <protection locked="0"/>
    </xf>
    <xf numFmtId="168" fontId="33" fillId="0" borderId="1" xfId="0" applyNumberFormat="1" applyFont="1" applyBorder="1" applyAlignment="1" applyProtection="1">
      <alignment vertical="center" wrapText="1"/>
      <protection locked="0"/>
    </xf>
    <xf numFmtId="168" fontId="33" fillId="0" borderId="1" xfId="0" applyNumberFormat="1" applyFont="1" applyBorder="1" applyAlignment="1" applyProtection="1">
      <alignment vertical="center" wrapText="1"/>
    </xf>
    <xf numFmtId="0" fontId="112" fillId="0" borderId="1" xfId="0" applyFont="1" applyBorder="1" applyAlignment="1">
      <alignment horizontal="right" vertical="center" wrapText="1"/>
    </xf>
    <xf numFmtId="168" fontId="33" fillId="0" borderId="1" xfId="0" applyNumberFormat="1" applyFont="1" applyBorder="1" applyAlignment="1">
      <alignment vertical="center" wrapText="1"/>
    </xf>
    <xf numFmtId="0" fontId="112" fillId="0" borderId="1" xfId="0" applyFont="1" applyBorder="1" applyAlignment="1">
      <alignment horizontal="center" vertical="center" wrapText="1"/>
    </xf>
    <xf numFmtId="0" fontId="0" fillId="0" borderId="0" xfId="0" applyFont="1"/>
    <xf numFmtId="0" fontId="112" fillId="0" borderId="1" xfId="0" applyFont="1" applyBorder="1" applyAlignment="1">
      <alignment horizontal="left" vertical="center" wrapText="1"/>
    </xf>
    <xf numFmtId="0" fontId="33" fillId="0" borderId="1" xfId="0" applyFont="1" applyBorder="1"/>
    <xf numFmtId="0" fontId="33" fillId="0" borderId="0" xfId="0" applyFont="1"/>
    <xf numFmtId="0" fontId="33" fillId="0" borderId="7" xfId="0" applyFont="1" applyBorder="1"/>
    <xf numFmtId="0" fontId="112" fillId="0" borderId="3" xfId="0" applyFont="1" applyBorder="1" applyAlignment="1">
      <alignment horizontal="left" vertical="center" wrapText="1"/>
    </xf>
    <xf numFmtId="0" fontId="9" fillId="0" borderId="1" xfId="0" applyFont="1" applyBorder="1" applyAlignment="1">
      <alignment horizontal="justify" vertical="center"/>
    </xf>
    <xf numFmtId="0" fontId="0" fillId="0" borderId="0" xfId="0" applyFont="1" applyBorder="1" applyAlignment="1">
      <alignment horizontal="justify" vertical="center" wrapText="1"/>
    </xf>
    <xf numFmtId="0" fontId="33" fillId="0" borderId="0" xfId="0" applyFont="1" applyBorder="1" applyAlignment="1">
      <alignment horizontal="justify" vertical="center" wrapText="1"/>
    </xf>
    <xf numFmtId="0" fontId="33" fillId="0" borderId="98" xfId="0" applyFont="1" applyBorder="1" applyAlignment="1">
      <alignment horizontal="justify" vertical="center" wrapText="1"/>
    </xf>
    <xf numFmtId="0" fontId="33" fillId="0" borderId="4" xfId="0" applyFont="1" applyBorder="1" applyAlignment="1">
      <alignment vertical="center"/>
    </xf>
    <xf numFmtId="0" fontId="33" fillId="0" borderId="1" xfId="0" applyFont="1" applyBorder="1" applyAlignment="1">
      <alignment vertical="center"/>
    </xf>
    <xf numFmtId="0" fontId="33" fillId="0" borderId="98" xfId="0" applyFont="1" applyBorder="1" applyAlignment="1">
      <alignment vertical="center"/>
    </xf>
    <xf numFmtId="0" fontId="33" fillId="0" borderId="0" xfId="0" applyFont="1" applyAlignment="1">
      <alignment vertical="center"/>
    </xf>
    <xf numFmtId="0" fontId="33" fillId="0" borderId="0" xfId="0" applyFont="1" applyAlignment="1"/>
    <xf numFmtId="0" fontId="33" fillId="0" borderId="15" xfId="0" applyFont="1" applyBorder="1" applyAlignment="1">
      <alignment vertical="center"/>
    </xf>
    <xf numFmtId="0" fontId="33" fillId="0" borderId="0" xfId="0" applyFont="1" applyBorder="1" applyAlignment="1">
      <alignment vertical="center"/>
    </xf>
    <xf numFmtId="0" fontId="33" fillId="0" borderId="2" xfId="0" applyFont="1" applyBorder="1" applyAlignment="1">
      <alignment vertical="center"/>
    </xf>
    <xf numFmtId="0" fontId="33" fillId="0" borderId="10" xfId="0" applyFont="1" applyBorder="1" applyAlignment="1">
      <alignment vertical="center"/>
    </xf>
    <xf numFmtId="0" fontId="113" fillId="0" borderId="0" xfId="0" applyFont="1" applyBorder="1" applyAlignment="1">
      <alignment horizontal="center" vertical="center"/>
    </xf>
    <xf numFmtId="0" fontId="113" fillId="0" borderId="1" xfId="0" applyFont="1" applyBorder="1" applyAlignment="1">
      <alignment horizontal="center" vertical="center"/>
    </xf>
    <xf numFmtId="0" fontId="113" fillId="0" borderId="1" xfId="0" applyFont="1" applyBorder="1" applyAlignment="1">
      <alignment horizontal="center" vertical="center" wrapText="1"/>
    </xf>
    <xf numFmtId="0" fontId="113" fillId="0" borderId="4" xfId="0" applyFont="1" applyBorder="1" applyAlignment="1">
      <alignment horizontal="center" vertical="center"/>
    </xf>
    <xf numFmtId="0" fontId="113" fillId="0" borderId="4" xfId="0" applyFont="1" applyBorder="1" applyAlignment="1">
      <alignment horizontal="center" vertical="center" wrapText="1"/>
    </xf>
    <xf numFmtId="0" fontId="116" fillId="0" borderId="27" xfId="0" applyFont="1" applyFill="1" applyBorder="1" applyAlignment="1">
      <alignment horizontal="center" vertical="center"/>
    </xf>
    <xf numFmtId="0" fontId="116" fillId="0" borderId="28" xfId="0" applyFont="1" applyFill="1" applyBorder="1" applyAlignment="1">
      <alignment horizontal="center" vertical="center"/>
    </xf>
    <xf numFmtId="0" fontId="116" fillId="0" borderId="29" xfId="0" applyFont="1" applyFill="1" applyBorder="1" applyAlignment="1">
      <alignment horizontal="center" vertical="center"/>
    </xf>
    <xf numFmtId="0" fontId="33" fillId="0" borderId="4" xfId="0" applyFont="1" applyBorder="1" applyAlignment="1" applyProtection="1">
      <alignment horizontal="left" vertical="center"/>
      <protection locked="0"/>
    </xf>
    <xf numFmtId="0" fontId="33" fillId="0" borderId="10" xfId="0" applyFont="1" applyBorder="1" applyAlignment="1" applyProtection="1">
      <alignment horizontal="left" vertical="center"/>
      <protection locked="0"/>
    </xf>
    <xf numFmtId="0" fontId="33" fillId="0" borderId="2" xfId="0" applyFont="1" applyBorder="1" applyAlignment="1" applyProtection="1">
      <alignment horizontal="left" vertical="center"/>
      <protection locked="0"/>
    </xf>
    <xf numFmtId="0" fontId="33" fillId="0" borderId="1" xfId="0" applyFont="1" applyBorder="1" applyAlignment="1" applyProtection="1">
      <alignment horizontal="left" vertical="center"/>
      <protection locked="0"/>
    </xf>
    <xf numFmtId="0" fontId="89" fillId="0" borderId="27" xfId="0" applyFont="1" applyFill="1" applyBorder="1" applyAlignment="1" applyProtection="1">
      <alignment horizontal="center" vertical="center"/>
      <protection locked="0"/>
    </xf>
    <xf numFmtId="0" fontId="89" fillId="0" borderId="28" xfId="0" applyFont="1" applyFill="1" applyBorder="1" applyAlignment="1" applyProtection="1">
      <alignment horizontal="center" vertical="center"/>
      <protection locked="0"/>
    </xf>
    <xf numFmtId="0" fontId="89" fillId="0" borderId="29" xfId="0" applyFont="1" applyFill="1" applyBorder="1" applyAlignment="1" applyProtection="1">
      <alignment horizontal="center" vertical="center"/>
      <protection locked="0"/>
    </xf>
    <xf numFmtId="0" fontId="87" fillId="0" borderId="4" xfId="0" applyFont="1" applyBorder="1" applyAlignment="1" applyProtection="1">
      <alignment horizontal="left" vertical="center"/>
      <protection locked="0"/>
    </xf>
    <xf numFmtId="0" fontId="87" fillId="0" borderId="4" xfId="0" applyFont="1" applyBorder="1" applyAlignment="1" applyProtection="1">
      <alignment horizontal="left" vertical="center" wrapText="1"/>
      <protection locked="0"/>
    </xf>
    <xf numFmtId="0" fontId="87" fillId="0" borderId="1" xfId="0" applyFont="1" applyBorder="1" applyAlignment="1" applyProtection="1">
      <alignment horizontal="left" vertical="center"/>
      <protection locked="0"/>
    </xf>
    <xf numFmtId="0" fontId="87" fillId="0" borderId="1" xfId="0" applyFont="1" applyBorder="1" applyAlignment="1" applyProtection="1">
      <alignment horizontal="left" vertical="center" wrapText="1"/>
      <protection locked="0"/>
    </xf>
    <xf numFmtId="0" fontId="33" fillId="0" borderId="1" xfId="0" applyFont="1" applyBorder="1" applyAlignment="1" applyProtection="1">
      <alignment vertical="center"/>
      <protection locked="0"/>
    </xf>
    <xf numFmtId="0" fontId="33" fillId="0" borderId="7" xfId="0" applyFont="1" applyBorder="1" applyAlignment="1" applyProtection="1">
      <alignment horizontal="left" vertical="center"/>
      <protection locked="0"/>
    </xf>
    <xf numFmtId="0" fontId="87" fillId="0" borderId="12" xfId="0" applyFont="1" applyBorder="1" applyAlignment="1" applyProtection="1">
      <alignment horizontal="left" vertical="center" wrapText="1"/>
      <protection locked="0"/>
    </xf>
    <xf numFmtId="0" fontId="87" fillId="0" borderId="7" xfId="0" applyFont="1" applyBorder="1" applyAlignment="1" applyProtection="1">
      <alignment horizontal="left" vertical="center"/>
      <protection locked="0"/>
    </xf>
    <xf numFmtId="0" fontId="112" fillId="0" borderId="27" xfId="0" applyFont="1" applyBorder="1" applyAlignment="1" applyProtection="1">
      <alignment horizontal="left" vertical="center" wrapText="1"/>
      <protection locked="0"/>
    </xf>
    <xf numFmtId="0" fontId="112" fillId="0" borderId="28" xfId="0" applyFont="1" applyBorder="1" applyAlignment="1" applyProtection="1">
      <alignment horizontal="left" vertical="center" wrapText="1"/>
      <protection locked="0"/>
    </xf>
    <xf numFmtId="0" fontId="33" fillId="0" borderId="96" xfId="0" applyFont="1" applyBorder="1" applyAlignment="1" applyProtection="1">
      <alignment vertical="center"/>
      <protection locked="0"/>
    </xf>
    <xf numFmtId="0" fontId="33" fillId="0" borderId="12" xfId="0" applyFont="1" applyBorder="1" applyAlignment="1" applyProtection="1">
      <alignment vertical="center"/>
      <protection locked="0"/>
    </xf>
    <xf numFmtId="0" fontId="33" fillId="0" borderId="4" xfId="0" applyFont="1" applyBorder="1" applyAlignment="1" applyProtection="1">
      <alignment horizontal="justify" vertical="center"/>
      <protection locked="0"/>
    </xf>
    <xf numFmtId="0" fontId="33" fillId="0" borderId="4" xfId="0" applyFont="1" applyBorder="1" applyAlignment="1" applyProtection="1">
      <alignment vertical="center"/>
      <protection locked="0"/>
    </xf>
    <xf numFmtId="0" fontId="33" fillId="0" borderId="97" xfId="0" applyFont="1" applyBorder="1" applyAlignment="1" applyProtection="1">
      <alignment vertical="center"/>
      <protection locked="0"/>
    </xf>
    <xf numFmtId="0" fontId="10" fillId="5" borderId="78" xfId="1" applyFont="1" applyFill="1" applyBorder="1" applyAlignment="1">
      <alignment horizontal="right" vertical="center" wrapText="1"/>
    </xf>
    <xf numFmtId="0" fontId="9" fillId="0" borderId="73" xfId="0" applyFont="1" applyBorder="1" applyAlignment="1">
      <alignment horizontal="right" vertical="center" wrapText="1"/>
    </xf>
    <xf numFmtId="0" fontId="9" fillId="0" borderId="74" xfId="0" applyFont="1" applyFill="1" applyBorder="1" applyAlignment="1">
      <alignment horizontal="right" vertical="center" wrapText="1"/>
    </xf>
    <xf numFmtId="1" fontId="9" fillId="0" borderId="74" xfId="2" applyNumberFormat="1" applyFont="1" applyBorder="1" applyAlignment="1">
      <alignment horizontal="right" vertical="center" wrapText="1"/>
    </xf>
    <xf numFmtId="166" fontId="9" fillId="0" borderId="74" xfId="2" applyNumberFormat="1" applyFont="1" applyBorder="1" applyAlignment="1">
      <alignment horizontal="right" vertical="center" wrapText="1"/>
    </xf>
    <xf numFmtId="9" fontId="9" fillId="0" borderId="74" xfId="2" applyNumberFormat="1" applyFont="1" applyBorder="1" applyAlignment="1">
      <alignment horizontal="right" vertical="center" wrapText="1"/>
    </xf>
    <xf numFmtId="9" fontId="9" fillId="0" borderId="74" xfId="2" applyFont="1" applyFill="1" applyBorder="1" applyAlignment="1">
      <alignment horizontal="right" vertical="center" wrapText="1"/>
    </xf>
    <xf numFmtId="0" fontId="0" fillId="0" borderId="0" xfId="0" applyAlignment="1">
      <alignment vertical="center" wrapText="1"/>
    </xf>
    <xf numFmtId="1" fontId="33" fillId="0" borderId="1" xfId="0" applyNumberFormat="1" applyFont="1" applyBorder="1" applyAlignment="1" applyProtection="1">
      <alignment vertical="center" wrapText="1"/>
    </xf>
    <xf numFmtId="0" fontId="0" fillId="0" borderId="0" xfId="0" applyAlignment="1">
      <alignment vertical="center" wrapText="1"/>
    </xf>
    <xf numFmtId="0" fontId="34" fillId="0" borderId="0" xfId="0" applyFont="1" applyAlignment="1">
      <alignment horizontal="right" vertical="center" wrapText="1"/>
    </xf>
    <xf numFmtId="0" fontId="0" fillId="0" borderId="0" xfId="0" applyAlignment="1">
      <alignment vertical="center" wrapText="1"/>
    </xf>
    <xf numFmtId="0" fontId="117" fillId="12" borderId="1" xfId="0" applyFont="1" applyFill="1" applyBorder="1" applyAlignment="1">
      <alignment horizontal="left" vertical="center" wrapText="1"/>
    </xf>
    <xf numFmtId="0" fontId="117" fillId="50" borderId="1" xfId="0" applyFont="1" applyFill="1" applyBorder="1" applyAlignment="1">
      <alignment horizontal="left" vertical="center" wrapText="1"/>
    </xf>
    <xf numFmtId="0" fontId="117" fillId="52" borderId="1" xfId="0" applyFont="1" applyFill="1" applyBorder="1" applyAlignment="1">
      <alignment horizontal="left" vertical="center" wrapText="1"/>
    </xf>
    <xf numFmtId="0" fontId="117" fillId="53" borderId="1" xfId="0" applyFont="1" applyFill="1" applyBorder="1" applyAlignment="1">
      <alignment horizontal="left" vertical="center" wrapText="1"/>
    </xf>
    <xf numFmtId="0" fontId="117" fillId="54" borderId="1" xfId="0" applyFont="1" applyFill="1" applyBorder="1" applyAlignment="1">
      <alignment horizontal="left" vertical="center" wrapText="1"/>
    </xf>
    <xf numFmtId="0" fontId="117" fillId="11" borderId="1" xfId="0" applyFont="1" applyFill="1" applyBorder="1" applyAlignment="1">
      <alignment horizontal="left" vertical="center" wrapText="1"/>
    </xf>
    <xf numFmtId="0" fontId="117" fillId="55" borderId="1" xfId="0" applyFont="1" applyFill="1" applyBorder="1" applyAlignment="1">
      <alignment horizontal="left" vertical="center" wrapText="1"/>
    </xf>
    <xf numFmtId="0" fontId="117" fillId="56" borderId="1" xfId="0" applyFont="1" applyFill="1" applyBorder="1" applyAlignment="1">
      <alignment horizontal="left" vertical="center" wrapText="1"/>
    </xf>
    <xf numFmtId="0" fontId="117" fillId="57" borderId="1" xfId="0" applyFont="1" applyFill="1" applyBorder="1" applyAlignment="1">
      <alignment horizontal="left" vertical="center" wrapText="1"/>
    </xf>
    <xf numFmtId="0" fontId="117" fillId="58" borderId="1" xfId="0" applyFont="1" applyFill="1" applyBorder="1" applyAlignment="1">
      <alignment horizontal="left" vertical="center" wrapText="1"/>
    </xf>
    <xf numFmtId="0" fontId="117" fillId="59" borderId="1" xfId="0" applyFont="1" applyFill="1" applyBorder="1" applyAlignment="1">
      <alignment horizontal="left" vertical="center" wrapText="1"/>
    </xf>
    <xf numFmtId="0" fontId="117" fillId="51" borderId="1" xfId="0" applyFont="1" applyFill="1" applyBorder="1" applyAlignment="1">
      <alignment horizontal="left" vertical="center" wrapText="1"/>
    </xf>
    <xf numFmtId="0" fontId="117" fillId="19" borderId="1" xfId="0" applyFont="1" applyFill="1" applyBorder="1"/>
    <xf numFmtId="0" fontId="117" fillId="49" borderId="1" xfId="0" applyFont="1" applyFill="1" applyBorder="1"/>
    <xf numFmtId="0" fontId="117" fillId="60" borderId="1" xfId="0" applyFont="1" applyFill="1" applyBorder="1"/>
    <xf numFmtId="0" fontId="117" fillId="47" borderId="1" xfId="0" applyFont="1" applyFill="1" applyBorder="1"/>
    <xf numFmtId="0" fontId="117" fillId="31" borderId="1" xfId="0" applyFont="1" applyFill="1" applyBorder="1"/>
    <xf numFmtId="0" fontId="0" fillId="0" borderId="0" xfId="0" applyAlignment="1">
      <alignment vertical="center" wrapText="1"/>
    </xf>
    <xf numFmtId="0" fontId="34" fillId="0" borderId="0" xfId="0" applyFont="1" applyAlignment="1">
      <alignment vertical="center" wrapText="1"/>
    </xf>
    <xf numFmtId="0" fontId="0" fillId="0" borderId="88" xfId="0" applyBorder="1" applyAlignment="1">
      <alignment vertical="center" wrapText="1"/>
    </xf>
    <xf numFmtId="0" fontId="0" fillId="0" borderId="99" xfId="0" applyBorder="1" applyAlignment="1">
      <alignment vertical="center" wrapText="1"/>
    </xf>
    <xf numFmtId="0" fontId="0" fillId="0" borderId="100" xfId="0" applyBorder="1" applyAlignment="1">
      <alignment vertical="center" wrapText="1"/>
    </xf>
    <xf numFmtId="0" fontId="0" fillId="0" borderId="89" xfId="0" applyBorder="1" applyAlignment="1">
      <alignment vertical="center" wrapText="1"/>
    </xf>
    <xf numFmtId="0" fontId="0" fillId="0" borderId="41" xfId="0" applyBorder="1" applyAlignment="1">
      <alignment vertical="center" wrapText="1"/>
    </xf>
    <xf numFmtId="0" fontId="0" fillId="0" borderId="45" xfId="0" applyBorder="1" applyAlignment="1">
      <alignment vertical="center" wrapText="1"/>
    </xf>
    <xf numFmtId="0" fontId="0" fillId="0" borderId="61" xfId="0" applyBorder="1" applyAlignment="1">
      <alignment vertical="center" wrapText="1"/>
    </xf>
    <xf numFmtId="0" fontId="33" fillId="0" borderId="98" xfId="0" applyFont="1" applyBorder="1" applyAlignment="1">
      <alignment vertical="center" wrapText="1"/>
    </xf>
    <xf numFmtId="0" fontId="33" fillId="0" borderId="0" xfId="0" applyFont="1" applyBorder="1" applyAlignment="1">
      <alignment vertical="center" wrapText="1"/>
    </xf>
    <xf numFmtId="0" fontId="33" fillId="0" borderId="1" xfId="0" applyFont="1" applyBorder="1" applyAlignment="1" applyProtection="1">
      <alignment vertical="center"/>
      <protection locked="0"/>
    </xf>
    <xf numFmtId="0" fontId="33" fillId="0" borderId="13" xfId="0" applyFont="1" applyBorder="1" applyAlignment="1">
      <alignment vertical="center"/>
    </xf>
    <xf numFmtId="0" fontId="112" fillId="0" borderId="27" xfId="0" applyFont="1" applyBorder="1" applyAlignment="1">
      <alignment horizontal="center" vertical="center"/>
    </xf>
    <xf numFmtId="0" fontId="112" fillId="0" borderId="63" xfId="0" applyFont="1" applyBorder="1" applyAlignment="1">
      <alignment horizontal="center" vertical="center"/>
    </xf>
    <xf numFmtId="0" fontId="112" fillId="0" borderId="28" xfId="0" applyFont="1" applyBorder="1" applyAlignment="1">
      <alignment horizontal="center" vertical="center"/>
    </xf>
    <xf numFmtId="0" fontId="112" fillId="0" borderId="29" xfId="0" applyFont="1" applyBorder="1" applyAlignment="1">
      <alignment horizontal="center" vertical="center"/>
    </xf>
    <xf numFmtId="0" fontId="33" fillId="0" borderId="34" xfId="0" applyFont="1" applyBorder="1" applyAlignment="1" applyProtection="1">
      <alignment horizontal="left" vertical="center" wrapText="1"/>
      <protection locked="0"/>
    </xf>
    <xf numFmtId="0" fontId="112" fillId="0" borderId="27" xfId="0" applyFont="1" applyBorder="1" applyAlignment="1" applyProtection="1">
      <alignment horizontal="center" vertical="center"/>
      <protection locked="0"/>
    </xf>
    <xf numFmtId="0" fontId="112" fillId="0" borderId="63" xfId="0" applyFont="1" applyBorder="1" applyAlignment="1" applyProtection="1">
      <alignment horizontal="center" vertical="center"/>
      <protection locked="0"/>
    </xf>
    <xf numFmtId="0" fontId="112" fillId="0" borderId="28" xfId="0" applyFont="1" applyBorder="1" applyAlignment="1" applyProtection="1">
      <alignment horizontal="center" vertical="center"/>
      <protection locked="0"/>
    </xf>
    <xf numFmtId="0" fontId="112" fillId="0" borderId="29" xfId="0" applyFont="1" applyBorder="1" applyAlignment="1" applyProtection="1">
      <alignment horizontal="center" vertical="center"/>
      <protection locked="0"/>
    </xf>
    <xf numFmtId="0" fontId="0" fillId="0" borderId="0" xfId="0" applyAlignment="1" applyProtection="1">
      <alignment vertical="center" wrapText="1"/>
      <protection locked="0"/>
    </xf>
    <xf numFmtId="0" fontId="0" fillId="0" borderId="1" xfId="0" applyBorder="1" applyAlignment="1" applyProtection="1">
      <alignment vertical="center" wrapText="1"/>
      <protection locked="0"/>
    </xf>
    <xf numFmtId="0" fontId="108" fillId="0" borderId="2" xfId="4" applyFont="1" applyFill="1" applyBorder="1" applyAlignment="1" applyProtection="1">
      <alignment horizontal="center" vertical="center" wrapText="1"/>
      <protection locked="0"/>
    </xf>
    <xf numFmtId="0" fontId="108" fillId="0" borderId="1" xfId="4" applyFont="1" applyFill="1" applyBorder="1" applyAlignment="1" applyProtection="1">
      <alignment horizontal="center" vertical="center" wrapText="1"/>
      <protection locked="0"/>
    </xf>
    <xf numFmtId="0" fontId="0" fillId="0" borderId="0" xfId="0" applyAlignment="1">
      <alignment vertical="center" wrapText="1"/>
    </xf>
    <xf numFmtId="0" fontId="33" fillId="0" borderId="1" xfId="0" applyFont="1" applyBorder="1" applyAlignment="1" applyProtection="1">
      <alignment vertical="center" wrapText="1"/>
      <protection locked="0"/>
    </xf>
    <xf numFmtId="0" fontId="33" fillId="0" borderId="1" xfId="0" applyFont="1" applyFill="1" applyBorder="1" applyAlignment="1" applyProtection="1">
      <alignment vertical="center" wrapText="1"/>
      <protection locked="0"/>
    </xf>
    <xf numFmtId="0" fontId="108" fillId="0" borderId="44" xfId="0" applyFont="1" applyFill="1" applyBorder="1" applyAlignment="1" applyProtection="1">
      <alignment horizontal="justify" vertical="center" wrapText="1"/>
      <protection locked="0"/>
    </xf>
    <xf numFmtId="0" fontId="33" fillId="0" borderId="1" xfId="0" applyFont="1" applyFill="1" applyBorder="1" applyAlignment="1">
      <alignment vertical="center" wrapText="1"/>
    </xf>
    <xf numFmtId="0" fontId="33" fillId="0" borderId="1" xfId="0" applyFont="1" applyBorder="1" applyAlignment="1" applyProtection="1">
      <alignment vertical="center" wrapText="1"/>
      <protection locked="0"/>
    </xf>
    <xf numFmtId="0" fontId="32" fillId="0" borderId="1" xfId="0" applyFont="1" applyFill="1" applyBorder="1" applyAlignment="1" applyProtection="1">
      <alignment vertical="center" wrapText="1"/>
      <protection locked="0"/>
    </xf>
    <xf numFmtId="9" fontId="33" fillId="0" borderId="1" xfId="0" applyNumberFormat="1" applyFont="1" applyBorder="1" applyAlignment="1" applyProtection="1">
      <alignment vertical="center" wrapText="1"/>
      <protection locked="0"/>
    </xf>
    <xf numFmtId="0" fontId="33" fillId="0" borderId="4" xfId="0" applyFont="1" applyBorder="1" applyAlignment="1" applyProtection="1">
      <alignment vertical="center"/>
      <protection locked="0"/>
    </xf>
    <xf numFmtId="0" fontId="33" fillId="0" borderId="1" xfId="0" applyFont="1" applyBorder="1" applyAlignment="1" applyProtection="1">
      <alignment vertical="center"/>
      <protection locked="0"/>
    </xf>
    <xf numFmtId="0" fontId="108" fillId="0" borderId="44" xfId="0" applyFont="1" applyFill="1" applyBorder="1" applyAlignment="1">
      <alignment horizontal="justify" vertical="center" wrapText="1"/>
    </xf>
    <xf numFmtId="0" fontId="108" fillId="0" borderId="2" xfId="4" applyFont="1" applyFill="1" applyBorder="1" applyAlignment="1">
      <alignment horizontal="center" vertical="center" wrapText="1"/>
    </xf>
    <xf numFmtId="0" fontId="108" fillId="0" borderId="0" xfId="0" applyFont="1" applyFill="1" applyProtection="1"/>
    <xf numFmtId="0" fontId="108" fillId="0" borderId="1" xfId="4" applyFont="1" applyFill="1" applyBorder="1" applyAlignment="1">
      <alignment horizontal="center" vertical="center" wrapText="1"/>
    </xf>
    <xf numFmtId="0" fontId="9" fillId="0" borderId="3" xfId="0" applyFont="1" applyBorder="1" applyAlignment="1">
      <alignment horizontal="center" vertical="center" wrapText="1"/>
    </xf>
    <xf numFmtId="0" fontId="9" fillId="0" borderId="5" xfId="0" applyFont="1" applyBorder="1" applyAlignment="1">
      <alignment horizontal="center" vertical="center" wrapText="1"/>
    </xf>
    <xf numFmtId="0" fontId="12" fillId="0" borderId="3" xfId="0" applyFont="1" applyBorder="1" applyAlignment="1">
      <alignment horizontal="left" vertical="center" wrapText="1"/>
    </xf>
    <xf numFmtId="0" fontId="12" fillId="0" borderId="5" xfId="0" applyFont="1" applyBorder="1" applyAlignment="1">
      <alignment horizontal="left" vertical="center" wrapText="1"/>
    </xf>
    <xf numFmtId="0" fontId="12" fillId="0" borderId="4" xfId="0" applyFont="1" applyBorder="1" applyAlignment="1">
      <alignment horizontal="left" vertical="center" wrapText="1"/>
    </xf>
    <xf numFmtId="0" fontId="33" fillId="0" borderId="98" xfId="0" applyFont="1" applyBorder="1" applyAlignment="1">
      <alignment horizontal="justify" vertical="center" textRotation="90" wrapText="1"/>
    </xf>
    <xf numFmtId="0" fontId="112" fillId="0" borderId="36" xfId="0" applyFont="1" applyBorder="1" applyAlignment="1">
      <alignment horizontal="center" vertical="center" wrapText="1"/>
    </xf>
    <xf numFmtId="0" fontId="112" fillId="0" borderId="37" xfId="0" applyFont="1" applyBorder="1" applyAlignment="1">
      <alignment horizontal="center" vertical="center" wrapText="1"/>
    </xf>
    <xf numFmtId="0" fontId="112" fillId="0" borderId="64" xfId="0" applyFont="1" applyBorder="1" applyAlignment="1">
      <alignment horizontal="center" vertical="center" wrapText="1"/>
    </xf>
    <xf numFmtId="0" fontId="34" fillId="0" borderId="11" xfId="0" applyFont="1" applyBorder="1" applyAlignment="1">
      <alignment horizontal="right" vertical="center" textRotation="90" wrapText="1"/>
    </xf>
    <xf numFmtId="0" fontId="33" fillId="0" borderId="44" xfId="0" applyFont="1" applyBorder="1" applyAlignment="1" applyProtection="1">
      <alignment vertical="center" wrapText="1"/>
      <protection locked="0"/>
    </xf>
    <xf numFmtId="0" fontId="33" fillId="0" borderId="1" xfId="0" applyFont="1" applyBorder="1" applyAlignment="1" applyProtection="1">
      <alignment vertical="center" wrapText="1"/>
      <protection locked="0"/>
    </xf>
    <xf numFmtId="0" fontId="33" fillId="0" borderId="43" xfId="0" applyFont="1" applyBorder="1" applyAlignment="1" applyProtection="1">
      <alignment vertical="center" wrapText="1"/>
      <protection locked="0"/>
    </xf>
    <xf numFmtId="0" fontId="33" fillId="0" borderId="57" xfId="0" applyFont="1" applyBorder="1" applyAlignment="1" applyProtection="1">
      <alignment vertical="center" wrapText="1"/>
      <protection locked="0"/>
    </xf>
    <xf numFmtId="0" fontId="33" fillId="0" borderId="48" xfId="0" applyFont="1" applyBorder="1" applyAlignment="1" applyProtection="1">
      <alignment vertical="center" wrapText="1"/>
      <protection locked="0"/>
    </xf>
    <xf numFmtId="0" fontId="33" fillId="0" borderId="55" xfId="0" applyFont="1" applyBorder="1" applyAlignment="1" applyProtection="1">
      <alignment vertical="center" wrapText="1"/>
      <protection locked="0"/>
    </xf>
    <xf numFmtId="0" fontId="34" fillId="0" borderId="94" xfId="0" applyFont="1" applyBorder="1" applyAlignment="1">
      <alignment horizontal="left" vertical="center" textRotation="90" wrapText="1"/>
    </xf>
    <xf numFmtId="0" fontId="33" fillId="0" borderId="87" xfId="0" applyFont="1" applyBorder="1" applyAlignment="1" applyProtection="1">
      <alignment vertical="center" wrapText="1"/>
      <protection locked="0"/>
    </xf>
    <xf numFmtId="0" fontId="33" fillId="0" borderId="34" xfId="0" applyFont="1" applyBorder="1" applyAlignment="1" applyProtection="1">
      <alignment vertical="center" wrapText="1"/>
      <protection locked="0"/>
    </xf>
    <xf numFmtId="0" fontId="33" fillId="0" borderId="40" xfId="0" applyFont="1" applyBorder="1" applyAlignment="1" applyProtection="1">
      <alignment vertical="center" wrapText="1"/>
      <protection locked="0"/>
    </xf>
    <xf numFmtId="0" fontId="33" fillId="0" borderId="2" xfId="0" applyFont="1" applyBorder="1" applyAlignment="1" applyProtection="1">
      <alignment vertical="center" wrapText="1"/>
      <protection locked="0"/>
    </xf>
    <xf numFmtId="0" fontId="33" fillId="0" borderId="41" xfId="0" applyFont="1" applyBorder="1" applyAlignment="1" applyProtection="1">
      <alignment vertical="center" wrapText="1"/>
      <protection locked="0"/>
    </xf>
    <xf numFmtId="0" fontId="33" fillId="0" borderId="42" xfId="0" applyFont="1" applyBorder="1" applyAlignment="1" applyProtection="1">
      <alignment vertical="center" wrapText="1"/>
      <protection locked="0"/>
    </xf>
    <xf numFmtId="0" fontId="33" fillId="0" borderId="78" xfId="0" applyFont="1" applyBorder="1" applyAlignment="1" applyProtection="1">
      <alignment vertical="center" wrapText="1"/>
      <protection locked="0"/>
    </xf>
    <xf numFmtId="0" fontId="33" fillId="0" borderId="39" xfId="0" applyFont="1" applyBorder="1" applyAlignment="1" applyProtection="1">
      <alignment vertical="center" wrapText="1"/>
      <protection locked="0"/>
    </xf>
    <xf numFmtId="0" fontId="0" fillId="0" borderId="1" xfId="0" applyBorder="1" applyAlignment="1">
      <alignment horizontal="justify" vertical="center" wrapText="1"/>
    </xf>
    <xf numFmtId="0" fontId="0" fillId="0" borderId="1" xfId="0" applyBorder="1" applyAlignment="1">
      <alignment vertical="center" wrapText="1"/>
    </xf>
    <xf numFmtId="0" fontId="34" fillId="0" borderId="7" xfId="0" applyFont="1" applyBorder="1" applyAlignment="1">
      <alignment horizontal="justify" vertical="center" wrapText="1"/>
    </xf>
    <xf numFmtId="0" fontId="34" fillId="0" borderId="21" xfId="0" applyFont="1" applyBorder="1" applyAlignment="1">
      <alignment horizontal="justify" vertical="center" wrapText="1"/>
    </xf>
    <xf numFmtId="0" fontId="34" fillId="0" borderId="2" xfId="0" applyFont="1" applyBorder="1" applyAlignment="1">
      <alignment horizontal="justify" vertical="center" wrapText="1"/>
    </xf>
    <xf numFmtId="0" fontId="34" fillId="0" borderId="0" xfId="0" applyFont="1" applyAlignment="1">
      <alignment horizontal="right" vertical="center" wrapText="1"/>
    </xf>
    <xf numFmtId="0" fontId="0" fillId="0" borderId="0" xfId="0" applyFont="1" applyAlignment="1">
      <alignment horizontal="justify" vertical="center" wrapText="1"/>
    </xf>
    <xf numFmtId="0" fontId="0" fillId="0" borderId="0" xfId="0" applyAlignment="1">
      <alignment vertical="center" wrapText="1"/>
    </xf>
    <xf numFmtId="0" fontId="0" fillId="0" borderId="1" xfId="0" applyFont="1" applyBorder="1" applyAlignment="1">
      <alignment horizontal="justify" vertical="center" wrapText="1"/>
    </xf>
    <xf numFmtId="0" fontId="112" fillId="0" borderId="28" xfId="0" applyFont="1" applyBorder="1" applyAlignment="1" applyProtection="1">
      <alignment horizontal="left" vertical="center" wrapText="1"/>
      <protection locked="0"/>
    </xf>
    <xf numFmtId="0" fontId="112" fillId="0" borderId="29" xfId="0" applyFont="1" applyBorder="1" applyAlignment="1" applyProtection="1">
      <alignment horizontal="left" vertical="center" wrapText="1"/>
      <protection locked="0"/>
    </xf>
    <xf numFmtId="0" fontId="33" fillId="0" borderId="4" xfId="0" applyFont="1" applyBorder="1" applyAlignment="1" applyProtection="1">
      <alignment horizontal="justify" vertical="center" wrapText="1"/>
      <protection locked="0"/>
    </xf>
    <xf numFmtId="0" fontId="33" fillId="0" borderId="1" xfId="0" applyFont="1" applyBorder="1" applyAlignment="1" applyProtection="1">
      <alignment horizontal="justify" vertical="center" wrapText="1"/>
      <protection locked="0"/>
    </xf>
    <xf numFmtId="0" fontId="33" fillId="0" borderId="4" xfId="0" applyFont="1" applyBorder="1" applyAlignment="1" applyProtection="1">
      <alignment vertical="center"/>
      <protection locked="0"/>
    </xf>
    <xf numFmtId="0" fontId="33" fillId="0" borderId="1" xfId="0" applyFont="1" applyBorder="1" applyAlignment="1" applyProtection="1">
      <alignment vertical="center"/>
      <protection locked="0"/>
    </xf>
    <xf numFmtId="0" fontId="0" fillId="0" borderId="7" xfId="0" applyBorder="1" applyAlignment="1" applyProtection="1">
      <alignment horizontal="justify" vertical="center" wrapText="1"/>
      <protection locked="0"/>
    </xf>
    <xf numFmtId="0" fontId="0" fillId="0" borderId="21" xfId="0" applyBorder="1" applyAlignment="1" applyProtection="1">
      <alignment horizontal="justify" vertical="center" wrapText="1"/>
      <protection locked="0"/>
    </xf>
    <xf numFmtId="0" fontId="0" fillId="0" borderId="2" xfId="0" applyBorder="1" applyAlignment="1" applyProtection="1">
      <alignment horizontal="justify" vertical="center" wrapText="1"/>
      <protection locked="0"/>
    </xf>
    <xf numFmtId="0" fontId="34" fillId="0" borderId="0" xfId="0" applyFont="1" applyAlignment="1">
      <alignment horizontal="right" vertical="center" textRotation="90" wrapText="1"/>
    </xf>
    <xf numFmtId="0" fontId="0" fillId="0" borderId="0" xfId="0" applyAlignment="1">
      <alignment horizontal="right" vertical="center" textRotation="90" wrapText="1"/>
    </xf>
  </cellXfs>
  <cellStyles count="10">
    <cellStyle name="Hipervínculo" xfId="6" builtinId="8"/>
    <cellStyle name="Millares [0]" xfId="3" builtinId="6"/>
    <cellStyle name="Millares [0] 2" xfId="8" xr:uid="{00000000-0005-0000-0000-000002000000}"/>
    <cellStyle name="Moneda [0] 2" xfId="9" xr:uid="{00000000-0005-0000-0000-000003000000}"/>
    <cellStyle name="Normal" xfId="0" builtinId="0"/>
    <cellStyle name="Normal 2" xfId="1" xr:uid="{00000000-0005-0000-0000-000005000000}"/>
    <cellStyle name="Normal 2 2" xfId="4" xr:uid="{00000000-0005-0000-0000-000006000000}"/>
    <cellStyle name="Normal 3" xfId="5" xr:uid="{00000000-0005-0000-0000-000007000000}"/>
    <cellStyle name="Porcentaje" xfId="2" builtinId="5"/>
    <cellStyle name="Porcentaje 2" xfId="7" xr:uid="{00000000-0005-0000-0000-000009000000}"/>
  </cellStyles>
  <dxfs count="125">
    <dxf>
      <font>
        <b/>
        <i val="0"/>
        <color theme="0"/>
      </font>
      <fill>
        <patternFill>
          <bgColor rgb="FFFF0000"/>
        </patternFill>
      </fill>
    </dxf>
    <dxf>
      <font>
        <b/>
        <i val="0"/>
        <color theme="0"/>
      </font>
      <fill>
        <patternFill>
          <bgColor theme="7" tint="-0.24994659260841701"/>
        </patternFill>
      </fill>
    </dxf>
    <dxf>
      <font>
        <b/>
        <i val="0"/>
        <color theme="0"/>
      </font>
      <fill>
        <patternFill>
          <bgColor rgb="FF00B050"/>
        </patternFill>
      </fill>
    </dxf>
    <dxf>
      <font>
        <b/>
        <i val="0"/>
        <color theme="0"/>
      </font>
      <fill>
        <patternFill>
          <bgColor rgb="FFC00000"/>
        </patternFill>
      </fill>
    </dxf>
    <dxf>
      <font>
        <b/>
        <i val="0"/>
        <color theme="0"/>
      </font>
      <fill>
        <patternFill>
          <bgColor rgb="FFFF3300"/>
        </patternFill>
      </fill>
    </dxf>
    <dxf>
      <font>
        <b/>
        <i val="0"/>
        <color theme="0"/>
      </font>
      <fill>
        <patternFill>
          <bgColor rgb="FF00B0F0"/>
        </patternFill>
      </fill>
    </dxf>
    <dxf>
      <font>
        <b/>
        <i val="0"/>
        <color theme="0"/>
      </font>
      <fill>
        <patternFill>
          <bgColor rgb="FFFFCC00"/>
        </patternFill>
      </fill>
    </dxf>
    <dxf>
      <font>
        <b/>
        <i val="0"/>
        <color theme="0"/>
      </font>
      <fill>
        <patternFill>
          <bgColor rgb="FFCC0000"/>
        </patternFill>
      </fill>
    </dxf>
    <dxf>
      <font>
        <b/>
        <i val="0"/>
        <color theme="0"/>
      </font>
      <fill>
        <patternFill>
          <bgColor rgb="FFFF6600"/>
        </patternFill>
      </fill>
    </dxf>
    <dxf>
      <font>
        <b/>
        <i val="0"/>
        <color theme="0"/>
      </font>
      <fill>
        <patternFill>
          <bgColor rgb="FFD60093"/>
        </patternFill>
      </fill>
    </dxf>
    <dxf>
      <font>
        <b/>
        <i val="0"/>
        <color theme="0"/>
      </font>
      <fill>
        <patternFill>
          <bgColor rgb="FFFF9933"/>
        </patternFill>
      </fill>
    </dxf>
    <dxf>
      <font>
        <b/>
        <i val="0"/>
        <color theme="0"/>
      </font>
      <fill>
        <patternFill>
          <bgColor theme="7" tint="-0.499984740745262"/>
        </patternFill>
      </fill>
    </dxf>
    <dxf>
      <font>
        <b/>
        <i val="0"/>
        <color theme="0"/>
      </font>
      <fill>
        <patternFill>
          <bgColor theme="9" tint="-0.24994659260841701"/>
        </patternFill>
      </fill>
    </dxf>
    <dxf>
      <font>
        <b/>
        <i val="0"/>
        <color theme="0"/>
      </font>
      <fill>
        <patternFill>
          <bgColor rgb="FF0070C0"/>
        </patternFill>
      </fill>
    </dxf>
    <dxf>
      <font>
        <b/>
        <i val="0"/>
        <color theme="0"/>
      </font>
      <fill>
        <patternFill>
          <bgColor rgb="FF92D050"/>
        </patternFill>
      </fill>
    </dxf>
    <dxf>
      <font>
        <b/>
        <i val="0"/>
        <color theme="0"/>
      </font>
      <fill>
        <patternFill>
          <bgColor theme="8" tint="-0.499984740745262"/>
        </patternFill>
      </fill>
    </dxf>
    <dxf>
      <font>
        <b/>
        <i val="0"/>
        <color theme="0"/>
      </font>
      <fill>
        <patternFill>
          <bgColor theme="4" tint="-0.49998474074526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99FF99"/>
        </patternFill>
      </fill>
    </dxf>
    <dxf>
      <fill>
        <patternFill>
          <bgColor rgb="FF66FFFF"/>
        </patternFill>
      </fill>
    </dxf>
    <dxf>
      <fill>
        <patternFill>
          <bgColor rgb="FFFFFFCC"/>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s>
  <tableStyles count="0" defaultTableStyle="TableStyleMedium2" defaultPivotStyle="PivotStyleLight16"/>
  <colors>
    <mruColors>
      <color rgb="FFCC0000"/>
      <color rgb="FFFF9933"/>
      <color rgb="FFD60093"/>
      <color rgb="FFFF6600"/>
      <color rgb="FFFFCC00"/>
      <color rgb="FFFF3300"/>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microsoft.com/office/2006/relationships/vbaProject" Target="vbaProject.bin"/><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6.xml.rels><?xml version="1.0" encoding="UTF-8" standalone="yes"?>
<Relationships xmlns="http://schemas.openxmlformats.org/package/2006/relationships"><Relationship Id="rId8" Type="http://schemas.openxmlformats.org/officeDocument/2006/relationships/image" Target="../media/image6.jpeg"/><Relationship Id="rId3" Type="http://schemas.openxmlformats.org/officeDocument/2006/relationships/image" Target="../media/image2.png"/><Relationship Id="rId7" Type="http://schemas.openxmlformats.org/officeDocument/2006/relationships/image" Target="../media/image5.jpeg"/><Relationship Id="rId2" Type="http://schemas.openxmlformats.org/officeDocument/2006/relationships/hyperlink" Target="https://www.undp.org/content/undp/es/home/sustainable-development-goals/goal-1-no-poverty.html" TargetMode="External"/><Relationship Id="rId1" Type="http://schemas.openxmlformats.org/officeDocument/2006/relationships/image" Target="../media/image1.png"/><Relationship Id="rId6" Type="http://schemas.openxmlformats.org/officeDocument/2006/relationships/image" Target="../media/image4.jpeg"/><Relationship Id="rId5" Type="http://schemas.openxmlformats.org/officeDocument/2006/relationships/image" Target="../media/image3.png"/><Relationship Id="rId4" Type="http://schemas.openxmlformats.org/officeDocument/2006/relationships/hyperlink" Target="https://www.undp.org/content/undp/es/home/sustainable-development-goals/goal-8-decent-work-and-economic-growth.html" TargetMode="External"/></Relationships>
</file>

<file path=xl/drawings/drawing1.xml><?xml version="1.0" encoding="utf-8"?>
<xdr:wsDr xmlns:xdr="http://schemas.openxmlformats.org/drawingml/2006/spreadsheetDrawing" xmlns:a="http://schemas.openxmlformats.org/drawingml/2006/main">
  <xdr:twoCellAnchor>
    <xdr:from>
      <xdr:col>0</xdr:col>
      <xdr:colOff>76200</xdr:colOff>
      <xdr:row>0</xdr:row>
      <xdr:rowOff>28576</xdr:rowOff>
    </xdr:from>
    <xdr:to>
      <xdr:col>0</xdr:col>
      <xdr:colOff>180975</xdr:colOff>
      <xdr:row>0</xdr:row>
      <xdr:rowOff>123826</xdr:rowOff>
    </xdr:to>
    <xdr:sp macro="[0]!RestablecerPosicionComentarios" textlink="">
      <xdr:nvSpPr>
        <xdr:cNvPr id="2" name="Elipse 1">
          <a:extLst>
            <a:ext uri="{FF2B5EF4-FFF2-40B4-BE49-F238E27FC236}">
              <a16:creationId xmlns:a16="http://schemas.microsoft.com/office/drawing/2014/main" id="{00000000-0008-0000-0100-000002000000}"/>
            </a:ext>
          </a:extLst>
        </xdr:cNvPr>
        <xdr:cNvSpPr/>
      </xdr:nvSpPr>
      <xdr:spPr>
        <a:xfrm>
          <a:off x="76200" y="28576"/>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161925</xdr:colOff>
      <xdr:row>0</xdr:row>
      <xdr:rowOff>123825</xdr:rowOff>
    </xdr:to>
    <xdr:sp macro="[0]!RestablecerPosicionComentarios" textlink="">
      <xdr:nvSpPr>
        <xdr:cNvPr id="2" name="Elipse 1">
          <a:extLst>
            <a:ext uri="{FF2B5EF4-FFF2-40B4-BE49-F238E27FC236}">
              <a16:creationId xmlns:a16="http://schemas.microsoft.com/office/drawing/2014/main" id="{00000000-0008-0000-0200-000002000000}"/>
            </a:ext>
          </a:extLst>
        </xdr:cNvPr>
        <xdr:cNvSpPr/>
      </xdr:nvSpPr>
      <xdr:spPr>
        <a:xfrm>
          <a:off x="57150" y="28575"/>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47625</xdr:colOff>
      <xdr:row>0</xdr:row>
      <xdr:rowOff>38100</xdr:rowOff>
    </xdr:from>
    <xdr:to>
      <xdr:col>0</xdr:col>
      <xdr:colOff>152400</xdr:colOff>
      <xdr:row>0</xdr:row>
      <xdr:rowOff>133350</xdr:rowOff>
    </xdr:to>
    <xdr:sp macro="[0]!RestablecerPosicionComentarios" textlink="">
      <xdr:nvSpPr>
        <xdr:cNvPr id="2" name="Elipse 1">
          <a:extLst>
            <a:ext uri="{FF2B5EF4-FFF2-40B4-BE49-F238E27FC236}">
              <a16:creationId xmlns:a16="http://schemas.microsoft.com/office/drawing/2014/main" id="{00000000-0008-0000-0300-000002000000}"/>
            </a:ext>
          </a:extLst>
        </xdr:cNvPr>
        <xdr:cNvSpPr/>
      </xdr:nvSpPr>
      <xdr:spPr>
        <a:xfrm>
          <a:off x="47625" y="38100"/>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38101</xdr:colOff>
      <xdr:row>0</xdr:row>
      <xdr:rowOff>19050</xdr:rowOff>
    </xdr:from>
    <xdr:to>
      <xdr:col>0</xdr:col>
      <xdr:colOff>152401</xdr:colOff>
      <xdr:row>0</xdr:row>
      <xdr:rowOff>133350</xdr:rowOff>
    </xdr:to>
    <xdr:sp macro="[0]!RestablecerPosicionComentarios" textlink="">
      <xdr:nvSpPr>
        <xdr:cNvPr id="2" name="Elipse 1">
          <a:extLst>
            <a:ext uri="{FF2B5EF4-FFF2-40B4-BE49-F238E27FC236}">
              <a16:creationId xmlns:a16="http://schemas.microsoft.com/office/drawing/2014/main" id="{00000000-0008-0000-0400-000002000000}"/>
            </a:ext>
          </a:extLst>
        </xdr:cNvPr>
        <xdr:cNvSpPr/>
      </xdr:nvSpPr>
      <xdr:spPr>
        <a:xfrm flipV="1">
          <a:off x="38101" y="19050"/>
          <a:ext cx="114300" cy="114300"/>
        </a:xfrm>
        <a:prstGeom prst="ellipse">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0</xdr:row>
      <xdr:rowOff>28575</xdr:rowOff>
    </xdr:from>
    <xdr:to>
      <xdr:col>0</xdr:col>
      <xdr:colOff>142875</xdr:colOff>
      <xdr:row>0</xdr:row>
      <xdr:rowOff>142875</xdr:rowOff>
    </xdr:to>
    <xdr:sp macro="[0]!RestablecerPosicionComentarios" textlink="">
      <xdr:nvSpPr>
        <xdr:cNvPr id="2" name="Elipse 1">
          <a:extLst>
            <a:ext uri="{FF2B5EF4-FFF2-40B4-BE49-F238E27FC236}">
              <a16:creationId xmlns:a16="http://schemas.microsoft.com/office/drawing/2014/main" id="{00000000-0008-0000-0500-000002000000}"/>
            </a:ext>
          </a:extLst>
        </xdr:cNvPr>
        <xdr:cNvSpPr/>
      </xdr:nvSpPr>
      <xdr:spPr>
        <a:xfrm flipV="1">
          <a:off x="28575" y="28575"/>
          <a:ext cx="114300" cy="114300"/>
        </a:xfrm>
        <a:prstGeom prst="ellipse">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476250</xdr:colOff>
      <xdr:row>0</xdr:row>
      <xdr:rowOff>38100</xdr:rowOff>
    </xdr:from>
    <xdr:to>
      <xdr:col>0</xdr:col>
      <xdr:colOff>1562100</xdr:colOff>
      <xdr:row>1</xdr:row>
      <xdr:rowOff>408420</xdr:rowOff>
    </xdr:to>
    <xdr:pic>
      <xdr:nvPicPr>
        <xdr:cNvPr id="2" name="Imagen 1">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38100"/>
          <a:ext cx="1085850" cy="798945"/>
        </a:xfrm>
        <a:prstGeom prst="rect">
          <a:avLst/>
        </a:prstGeom>
        <a:noFill/>
        <a:ln>
          <a:noFill/>
        </a:ln>
      </xdr:spPr>
    </xdr:pic>
    <xdr:clientData/>
  </xdr:twoCellAnchor>
  <xdr:twoCellAnchor editAs="oneCell">
    <xdr:from>
      <xdr:col>1</xdr:col>
      <xdr:colOff>276225</xdr:colOff>
      <xdr:row>124</xdr:row>
      <xdr:rowOff>28575</xdr:rowOff>
    </xdr:from>
    <xdr:to>
      <xdr:col>1</xdr:col>
      <xdr:colOff>1704975</xdr:colOff>
      <xdr:row>130</xdr:row>
      <xdr:rowOff>28577</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066925" y="31118175"/>
          <a:ext cx="1428750" cy="1428750"/>
        </a:xfrm>
        <a:prstGeom prst="rect">
          <a:avLst/>
        </a:prstGeom>
      </xdr:spPr>
    </xdr:pic>
    <xdr:clientData/>
  </xdr:twoCellAnchor>
  <xdr:twoCellAnchor editAs="oneCell">
    <xdr:from>
      <xdr:col>9</xdr:col>
      <xdr:colOff>95250</xdr:colOff>
      <xdr:row>124</xdr:row>
      <xdr:rowOff>47625</xdr:rowOff>
    </xdr:from>
    <xdr:to>
      <xdr:col>10</xdr:col>
      <xdr:colOff>619125</xdr:colOff>
      <xdr:row>130</xdr:row>
      <xdr:rowOff>47627</xdr:rowOff>
    </xdr:to>
    <xdr:pic>
      <xdr:nvPicPr>
        <xdr:cNvPr id="4" name="Imagen 3">
          <a:hlinkClick xmlns:r="http://schemas.openxmlformats.org/officeDocument/2006/relationships" r:id="rId4"/>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3554075" y="31137225"/>
          <a:ext cx="1428750" cy="1428750"/>
        </a:xfrm>
        <a:prstGeom prst="rect">
          <a:avLst/>
        </a:prstGeom>
      </xdr:spPr>
    </xdr:pic>
    <xdr:clientData/>
  </xdr:twoCellAnchor>
  <xdr:twoCellAnchor editAs="oneCell">
    <xdr:from>
      <xdr:col>0</xdr:col>
      <xdr:colOff>123826</xdr:colOff>
      <xdr:row>12</xdr:row>
      <xdr:rowOff>47624</xdr:rowOff>
    </xdr:from>
    <xdr:to>
      <xdr:col>0</xdr:col>
      <xdr:colOff>1571626</xdr:colOff>
      <xdr:row>19</xdr:row>
      <xdr:rowOff>60959</xdr:rowOff>
    </xdr:to>
    <xdr:pic>
      <xdr:nvPicPr>
        <xdr:cNvPr id="5" name="Imagen 4">
          <a:extLst>
            <a:ext uri="{FF2B5EF4-FFF2-40B4-BE49-F238E27FC236}">
              <a16:creationId xmlns:a16="http://schemas.microsoft.com/office/drawing/2014/main" id="{00000000-0008-0000-0600-000005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23826" y="2895599"/>
          <a:ext cx="1447800" cy="1613535"/>
        </a:xfrm>
        <a:prstGeom prst="rect">
          <a:avLst/>
        </a:prstGeom>
      </xdr:spPr>
    </xdr:pic>
    <xdr:clientData/>
  </xdr:twoCellAnchor>
  <xdr:twoCellAnchor editAs="oneCell">
    <xdr:from>
      <xdr:col>4</xdr:col>
      <xdr:colOff>38100</xdr:colOff>
      <xdr:row>36</xdr:row>
      <xdr:rowOff>38100</xdr:rowOff>
    </xdr:from>
    <xdr:to>
      <xdr:col>4</xdr:col>
      <xdr:colOff>1771649</xdr:colOff>
      <xdr:row>45</xdr:row>
      <xdr:rowOff>19050</xdr:rowOff>
    </xdr:to>
    <xdr:pic>
      <xdr:nvPicPr>
        <xdr:cNvPr id="6" name="Imagen 5">
          <a:extLst>
            <a:ext uri="{FF2B5EF4-FFF2-40B4-BE49-F238E27FC236}">
              <a16:creationId xmlns:a16="http://schemas.microsoft.com/office/drawing/2014/main" id="{00000000-0008-0000-0600-000006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200900" y="8067675"/>
          <a:ext cx="1733549" cy="2038350"/>
        </a:xfrm>
        <a:prstGeom prst="rect">
          <a:avLst/>
        </a:prstGeom>
      </xdr:spPr>
    </xdr:pic>
    <xdr:clientData/>
  </xdr:twoCellAnchor>
  <xdr:twoCellAnchor editAs="oneCell">
    <xdr:from>
      <xdr:col>8</xdr:col>
      <xdr:colOff>57150</xdr:colOff>
      <xdr:row>36</xdr:row>
      <xdr:rowOff>38100</xdr:rowOff>
    </xdr:from>
    <xdr:to>
      <xdr:col>9</xdr:col>
      <xdr:colOff>895350</xdr:colOff>
      <xdr:row>44</xdr:row>
      <xdr:rowOff>219075</xdr:rowOff>
    </xdr:to>
    <xdr:pic>
      <xdr:nvPicPr>
        <xdr:cNvPr id="7" name="Imagen 6">
          <a:extLst>
            <a:ext uri="{FF2B5EF4-FFF2-40B4-BE49-F238E27FC236}">
              <a16:creationId xmlns:a16="http://schemas.microsoft.com/office/drawing/2014/main" id="{00000000-0008-0000-0600-000007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1706225" y="8067675"/>
          <a:ext cx="1743075" cy="20097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28575</xdr:colOff>
      <xdr:row>0</xdr:row>
      <xdr:rowOff>47625</xdr:rowOff>
    </xdr:from>
    <xdr:to>
      <xdr:col>0</xdr:col>
      <xdr:colOff>133350</xdr:colOff>
      <xdr:row>0</xdr:row>
      <xdr:rowOff>142875</xdr:rowOff>
    </xdr:to>
    <xdr:sp macro="[0]!RestablecerPosicionComentarios" textlink="">
      <xdr:nvSpPr>
        <xdr:cNvPr id="2" name="Elipse 1">
          <a:extLst>
            <a:ext uri="{FF2B5EF4-FFF2-40B4-BE49-F238E27FC236}">
              <a16:creationId xmlns:a16="http://schemas.microsoft.com/office/drawing/2014/main" id="{00000000-0008-0000-0C00-000002000000}"/>
            </a:ext>
          </a:extLst>
        </xdr:cNvPr>
        <xdr:cNvSpPr/>
      </xdr:nvSpPr>
      <xdr:spPr>
        <a:xfrm>
          <a:off x="28575" y="47625"/>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orantioquia.sharepoint.com/sites/PLANDEACCIN2020-2023/Documentos%20compartidos/DOCUMENTO%20CONSOLIDADO/2020-04-23_propuesta_programatica_plan_acc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 programático"/>
      <sheetName val="Eje programático 2 Total"/>
      <sheetName val="Programas_proyectos_Plan_acción"/>
      <sheetName val="Despliegue de actividades"/>
      <sheetName val="Notas aclaratorias"/>
      <sheetName val="Acciones_étnicas"/>
      <sheetName val="Recursos_financieros"/>
      <sheetName val="Covid-19"/>
      <sheetName val="Plan_acción_vs_PGAR"/>
      <sheetName val="Productos_PA"/>
      <sheetName val="Tabla_dinámica_PGAR"/>
      <sheetName val="Instrumentos_planificación"/>
      <sheetName val="Acuerdos Protocolizados Etnias"/>
      <sheetName val="Tipos de acumulación indicador"/>
      <sheetName val="Parámetros"/>
      <sheetName val="Tabla_dinámica_despliegue_acti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persons/person.xml><?xml version="1.0" encoding="utf-8"?>
<personList xmlns="http://schemas.microsoft.com/office/spreadsheetml/2018/threadedcomments" xmlns:x="http://schemas.openxmlformats.org/spreadsheetml/2006/main">
  <person displayName="Marlo Florez" id="{72114611-076C-4368-A1BE-AF1DD7C4C03A}" userId="Marlo Florez" providerId="None"/>
  <person displayName="Ana Maria Castano Rivas" id="{574274F8-2895-43D9-8DA1-38C90C1F0B7E}" userId="Ana Maria Castano Rivas" providerId="None"/>
  <person displayName="Marlo Giovanny Florez Mejia" id="{0D197112-F0BF-4185-B04F-DC21B6E0FC94}" userId="Marlo Giovanny Florez Mejia" providerId="None"/>
  <person displayName="Pablo Andrés Barrera Bolaños" id="{9B2E5DE9-CDCF-4638-A9E9-F0F1DB79FF9B}" userId="Pablo Andrés Barrera Bolaños" providerId="None"/>
  <person displayName="Pablo Andrés Barrera Bolaños" id="{D7E25B3E-1157-4D15-9C1F-643B65A24DC9}" userId="S::pablo_barrera@corantioquia.gov.co::ef031a1d-a9c0-4ef3-91bc-6c254b20c559"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 personId="{0D197112-F0BF-4185-B04F-DC21B6E0FC94}" id="{9017E411-D7AF-4783-91F3-277CFE0A3143}">
    <text xml:space="preserve">Iniciar con verbo conjugado
</text>
  </threadedComment>
  <threadedComment ref="D3" personId="{0D197112-F0BF-4185-B04F-DC21B6E0FC94}" id="{9017E411-D7AF-4784-91F3-277CFE0A3143}">
    <text xml:space="preserve">Iniciar con verbo conjugado
</text>
  </threadedComment>
  <threadedComment ref="F3" personId="{0D197112-F0BF-4185-B04F-DC21B6E0FC94}" id="{C44B7C0D-417B-411F-A0E6-E0122D4CEFDA}">
    <text>Inicia con un verbo en infinitivo.</text>
  </threadedComment>
  <threadedComment ref="B4" personId="{0D197112-F0BF-4185-B04F-DC21B6E0FC94}" id="{9131A7B2-5002-48D8-AF09-3A8448CA1484}">
    <text xml:space="preserve">Comenzar por un verbo en infinitivo
</text>
  </threadedComment>
  <threadedComment ref="F4" personId="{0D197112-F0BF-4185-B04F-DC21B6E0FC94}" id="{0E200000-86AC-476F-BD8E-6C6A53EA3FFC}">
    <text xml:space="preserve">Otras estrategias de conservación: Rondas hídricas, corredores y demás medidas de la Corporación (zona ribereña), entre otras.
</text>
  </threadedComment>
  <threadedComment ref="H6" personId="{0D197112-F0BF-4185-B04F-DC21B6E0FC94}" id="{CAFD7BA8-0A72-4505-8B03-2BB31EC107DF}">
    <text xml:space="preserve">Este indicador contempla cantidad de agua por ser una relación entre oferta y demanda
Fórmula: Cantidad de niveles subsiguientes o subzonas hidrográficas con IUA muy alto/ Total de niveles subsiguientes o subzonas hidrográficas en la jurisdicción de Corantiquia </text>
  </threadedComment>
  <threadedComment ref="H7" personId="{72114611-076C-4368-A1BE-AF1DD7C4C03A}" id="{A05BB445-3B20-42A8-820E-7C71E22FE878}">
    <text>2019-11-07: Nuevo indicador a incorporar por parte de la Subdirección de Ecosistemas.</text>
  </threadedComment>
  <threadedComment ref="J7" personId="{72114611-076C-4368-A1BE-AF1DD7C4C03A}" id="{549564E7-27AC-42B1-8587-BDBC62BC7B24}">
    <text xml:space="preserve">Traslape capas: Áreas protegidas, POMCAS, PORH y Acuíferos.
</text>
  </threadedComment>
  <threadedComment ref="S7" personId="{72114611-076C-4368-A1BE-AF1DD7C4C03A}" id="{034A4C91-EA84-4781-88BB-A6AD8EDA5384}">
    <text xml:space="preserve">Traslape capas: Áreas protegidas, POMCAS, PORH y Acuíferos.
</text>
  </threadedComment>
  <threadedComment ref="J9" personId="{72114611-076C-4368-A1BE-AF1DD7C4C03A}" id="{EB9D9E18-0B7E-44BD-BB66-050C000E79EF}">
    <text>Traslape de Cuencas abastecedoras inventariadas y el cruce de POMCAS, acuíferos y áreas protegidas</text>
  </threadedComment>
  <threadedComment ref="S9" personId="{72114611-076C-4368-A1BE-AF1DD7C4C03A}" id="{B69D3D57-EEBA-4E18-826A-014B0614E490}">
    <text>Traslape de Cuencas abastecedoras inventariadas y el cruce de POMCAS, acuíferos y áreas protegidas</text>
  </threadedComment>
  <threadedComment ref="J10" personId="{0D197112-F0BF-4185-B04F-DC21B6E0FC94}" id="{6FEDCAA1-51F7-4012-B300-A146C328DD55}">
    <text>18.098+535,47
Ecosistemas revisará esta información a partir del cruce de variables (cartografía)</text>
  </threadedComment>
  <threadedComment ref="K10" personId="{0D197112-F0BF-4185-B04F-DC21B6E0FC94}" id="{90C01A9A-2ABF-43A9-8B97-F3E6E4116C4F}">
    <text>18.633,5+5.000</text>
  </threadedComment>
  <threadedComment ref="S10" personId="{0D197112-F0BF-4185-B04F-DC21B6E0FC94}" id="{B6D70228-02C6-4D1E-A3BB-21276B8E109A}">
    <text xml:space="preserve">Información tomada del convenio 1505-65 realizado con EAFIT. 
</text>
  </threadedComment>
  <threadedComment ref="T10" personId="{0D197112-F0BF-4185-B04F-DC21B6E0FC94}" id="{7D55515E-DF4D-4B5D-A9A4-4ABBC1A254E0}">
    <text>Oscar Iván Giraldo: 
→ Desagregar estas hectáreas cuantas corresponden a la Corporación y cuantas a la gobernación y los municipios.
Esa información NO es de nuestra Gobernabilidad por que el Decreto 0953 establece como obligación comprar predios, hacer mantenimientos o PSA. El municipio o la Gobernación decide.</text>
  </threadedComment>
  <threadedComment ref="H13" personId="{0D197112-F0BF-4185-B04F-DC21B6E0FC94}" id="{1DB15362-4F3F-4231-97FD-EACE46420FE7}">
    <text>Fórmula de cálculo:
Número de cuerpos de agua con reglamentación de uso / número de cuerpos de agua priorizados en el Plan Hídrico Nacional</text>
  </threadedComment>
  <threadedComment ref="H14" personId="{0D197112-F0BF-4185-B04F-DC21B6E0FC94}" id="{2304743B-96E2-4295-92B0-EE289D671565}">
    <text>Fórmula de cálculo:
Número de cuerpos de agua con objetivos de calidad alcanzados / número de cuerpos de agua con objetivo de calidad establecido mediante Resolución Corporativa.
Se ajustó el nombre del indicador y la meta (Jorge Ignacio Gaviria).</text>
  </threadedComment>
  <threadedComment ref="K14" personId="{9B2E5DE9-CDCF-4638-A9E9-F0F1DB79FF9B}" id="{44307345-8A0A-44D6-B0FC-92297193CC8D}">
    <text>Gestión ambienta:
Plantear rango para valorar el resultado</text>
  </threadedComment>
  <threadedComment ref="H15" personId="{0D197112-F0BF-4185-B04F-DC21B6E0FC94}" id="{2304743B-96E2-4296-92B0-EE289D671565}">
    <text>Fórmula de cálculo:
Número de cuerpos de agua con objetivos de calidad alcanzados / número de cuerpos de agua con objetivo de calidad establecido mediante Resolución Corporativa.
Se ajustó el nombre del indicador y la meta (Jorge Ignacio Gaviria).</text>
  </threadedComment>
  <threadedComment ref="K15" personId="{9B2E5DE9-CDCF-4638-A9E9-F0F1DB79FF9B}" id="{44307345-8A0A-44D7-B0FC-92297193CC8D}">
    <text>Gestión ambienta:
Plantear rango para valorar el resultado</text>
  </threadedComment>
  <threadedComment ref="T16" personId="{0D197112-F0BF-4185-B04F-DC21B6E0FC94}" id="{46181E7F-D3CD-4F55-AED5-E1E932331675}">
    <text>Vigencia promedio de un plan de manejo de un área protegida</text>
  </threadedComment>
  <threadedComment ref="H20" personId="{72114611-076C-4368-A1BE-AF1DD7C4C03A}" id="{ABD339E2-3865-4604-817B-55DC13FE314E}">
    <text>2019-11-07: Nuevo indicador a incorporar por parte de la Subdirección de Ecosistemas.</text>
  </threadedComment>
  <threadedComment ref="F21" personId="{0D197112-F0BF-4185-B04F-DC21B6E0FC94}" id="{A132D7B2-2BEA-4C20-AFD5-44E944A3BDDD}">
    <text xml:space="preserve">Anteriormente estaba en la línea 3, componente 10
</text>
  </threadedComment>
  <threadedComment ref="H21" personId="{9B2E5DE9-CDCF-4638-A9E9-F0F1DB79FF9B}" id="{8A30D20C-6D0C-4CDE-B93A-B10E0A348027}">
    <text>Evaluar otro indicador: 
Espacios habilitados para el aprovechamiento de los espacios naturales (públicos y privados)
(Hectáreas o número de predios?)</text>
  </threadedComment>
  <threadedComment ref="K21" personId="{9B2E5DE9-CDCF-4638-A9E9-F0F1DB79FF9B}" id="{D925A6BC-7D23-4093-887B-46489EFF6A06}">
    <text xml:space="preserve">
Plantear un rango de población teniendo en cuenta las caracteristicas poblacionales de los municipios de la jurisdicción</text>
  </threadedComment>
  <threadedComment ref="F22" personId="{0D197112-F0BF-4185-B04F-DC21B6E0FC94}" id="{A132D7B2-2BEA-4C21-AFD5-44E944A3BDDD}">
    <text xml:space="preserve">Anteriormente estaba en la línea 3, componente 10
</text>
  </threadedComment>
  <threadedComment ref="H22" personId="{9B2E5DE9-CDCF-4638-A9E9-F0F1DB79FF9B}" id="{8A30D20C-6D0C-4CDF-B93A-B10E0A348027}">
    <text>Evaluar otro indicador: 
Espacios habilitados para el aprovechamiento de los espacios naturales (públicos y privados)
(Hectáreas o número de predios?)</text>
  </threadedComment>
  <threadedComment ref="K22" personId="{9B2E5DE9-CDCF-4638-A9E9-F0F1DB79FF9B}" id="{D925A6BC-7D23-4094-887B-46489EFF6A06}">
    <text xml:space="preserve">
Plantear un rango de población teniendo en cuenta las caracteristicas poblacionales de los municipios de la jurisdicción</text>
  </threadedComment>
  <threadedComment ref="K23" personId="{9B2E5DE9-CDCF-4638-A9E9-F0F1DB79FF9B}" id="{B1505F22-8616-40A0-983A-76AE53ABD7B8}">
    <text>Validar esta cifra acorde a la tasa de deforestación</text>
  </threadedComment>
  <threadedComment ref="S23" dT="2019-11-14T12:12:04.31" personId="{D7E25B3E-1157-4D15-9C1F-643B65A24DC9}" id="{CAF0D949-453B-4EA8-A830-7228B374D4DC}">
    <text xml:space="preserve">Antes el dato asociado a minería:  563.004 ha
El cambio se da porque se precisa:La cifra corresponde a Títulos Mineros con Clasificación de licencia de explotación, Licencia de explotación – Contrato de Concesión y Licencia especial de Materiales de construcción.
</text>
  </threadedComment>
  <threadedComment ref="T23" personId="{0D197112-F0BF-4185-B04F-DC21B6E0FC94}" id="{5DB2DD33-6F4B-4D36-8357-85EC542FF52E}">
    <text xml:space="preserve">Meta Colombia: 1.000.000 ha en proceso de restauración en áreas susceptibles definidas por el Plan Nacional de Restauración Ecológica para la Rehabilitación y Recuperación de Áreas Disturbadas.
</text>
  </threadedComment>
  <threadedComment ref="H25" personId="{9B2E5DE9-CDCF-4638-A9E9-F0F1DB79FF9B}" id="{2E50CF65-4E3F-45CF-832B-961DDB1FDAB2}">
    <text>Uno de los criterios de la priorización son los municipios con POT 2000 y 2002.
+ aquellos que en su concertación no hayan considerado el decreto 1807, es decir, antes de 2015</text>
  </threadedComment>
  <threadedComment ref="T25" personId="{0D197112-F0BF-4185-B04F-DC21B6E0FC94}" id="{9AF5A1C7-72AC-456F-B6B7-BAE2CD185345}">
    <text xml:space="preserve">Se trabajará con prioridad con los municipios que no han realizado la actualización de sus POT; sin embargo, queda abierta la opción para que un municipio por dinámica propia realice revisión de su POT, en el momento que lo considere necesario. </text>
  </threadedComment>
  <threadedComment ref="H26" personId="{9B2E5DE9-CDCF-4638-A9E9-F0F1DB79FF9B}" id="{4E6BD9BB-C596-42AA-94E7-C3CE41043743}">
    <text xml:space="preserve">
Revisar documento orientador o que dan conceptos a las Alcaldía en los planes de desarrollo</text>
  </threadedComment>
  <threadedComment ref="H27" personId="{9B2E5DE9-CDCF-4638-A9E9-F0F1DB79FF9B}" id="{F9EF2110-2768-47CC-B120-FF8990AED8D5}">
    <text>Centrarse o plantear referntes: líneas de orientación en los aspectos que son comunes</text>
  </threadedComment>
  <threadedComment ref="F28" personId="{0D197112-F0BF-4185-B04F-DC21B6E0FC94}" id="{C6AEB886-AE0A-4A51-95D2-A68195266602}">
    <text xml:space="preserve">2019-10-09: El nombre del reto "Armonizar los Planes Integrales de Gestión del Cambio Climático Sectoriales (PIGCCS) con la planeación ambiental" se actualizó.
</text>
  </threadedComment>
  <threadedComment ref="H28" personId="{9B2E5DE9-CDCF-4638-A9E9-F0F1DB79FF9B}" id="{BAA67C36-AF51-4BED-B7D4-04FA55579072}">
    <text>En el plan de acción, se debe desarrollar una guía pedagógica que oriente sobre este tema</text>
  </threadedComment>
  <threadedComment ref="B31" personId="{0D197112-F0BF-4185-B04F-DC21B6E0FC94}" id="{9131A7B2-5002-48D9-AF09-3A8448CA1484}">
    <text xml:space="preserve">Comenzar por un verbo en infinitivo
</text>
  </threadedComment>
  <threadedComment ref="H31" personId="{0D197112-F0BF-4185-B04F-DC21B6E0FC94}" id="{146767DE-5B9A-4E79-A6AF-4661BD22412F}">
    <text xml:space="preserve">Antes: Área de frontera agropecuaria asociada a los sectores productivos agropecuarios con pactos de cero deforestación (ha) 
</text>
  </threadedComment>
  <threadedComment ref="J31" personId="{0D197112-F0BF-4185-B04F-DC21B6E0FC94}" id="{D60454FA-7C35-4E06-9948-81C673D72D47}">
    <text>Antes: 0 ha delimitadas
Mapa agroecosistemas IDEAM 2017, Mapa Deforestacion de IDEAM 2018, Mapa POF Corantioquia 2019.</text>
  </threadedComment>
  <threadedComment ref="B32" personId="{0D197112-F0BF-4185-B04F-DC21B6E0FC94}" id="{9131A7B2-5002-48DA-AF09-3A8448CA1484}">
    <text xml:space="preserve">Comenzar por un verbo en infinitivo
</text>
  </threadedComment>
  <threadedComment ref="H32" personId="{574274F8-2895-43D9-8DA1-38C90C1F0B7E}" id="{00F9E878-9A1A-45A3-8F36-B22F718D4F4F}">
    <text>2019-11-07. Ana Maria Castano Rivas:
Estos indicadores requieren de una unidad de analisis de información que pueda proveer datos a partir de imágenes (SIG)
Pérdida de área de ecosistemas asociado a sectores productivos priorizados con respecto a línea base 2010 en bosque. Se elimina, no hay capacidad de medición actualmente.
Disminución del número de ha degradadas de bosque (ha). Se elimina, no hay capacidad de medición actualmente.
Disminución de la tasa de pérdida de bosques . Se fusiona con este indicador.</text>
  </threadedComment>
  <threadedComment ref="J32" personId="{0D197112-F0BF-4185-B04F-DC21B6E0FC94}" id="{AC1CE358-27EF-437D-A20C-0A98A3E3B045}">
    <text>Antes: 0 ha delimitadas
Mapa agroecosistemas IDEAM 2017
Mapa Deforestacion de IDEAM 2018
Mapa POF Corantioquia 2019.</text>
  </threadedComment>
  <threadedComment ref="B33" personId="{0D197112-F0BF-4185-B04F-DC21B6E0FC94}" id="{9131A7B2-5002-48DB-AF09-3A8448CA1484}">
    <text xml:space="preserve">Comenzar por un verbo en infinitivo
</text>
  </threadedComment>
  <threadedComment ref="H33" personId="{0D197112-F0BF-4185-B04F-DC21B6E0FC94}" id="{B0C5EA81-B3A4-4BC2-BD1E-B63745DF4011}">
    <text>2019-10-09: Indicador anterior "Porcentaje de zonas de producción agropecuaria gestionadas de manera sostenible, garantizándose la conservación de la diversidad biológica"
Para ello se realizaran Acuerdos cero deforestación consolidados y en implementación, según plan acordado, de cadenas de producción priorizadas</text>
  </threadedComment>
  <threadedComment ref="B34" personId="{0D197112-F0BF-4185-B04F-DC21B6E0FC94}" id="{9131A7B2-5002-48DC-AF09-3A8448CA1484}">
    <text xml:space="preserve">Comenzar por un verbo en infinitivo
</text>
  </threadedComment>
  <threadedComment ref="F34" personId="{9B2E5DE9-CDCF-4638-A9E9-F0F1DB79FF9B}" id="{9B4DFCC7-4115-4BDA-A92E-21793CD71782}">
    <text>Tener en consideración la áreas suburbuna en términos de desarrollo de actividad agropecuaria.
Revisar Resolución de agricultura familiar de la UPRA
Mapa de la UPRA
(Llevar a Línea 3, relacioado a vulnerabilidad)</text>
  </threadedComment>
  <threadedComment ref="B35" personId="{0D197112-F0BF-4185-B04F-DC21B6E0FC94}" id="{9131A7B2-5002-48DD-AF09-3A8448CA1484}">
    <text xml:space="preserve">Comenzar por un verbo en infinitivo
</text>
  </threadedComment>
  <threadedComment ref="B36" personId="{0D197112-F0BF-4185-B04F-DC21B6E0FC94}" id="{9131A7B2-5002-48DE-AF09-3A8448CA1484}">
    <text xml:space="preserve">Comenzar por un verbo en infinitivo
</text>
  </threadedComment>
  <threadedComment ref="F36" personId="{0D197112-F0BF-4185-B04F-DC21B6E0FC94}" id="{665F38CB-0B3A-4F29-8CCA-AA5C28A1B666}">
    <text xml:space="preserve">2019-10-10: Este reto inicialmente estaba asociado al Componente 6. La ciudadanía y sus prácticas cotidianas; pero dada su temática se movió para el reto 4.
</text>
  </threadedComment>
  <threadedComment ref="H36" personId="{9B2E5DE9-CDCF-4638-A9E9-F0F1DB79FF9B}" id="{49BB7BC9-58D8-4DBB-9948-2DE99A07160C}">
    <text xml:space="preserve">Incluir la fracción orgánica en de los residuos rurales </text>
  </threadedComment>
  <threadedComment ref="B37" personId="{0D197112-F0BF-4185-B04F-DC21B6E0FC94}" id="{9131A7B2-5002-48DF-AF09-3A8448CA1484}">
    <text xml:space="preserve">Comenzar por un verbo en infinitivo
</text>
  </threadedComment>
  <threadedComment ref="H37" personId="{9B2E5DE9-CDCF-4638-A9E9-F0F1DB79FF9B}" id="{5F3A65A2-737A-44DF-B7BB-817CB73D29C8}">
    <text xml:space="preserve">
Revisar: crecimiento real en lugar de tasa
Ventas anualizadas negocios verdes
Número de empleo negocios verdes
</text>
  </threadedComment>
  <threadedComment ref="B38" personId="{0D197112-F0BF-4185-B04F-DC21B6E0FC94}" id="{9131A7B2-5002-48E0-AF09-3A8448CA1484}">
    <text xml:space="preserve">Comenzar por un verbo en infinitivo
</text>
  </threadedComment>
  <threadedComment ref="H38" personId="{0D197112-F0BF-4185-B04F-DC21B6E0FC94}" id="{45793A2F-9BA2-4FF2-95B6-D924B3F14F54}">
    <text xml:space="preserve">Según el SI, t: tonelada
Según ISO 80000, a: año
</text>
  </threadedComment>
  <threadedComment ref="B39" personId="{0D197112-F0BF-4185-B04F-DC21B6E0FC94}" id="{9131A7B2-5002-48E1-AF09-3A8448CA1484}">
    <text xml:space="preserve">Comenzar por un verbo en infinitivo
</text>
  </threadedComment>
  <threadedComment ref="H39" personId="{9B2E5DE9-CDCF-4638-A9E9-F0F1DB79FF9B}" id="{E19009C2-F35D-481E-8AA0-68A2065C7CD3}">
    <text>Estudios de paisajes productivos realizados por la UDEA
Definir ecosistema y socioecosistema.
Que permita tener claridad frente a estos</text>
  </threadedComment>
  <threadedComment ref="B40" personId="{0D197112-F0BF-4185-B04F-DC21B6E0FC94}" id="{9131A7B2-5002-48E2-AF09-3A8448CA1484}">
    <text xml:space="preserve">Comenzar por un verbo en infinitivo
</text>
  </threadedComment>
  <threadedComment ref="H40" personId="{0D197112-F0BF-4185-B04F-DC21B6E0FC94}" id="{796286AA-64AB-4BA1-9223-AC2E2A5A8FB9}">
    <text>2019-10-09: Se había sugerido este indicador "Restauración en áreas susceptibles definidas por el Plan Nacional de Restauración Ecológica para la Rehabilitación y Recuperación de Áreas Disturbadas (ha)" pero no se considero pertinente para el reto. El cual fue tomado del Plan de acción de Biodiversidad y cuya meta 1.000.000 ha en proceso de restauración en áreas susceptibles definidas por el Plan Nacional de Restauración Ecológica para la Rehabilitación y Recuperación de Áreas Disturbadas.</text>
  </threadedComment>
  <threadedComment ref="B41" personId="{0D197112-F0BF-4185-B04F-DC21B6E0FC94}" id="{9131A7B2-5002-48E3-AF09-3A8448CA1484}">
    <text xml:space="preserve">Comenzar por un verbo en infinitivo
</text>
  </threadedComment>
  <threadedComment ref="H41" personId="{0D197112-F0BF-4185-B04F-DC21B6E0FC94}" id="{796286AA-64AB-4BA2-9223-AC2E2A5A8FB9}">
    <text>2019-10-09: Se había sugerido este indicador "Restauración en áreas susceptibles definidas por el Plan Nacional de Restauración Ecológica para la Rehabilitación y Recuperación de Áreas Disturbadas (ha)" pero no se considero pertinente para el reto. El cual fue tomado del Plan de acción de Biodiversidad y cuya meta 1.000.000 ha en proceso de restauración en áreas susceptibles definidas por el Plan Nacional de Restauración Ecológica para la Rehabilitación y Recuperación de Áreas Disturbadas.</text>
  </threadedComment>
  <threadedComment ref="B42" personId="{0D197112-F0BF-4185-B04F-DC21B6E0FC94}" id="{9131A7B2-5002-48E4-AF09-3A8448CA1484}">
    <text xml:space="preserve">Comenzar por un verbo en infinitivo
</text>
  </threadedComment>
  <threadedComment ref="B43" personId="{0D197112-F0BF-4185-B04F-DC21B6E0FC94}" id="{9131A7B2-5002-48E5-AF09-3A8448CA1484}">
    <text xml:space="preserve">Comenzar por un verbo en infinitivo
</text>
  </threadedComment>
  <threadedComment ref="B44" personId="{0D197112-F0BF-4185-B04F-DC21B6E0FC94}" id="{9131A7B2-5002-48E6-AF09-3A8448CA1484}">
    <text xml:space="preserve">Comenzar por un verbo en infinitivo
</text>
  </threadedComment>
  <threadedComment ref="B45" personId="{0D197112-F0BF-4185-B04F-DC21B6E0FC94}" id="{9131A7B2-5002-48E7-AF09-3A8448CA1484}">
    <text xml:space="preserve">Comenzar por un verbo en infinitivo
</text>
  </threadedComment>
  <threadedComment ref="B46" personId="{0D197112-F0BF-4185-B04F-DC21B6E0FC94}" id="{9131A7B2-5002-48E8-AF09-3A8448CA1484}">
    <text xml:space="preserve">Comenzar por un verbo en infinitivo
</text>
  </threadedComment>
  <threadedComment ref="B47" personId="{0D197112-F0BF-4185-B04F-DC21B6E0FC94}" id="{9131A7B2-5002-48E9-AF09-3A8448CA1484}">
    <text xml:space="preserve">Comenzar por un verbo en infinitivo
</text>
  </threadedComment>
  <threadedComment ref="B48" personId="{0D197112-F0BF-4185-B04F-DC21B6E0FC94}" id="{9131A7B2-5002-48EA-AF09-3A8448CA1484}">
    <text xml:space="preserve">Comenzar por un verbo en infinitivo
</text>
  </threadedComment>
  <threadedComment ref="H48" personId="{0D197112-F0BF-4185-B04F-DC21B6E0FC94}" id="{D199D387-CD44-4B30-8C7E-5DE3BC757B6F}">
    <text xml:space="preserve">La Subdirección de Gestión Ambiental sugiere eliminar el reto dado que la Matriz está bajo la responsabilidad de las empresas generadoras, las cuales están por fuera de la competencia de la Corporación.
</text>
  </threadedComment>
  <threadedComment ref="B49" personId="{0D197112-F0BF-4185-B04F-DC21B6E0FC94}" id="{9131A7B2-5002-48EB-AF09-3A8448CA1484}">
    <text xml:space="preserve">Comenzar por un verbo en infinitivo
</text>
  </threadedComment>
  <threadedComment ref="B50" personId="{0D197112-F0BF-4185-B04F-DC21B6E0FC94}" id="{9131A7B2-5002-48EC-AF09-3A8448CA1484}">
    <text xml:space="preserve">Comenzar por un verbo en infinitivo
</text>
  </threadedComment>
  <threadedComment ref="B51" personId="{0D197112-F0BF-4185-B04F-DC21B6E0FC94}" id="{9131A7B2-5002-48ED-AF09-3A8448CA1484}">
    <text xml:space="preserve">Comenzar por un verbo en infinitivo
</text>
  </threadedComment>
  <threadedComment ref="B52" personId="{0D197112-F0BF-4185-B04F-DC21B6E0FC94}" id="{9131A7B2-5002-48EE-AF09-3A8448CA1484}">
    <text xml:space="preserve">Comenzar por un verbo en infinitivo
</text>
  </threadedComment>
  <threadedComment ref="B53" personId="{0D197112-F0BF-4185-B04F-DC21B6E0FC94}" id="{9131A7B2-5002-48EF-AF09-3A8448CA1484}">
    <text xml:space="preserve">Comenzar por un verbo en infinitivo
</text>
  </threadedComment>
  <threadedComment ref="B54" personId="{0D197112-F0BF-4185-B04F-DC21B6E0FC94}" id="{9131A7B2-5002-48F0-AF09-3A8448CA1484}">
    <text xml:space="preserve">Comenzar por un verbo en infinitivo
</text>
  </threadedComment>
  <threadedComment ref="B55" personId="{0D197112-F0BF-4185-B04F-DC21B6E0FC94}" id="{9131A7B2-5002-48F1-AF09-3A8448CA1484}">
    <text xml:space="preserve">Comenzar por un verbo en infinitivo
</text>
  </threadedComment>
  <threadedComment ref="B56" personId="{0D197112-F0BF-4185-B04F-DC21B6E0FC94}" id="{9131A7B2-5002-48F2-AF09-3A8448CA1484}">
    <text xml:space="preserve">Comenzar por un verbo en infinitivo
</text>
  </threadedComment>
  <threadedComment ref="F56" personId="{9B2E5DE9-CDCF-4638-A9E9-F0F1DB79FF9B}" id="{C9B77E74-991B-4EAB-86EE-D75683583223}">
    <text>Ajustar reto</text>
  </threadedComment>
  <threadedComment ref="B57" personId="{0D197112-F0BF-4185-B04F-DC21B6E0FC94}" id="{9131A7B2-5002-48F3-AF09-3A8448CA1484}">
    <text xml:space="preserve">Comenzar por un verbo en infinitivo
</text>
  </threadedComment>
  <threadedComment ref="H57" personId="{72114611-076C-4368-A1BE-AF1DD7C4C03A}" id="{6D6740A5-9E3A-4249-9B55-1CA95F36D806}">
    <text>Antes 2019-10-23: Porcentaje (%) de las entidades territoriales de la jurisdicción con su PIGCCT formulado y en concordancia con los 8 PIGCCS.</text>
  </threadedComment>
  <threadedComment ref="B58" personId="{0D197112-F0BF-4185-B04F-DC21B6E0FC94}" id="{9131A7B2-5002-48F4-AF09-3A8448CA1484}">
    <text xml:space="preserve">Comenzar por un verbo en infinitivo
</text>
  </threadedComment>
  <threadedComment ref="H58" personId="{72114611-076C-4368-A1BE-AF1DD7C4C03A}" id="{A7B58CFF-D4E1-4C8C-A98C-58AEACFC4872}">
    <text xml:space="preserve">Antes de 2019-10-23: Porcentaje (%) de las entidades territoriales de la jurisdicción con su PIGCCT en ejecución 
</text>
  </threadedComment>
  <threadedComment ref="B59" personId="{0D197112-F0BF-4185-B04F-DC21B6E0FC94}" id="{9131A7B2-5002-48F5-AF09-3A8448CA1484}">
    <text xml:space="preserve">Comenzar por un verbo en infinitivo
</text>
  </threadedComment>
  <threadedComment ref="H59" personId="{72114611-076C-4368-A1BE-AF1DD7C4C03A}" id="{102A14A9-FEFD-40E1-8773-02CAB95EE68A}">
    <text xml:space="preserve">Fórmula: Residuos totales generados (t/año)/PIB (billones de pesos)
</text>
  </threadedComment>
  <threadedComment ref="B60" personId="{0D197112-F0BF-4185-B04F-DC21B6E0FC94}" id="{9131A7B2-5002-48F6-AF09-3A8448CA1484}">
    <text xml:space="preserve">Comenzar por un verbo en infinitivo
</text>
  </threadedComment>
  <threadedComment ref="H60" personId="{72114611-076C-4368-A1BE-AF1DD7C4C03A}" id="{4B60E54B-B2BD-4A18-96BF-D2E577231009}">
    <text>Fórmula: (Residuos totales aprovechados/ Residuos totales aprovechables generados)*100
**Ajustar con fracción orgánico</text>
  </threadedComment>
  <threadedComment ref="B61" personId="{0D197112-F0BF-4185-B04F-DC21B6E0FC94}" id="{9131A7B2-5002-48F7-AF09-3A8448CA1484}">
    <text xml:space="preserve">Comenzar por un verbo en infinitivo
</text>
  </threadedComment>
  <threadedComment ref="B62" personId="{0D197112-F0BF-4185-B04F-DC21B6E0FC94}" id="{9131A7B2-5002-48F8-AF09-3A8448CA1484}">
    <text xml:space="preserve">Comenzar por un verbo en infinitivo
</text>
  </threadedComment>
  <threadedComment ref="H62" personId="{72114611-076C-4368-A1BE-AF1DD7C4C03A}" id="{73DFF8E1-2106-4592-AA61-3D1C4D40CA3F}">
    <text xml:space="preserve">Fórmula: (equipos eliminados/equipos inventariados)*100 
</text>
  </threadedComment>
  <threadedComment ref="B63" personId="{0D197112-F0BF-4185-B04F-DC21B6E0FC94}" id="{9131A7B2-5002-48F9-AF09-3A8448CA1484}">
    <text xml:space="preserve">Comenzar por un verbo en infinitivo
</text>
  </threadedComment>
  <threadedComment ref="B64" personId="{0D197112-F0BF-4185-B04F-DC21B6E0FC94}" id="{9131A7B2-5002-48FA-AF09-3A8448CA1484}">
    <text xml:space="preserve">Comenzar por un verbo en infinitivo
</text>
  </threadedComment>
  <threadedComment ref="B65" personId="{0D197112-F0BF-4185-B04F-DC21B6E0FC94}" id="{9131A7B2-5002-48FB-AF09-3A8448CA1484}">
    <text xml:space="preserve">Comenzar por un verbo en infinitivo
</text>
  </threadedComment>
  <threadedComment ref="B66" personId="{0D197112-F0BF-4185-B04F-DC21B6E0FC94}" id="{9131A7B2-5002-48FC-AF09-3A8448CA1484}">
    <text xml:space="preserve">Comenzar por un verbo en infinitivo
</text>
  </threadedComment>
  <threadedComment ref="H66" personId="{0D197112-F0BF-4185-B04F-DC21B6E0FC94}" id="{45793A2F-9BA2-4FF3-95B6-D924B3F14F54}">
    <text xml:space="preserve">Según el SI, t: tonelada
Según ISO 80000, a: año
</text>
  </threadedComment>
  <threadedComment ref="B67" personId="{0D197112-F0BF-4185-B04F-DC21B6E0FC94}" id="{9131A7B2-5002-48FD-AF09-3A8448CA1484}">
    <text xml:space="preserve">Comenzar por un verbo en infinitivo
</text>
  </threadedComment>
  <threadedComment ref="H67" personId="{9B2E5DE9-CDCF-4638-A9E9-F0F1DB79FF9B}" id="{E3E5C3A3-84E0-4E4C-BF4A-F086CC23D6CB}">
    <text>Conversar con Claudia Andrea Díaz</text>
  </threadedComment>
  <threadedComment ref="B68" personId="{0D197112-F0BF-4185-B04F-DC21B6E0FC94}" id="{9131A7B2-5002-48FE-AF09-3A8448CA1484}">
    <text xml:space="preserve">Comenzar por un verbo en infinitivo
</text>
  </threadedComment>
  <threadedComment ref="B69" personId="{0D197112-F0BF-4185-B04F-DC21B6E0FC94}" id="{9131A7B2-5002-48FF-AF09-3A8448CA1484}">
    <text xml:space="preserve">Comenzar por un verbo en infinitivo
</text>
  </threadedComment>
  <threadedComment ref="B70" personId="{0D197112-F0BF-4185-B04F-DC21B6E0FC94}" id="{9131A7B2-5002-4900-AF09-3A8448CA1484}">
    <text xml:space="preserve">Comenzar por un verbo en infinitivo
</text>
  </threadedComment>
  <threadedComment ref="B71" personId="{0D197112-F0BF-4185-B04F-DC21B6E0FC94}" id="{9131A7B2-5002-4901-AF09-3A8448CA1484}">
    <text xml:space="preserve">Comenzar por un verbo en infinitivo
</text>
  </threadedComment>
  <threadedComment ref="B72" personId="{0D197112-F0BF-4185-B04F-DC21B6E0FC94}" id="{9131A7B2-5002-4902-AF09-3A8448CA1484}">
    <text xml:space="preserve">Comenzar por un verbo en infinitivo
</text>
  </threadedComment>
  <threadedComment ref="B73" personId="{0D197112-F0BF-4185-B04F-DC21B6E0FC94}" id="{9131A7B2-5002-4903-AF09-3A8448CA1484}">
    <text xml:space="preserve">Comenzar por un verbo en infinitivo
</text>
  </threadedComment>
  <threadedComment ref="B74" personId="{0D197112-F0BF-4185-B04F-DC21B6E0FC94}" id="{9131A7B2-5002-4904-AF09-3A8448CA1484}">
    <text xml:space="preserve">Comenzar por un verbo en infinitivo
</text>
  </threadedComment>
  <threadedComment ref="B75" personId="{0D197112-F0BF-4185-B04F-DC21B6E0FC94}" id="{9131A7B2-5002-4905-AF09-3A8448CA1484}">
    <text xml:space="preserve">Comenzar por un verbo en infinitivo
</text>
  </threadedComment>
  <threadedComment ref="B76" personId="{0D197112-F0BF-4185-B04F-DC21B6E0FC94}" id="{9131A7B2-5002-4906-AF09-3A8448CA1484}">
    <text xml:space="preserve">Comenzar por un verbo en infinitivo
</text>
  </threadedComment>
  <threadedComment ref="H76" personId="{9B2E5DE9-CDCF-4638-A9E9-F0F1DB79FF9B}" id="{57CDB868-90CA-44ED-B680-94CC220D479B}">
    <text>No queda registrada la meta, dadas las dificultades. Se fortalecerá la red</text>
  </threadedComment>
  <threadedComment ref="B77" personId="{0D197112-F0BF-4185-B04F-DC21B6E0FC94}" id="{9131A7B2-5002-4907-AF09-3A8448CA1484}">
    <text xml:space="preserve">Comenzar por un verbo en infinitivo
</text>
  </threadedComment>
  <threadedComment ref="B78" personId="{0D197112-F0BF-4185-B04F-DC21B6E0FC94}" id="{9131A7B2-5002-4908-AF09-3A8448CA1484}">
    <text xml:space="preserve">Comenzar por un verbo en infinitivo
</text>
  </threadedComment>
  <threadedComment ref="H78" personId="{574274F8-2895-43D9-8DA1-38C90C1F0B7E}" id="{D410E9E3-B503-496D-8E0A-F87D0D3780AC}">
    <text xml:space="preserve">9.4.1. Intensidad de emisiones de CO2 de las industrias respecto a valor agregado de la industria manufacturera (GIGA_CO2 por $ miles de millones) </text>
  </threadedComment>
  <threadedComment ref="B79" personId="{0D197112-F0BF-4185-B04F-DC21B6E0FC94}" id="{9131A7B2-5002-4909-AF09-3A8448CA1484}">
    <text xml:space="preserve">Comenzar por un verbo en infinitivo
</text>
  </threadedComment>
  <threadedComment ref="H79" personId="{0D197112-F0BF-4185-B04F-DC21B6E0FC94}" id="{BF65B3BB-A80C-4DD9-8877-5657F0B9C177}">
    <text xml:space="preserve">Denominación del indicador según Resolución 667: Índice de calidad de aire en las localidades de especial interés por contaminación atmosférica
</text>
  </threadedComment>
  <threadedComment ref="B80" personId="{0D197112-F0BF-4185-B04F-DC21B6E0FC94}" id="{9131A7B2-5002-490A-AF09-3A8448CA1484}">
    <text xml:space="preserve">Comenzar por un verbo en infinitivo
</text>
  </threadedComment>
  <threadedComment ref="H80" personId="{0D197112-F0BF-4185-B04F-DC21B6E0FC94}" id="{BF65B3BB-A80C-4DDA-8877-5657F0B9C177}">
    <text xml:space="preserve">Denominación del indicador según Resolución 667: Índice de calidad de aire en las localidades de especial interés por contaminación atmosférica
</text>
  </threadedComment>
  <threadedComment ref="B81" personId="{0D197112-F0BF-4185-B04F-DC21B6E0FC94}" id="{9131A7B2-5002-490B-AF09-3A8448CA1484}">
    <text xml:space="preserve">Comenzar por un verbo en infinitivo
</text>
  </threadedComment>
  <threadedComment ref="H81" personId="{0D197112-F0BF-4185-B04F-DC21B6E0FC94}" id="{BF65B3BB-A80C-4DDB-8877-5657F0B9C177}">
    <text xml:space="preserve">Denominación del indicador según Resolución 667: Índice de calidad de aire en las localidades de especial interés por contaminación atmosférica
</text>
  </threadedComment>
  <threadedComment ref="B82" personId="{0D197112-F0BF-4185-B04F-DC21B6E0FC94}" id="{9131A7B2-5002-490C-AF09-3A8448CA1484}">
    <text xml:space="preserve">Comenzar por un verbo en infinitivo
</text>
  </threadedComment>
  <threadedComment ref="B83" personId="{0D197112-F0BF-4185-B04F-DC21B6E0FC94}" id="{9131A7B2-5002-490D-AF09-3A8448CA1484}">
    <text xml:space="preserve">Comenzar por un verbo en infinitivo
</text>
  </threadedComment>
  <threadedComment ref="B84" personId="{0D197112-F0BF-4185-B04F-DC21B6E0FC94}" id="{9131A7B2-5002-490E-AF09-3A8448CA1484}">
    <text xml:space="preserve">Comenzar por un verbo en infinitivo
</text>
  </threadedComment>
  <threadedComment ref="B85" personId="{0D197112-F0BF-4185-B04F-DC21B6E0FC94}" id="{9131A7B2-5002-490F-AF09-3A8448CA1484}">
    <text xml:space="preserve">Comenzar por un verbo en infinitivo
</text>
  </threadedComment>
  <threadedComment ref="B86" personId="{0D197112-F0BF-4185-B04F-DC21B6E0FC94}" id="{9131A7B2-5002-4910-AF09-3A8448CA1484}">
    <text xml:space="preserve">Comenzar por un verbo en infinitivo
</text>
  </threadedComment>
  <threadedComment ref="H86" personId="{9B2E5DE9-CDCF-4638-A9E9-F0F1DB79FF9B}" id="{737F5CA4-0C2C-4712-A46F-CE97990BCD36}">
    <text>Se calcula empresas con planes de movildiad / Número de empresas</text>
  </threadedComment>
  <threadedComment ref="B87" personId="{0D197112-F0BF-4185-B04F-DC21B6E0FC94}" id="{9131A7B2-5002-4911-AF09-3A8448CA1484}">
    <text xml:space="preserve">Comenzar por un verbo en infinitivo
</text>
  </threadedComment>
  <threadedComment ref="B88" personId="{0D197112-F0BF-4185-B04F-DC21B6E0FC94}" id="{9131A7B2-5002-4912-AF09-3A8448CA1484}">
    <text xml:space="preserve">Comenzar por un verbo en infinitivo
</text>
  </threadedComment>
  <threadedComment ref="H88" personId="{0D197112-F0BF-4185-B04F-DC21B6E0FC94}" id="{31C23CBE-D979-4807-AE0A-310E91BB39AD}">
    <text xml:space="preserve">Denominación del indicador según Resolución 667: Índice de calidad de aire en las localidades de especial interés por contaminación atmosférica
</text>
  </threadedComment>
  <threadedComment ref="B89" personId="{0D197112-F0BF-4185-B04F-DC21B6E0FC94}" id="{9131A7B2-5002-4913-AF09-3A8448CA1484}">
    <text xml:space="preserve">Comenzar por un verbo en infinitivo
</text>
  </threadedComment>
  <threadedComment ref="B90" personId="{0D197112-F0BF-4185-B04F-DC21B6E0FC94}" id="{9131A7B2-5002-4914-AF09-3A8448CA1484}">
    <text xml:space="preserve">Comenzar por un verbo en infinitivo
</text>
  </threadedComment>
  <threadedComment ref="H90" personId="{0D197112-F0BF-4185-B04F-DC21B6E0FC94}" id="{8F02EF76-68EE-4C2C-83D2-51634629DC97}">
    <text>El Índice de Desempeño Institucional (IEDI) de las Corporaciones Autónomas Regionales y de Desarrollo Sostenible mide el desempeño institucional en el marco de las funciones misionales asignadas por la Ley 99 de 1993 y las relacionadas con el ejercicio de las funciones administrativas y los principios del Buen Gobierno.
NOTA: Fortalecer la red de monitorio de aire</text>
  </threadedComment>
  <threadedComment ref="B91" personId="{0D197112-F0BF-4185-B04F-DC21B6E0FC94}" id="{9131A7B2-5002-4915-AF09-3A8448CA1484}">
    <text xml:space="preserve">Comenzar por un verbo en infinitivo
</text>
  </threadedComment>
  <threadedComment ref="H91" personId="{0D197112-F0BF-4185-B04F-DC21B6E0FC94}" id="{B6E84E01-DDEB-4CFF-A215-C09A420C32E4}">
    <text xml:space="preserve">Se entiende que un municipio tiene capacidad alta cuando cumple tres o más de los criterios que se exponen a continuación: 
Anualmente presentan informe anual de cumplimiento de las acciones ejecutadas derivadas del acta de concertación de su POT y de las funciones ambientales de la Ley 99 de 1993. 
Ejecuta el 1% de sus ingresos corrientes para la adquisición y mantenimiento de áreas de interés para acueductos municipales o para financiar esquemas de pago por servicios ambientales (artículo 111° Ley 99 de 1993).  
Tiene definido al menos una persona dedicada a las funciones ambientales 
Anualmente realizan al menos una intervención directa con una organización comunitaria reconocida para la gestión del patrimonio ambiental.  
Si el municipio cumple uno de los criterios se considera que tiene una capacidad baja. Si cumple dos de los criterios se considera que tiene capacidad media.  
</text>
  </threadedComment>
  <threadedComment ref="B92" personId="{0D197112-F0BF-4185-B04F-DC21B6E0FC94}" id="{9131A7B2-5002-4916-AF09-3A8448CA1484}">
    <text xml:space="preserve">Comenzar por un verbo en infinitivo
</text>
  </threadedComment>
  <threadedComment ref="B93" personId="{0D197112-F0BF-4185-B04F-DC21B6E0FC94}" id="{9131A7B2-5002-4917-AF09-3A8448CA1484}">
    <text xml:space="preserve">Comenzar por un verbo en infinitivo
</text>
  </threadedComment>
  <threadedComment ref="B94" personId="{0D197112-F0BF-4185-B04F-DC21B6E0FC94}" id="{9131A7B2-5002-4918-AF09-3A8448CA1484}">
    <text xml:space="preserve">Comenzar por un verbo en infinitivo
</text>
  </threadedComment>
  <threadedComment ref="B95" personId="{0D197112-F0BF-4185-B04F-DC21B6E0FC94}" id="{9131A7B2-5002-4919-AF09-3A8448CA1484}">
    <text xml:space="preserve">Comenzar por un verbo en infinitivo
</text>
  </threadedComment>
  <threadedComment ref="F95" personId="{9B2E5DE9-CDCF-4638-A9E9-F0F1DB79FF9B}" id="{630B6AC9-8425-4866-A99D-0B85BB4B0778}">
    <text>Parques Nacionales, ANLA, Corporaciones vecinas</text>
  </threadedComment>
  <threadedComment ref="H95" personId="{0D197112-F0BF-4185-B04F-DC21B6E0FC94}" id="{E1E61065-F27A-4A90-BD56-18E672D2F399}">
    <text xml:space="preserve">2019-10-09: inicialmente el indicador aparecia así: "Instrumentos de Planificación Ambiental Interinstitucional presentes en el territorio armonizados y orientados a una gestión articulada hacia la sostenibilidad ambiental del territorio"
</text>
  </threadedComment>
  <threadedComment ref="B96" personId="{0D197112-F0BF-4185-B04F-DC21B6E0FC94}" id="{9131A7B2-5002-491A-AF09-3A8448CA1484}">
    <text xml:space="preserve">Comenzar por un verbo en infinitivo
</text>
  </threadedComment>
  <threadedComment ref="B97" personId="{0D197112-F0BF-4185-B04F-DC21B6E0FC94}" id="{9131A7B2-5002-491B-AF09-3A8448CA1484}">
    <text xml:space="preserve">Comenzar por un verbo en infinitivo
</text>
  </threadedComment>
  <threadedComment ref="B98" personId="{0D197112-F0BF-4185-B04F-DC21B6E0FC94}" id="{9131A7B2-5002-491C-AF09-3A8448CA1484}">
    <text xml:space="preserve">Comenzar por un verbo en infinitivo
</text>
  </threadedComment>
  <threadedComment ref="B99" personId="{0D197112-F0BF-4185-B04F-DC21B6E0FC94}" id="{9131A7B2-5002-491D-AF09-3A8448CA1484}">
    <text xml:space="preserve">Comenzar por un verbo en infinitivo
</text>
  </threadedComment>
  <threadedComment ref="B100" personId="{0D197112-F0BF-4185-B04F-DC21B6E0FC94}" id="{9131A7B2-5002-491E-AF09-3A8448CA1484}">
    <text xml:space="preserve">Comenzar por un verbo en infinitivo
</text>
  </threadedComment>
  <threadedComment ref="B101" personId="{0D197112-F0BF-4185-B04F-DC21B6E0FC94}" id="{9131A7B2-5002-491F-AF09-3A8448CA1484}">
    <text xml:space="preserve">Comenzar por un verbo en infinitivo
</text>
  </threadedComment>
  <threadedComment ref="B102" personId="{0D197112-F0BF-4185-B04F-DC21B6E0FC94}" id="{9131A7B2-5002-4920-AF09-3A8448CA1484}">
    <text xml:space="preserve">Comenzar por un verbo en infinitivo
</text>
  </threadedComment>
  <threadedComment ref="B103" personId="{0D197112-F0BF-4185-B04F-DC21B6E0FC94}" id="{9131A7B2-5002-4921-AF09-3A8448CA1484}">
    <text xml:space="preserve">Comenzar por un verbo en infinitivo
</text>
  </threadedComment>
  <threadedComment ref="B104" personId="{0D197112-F0BF-4185-B04F-DC21B6E0FC94}" id="{9131A7B2-5002-4922-AF09-3A8448CA1484}">
    <text xml:space="preserve">Comenzar por un verbo en infinitivo
</text>
  </threadedComment>
  <threadedComment ref="B105" personId="{0D197112-F0BF-4185-B04F-DC21B6E0FC94}" id="{9131A7B2-5002-4923-AF09-3A8448CA1484}">
    <text xml:space="preserve">Comenzar por un verbo en infinitivo
</text>
  </threadedComment>
  <threadedComment ref="B106" personId="{0D197112-F0BF-4185-B04F-DC21B6E0FC94}" id="{9131A7B2-5002-4924-AF09-3A8448CA1484}">
    <text xml:space="preserve">Comenzar por un verbo en infinitivo
</text>
  </threadedComment>
  <threadedComment ref="B107" personId="{0D197112-F0BF-4185-B04F-DC21B6E0FC94}" id="{9131A7B2-5002-4925-AF09-3A8448CA1484}">
    <text xml:space="preserve">Comenzar por un verbo en infinitivo
</text>
  </threadedComment>
  <threadedComment ref="B108" personId="{0D197112-F0BF-4185-B04F-DC21B6E0FC94}" id="{9131A7B2-5002-4926-AF09-3A8448CA1484}">
    <text xml:space="preserve">Comenzar por un verbo en infinitivo
</text>
  </threadedComment>
  <threadedComment ref="B109" personId="{0D197112-F0BF-4185-B04F-DC21B6E0FC94}" id="{9131A7B2-5002-4927-AF09-3A8448CA1484}">
    <text xml:space="preserve">Comenzar por un verbo en infinitivo
</text>
  </threadedComment>
  <threadedComment ref="B110" personId="{0D197112-F0BF-4185-B04F-DC21B6E0FC94}" id="{9131A7B2-5002-4928-AF09-3A8448CA1484}">
    <text xml:space="preserve">Comenzar por un verbo en infinitivo
</text>
  </threadedComment>
  <threadedComment ref="H110" personId="{9B2E5DE9-CDCF-4638-A9E9-F0F1DB79FF9B}" id="{D1649DDB-7CAB-49BE-ADC1-87908A89B041}">
    <text>nombrar</text>
  </threadedComment>
  <threadedComment ref="B111" personId="{0D197112-F0BF-4185-B04F-DC21B6E0FC94}" id="{9131A7B2-5002-4929-AF09-3A8448CA1484}">
    <text xml:space="preserve">Comenzar por un verbo en infinitivo
</text>
  </threadedComment>
  <threadedComment ref="K111" personId="{9B2E5DE9-CDCF-4638-A9E9-F0F1DB79FF9B}" id="{CE85494B-4DA4-48F5-A215-A9C725ADF965}">
    <text>Tener en cuenta:
Allto: excelente y sobresaliente
Media: aceptable
Bajo: deficiente
variables a evaluar:
Tiempo de respuesta
Atención
Pertinencia
Transparencia
Satisfacción</text>
  </threadedComment>
  <threadedComment ref="B112" personId="{0D197112-F0BF-4185-B04F-DC21B6E0FC94}" id="{9131A7B2-5002-492A-AF09-3A8448CA1484}">
    <text xml:space="preserve">Comenzar por un verbo en infinitivo
</text>
  </threadedComment>
  <threadedComment ref="B113" personId="{0D197112-F0BF-4185-B04F-DC21B6E0FC94}" id="{9131A7B2-5002-492B-AF09-3A8448CA1484}">
    <text xml:space="preserve">Comenzar por un verbo en infinitivo
</text>
  </threadedComment>
  <threadedComment ref="H113" personId="{9B2E5DE9-CDCF-4638-A9E9-F0F1DB79FF9B}" id="{00036046-D2B4-4963-AF57-FAF0F33A836B}">
    <text xml:space="preserve">
Cultura y comunicaciones proponene este indicador:
Entes territoriales que incorporacn la comunicación y la educación ambiental en sus instrumentos de planeaciónl</text>
  </threadedComment>
  <threadedComment ref="K113" personId="{9B2E5DE9-CDCF-4638-A9E9-F0F1DB79FF9B}" id="{2760182B-F47A-4ED7-97DD-74340198486D}">
    <text xml:space="preserve">
Asociado al indicador propuesto:
Entes territoriales que incorporacn la comunicación y la educación ambiental en sus instrumentos de planeaciónl</text>
  </threadedComment>
  <threadedComment ref="B114" personId="{0D197112-F0BF-4185-B04F-DC21B6E0FC94}" id="{9131A7B2-5002-492C-AF09-3A8448CA1484}">
    <text xml:space="preserve">Comenzar por un verbo en infinitivo
</text>
  </threadedComment>
  <threadedComment ref="B115" personId="{0D197112-F0BF-4185-B04F-DC21B6E0FC94}" id="{9131A7B2-5002-492D-AF09-3A8448CA1484}">
    <text xml:space="preserve">Comenzar por un verbo en infinitivo
</text>
  </threadedComment>
  <threadedComment ref="B116" personId="{0D197112-F0BF-4185-B04F-DC21B6E0FC94}" id="{9131A7B2-5002-492E-AF09-3A8448CA1484}">
    <text xml:space="preserve">Comenzar por un verbo en infinitivo
</text>
  </threadedComment>
  <threadedComment ref="B117" personId="{0D197112-F0BF-4185-B04F-DC21B6E0FC94}" id="{9131A7B2-5002-492F-AF09-3A8448CA1484}">
    <text xml:space="preserve">Comenzar por un verbo en infinitivo
</text>
  </threadedComment>
  <threadedComment ref="B118" personId="{0D197112-F0BF-4185-B04F-DC21B6E0FC94}" id="{9131A7B2-5002-4930-AF09-3A8448CA1484}">
    <text xml:space="preserve">Comenzar por un verbo en infinitivo
</text>
  </threadedComment>
  <threadedComment ref="B119" personId="{0D197112-F0BF-4185-B04F-DC21B6E0FC94}" id="{9131A7B2-5002-4931-AF09-3A8448CA1484}">
    <text xml:space="preserve">Comenzar por un verbo en infinitivo
</text>
  </threadedComment>
  <threadedComment ref="B120" personId="{0D197112-F0BF-4185-B04F-DC21B6E0FC94}" id="{9131A7B2-5002-4932-AF09-3A8448CA1484}">
    <text xml:space="preserve">Comenzar por un verbo en infinitivo
</text>
  </threadedComment>
</ThreadedComments>
</file>

<file path=xl/threadedComments/threadedComment2.xml><?xml version="1.0" encoding="utf-8"?>
<ThreadedComments xmlns="http://schemas.microsoft.com/office/spreadsheetml/2018/threadedcomments" xmlns:x="http://schemas.openxmlformats.org/spreadsheetml/2006/main">
  <threadedComment ref="A2" personId="{0D197112-F0BF-4185-B04F-DC21B6E0FC94}" id="{9131A7B2-5002-4933-AF09-3A8448CA1484}">
    <text xml:space="preserve">Comenzar por un verbo en infinitivo
</text>
  </threadedComment>
  <threadedComment ref="B3" personId="{0D197112-F0BF-4185-B04F-DC21B6E0FC94}" id="{9017E411-D7AF-4785-91F3-277CFE0A3143}">
    <text xml:space="preserve">Iniciar con verbo conjugado
</text>
  </threadedComment>
  <threadedComment ref="D3" personId="{0D197112-F0BF-4185-B04F-DC21B6E0FC94}" id="{C44B7C0D-417B-4120-A0E6-E0122D4CEFDA}">
    <text>Inicia con un verbo en infinitivo.</text>
  </threadedComment>
  <threadedComment ref="F4" personId="{0D197112-F0BF-4185-B04F-DC21B6E0FC94}" id="{146767DE-5B9A-4E7A-A6AF-4661BD22412F}">
    <text xml:space="preserve">Antes: Área de frontera agropecuaria asociada a los sectores productivos agropecuarios con pactos de cero deforestación (ha) 
</text>
  </threadedComment>
  <threadedComment ref="H4" personId="{0D197112-F0BF-4185-B04F-DC21B6E0FC94}" id="{D60454FA-7C35-4E07-9948-81C673D72D47}">
    <text>Antes: 0 ha delimitadas
Mapa agroecosistemas IDEAM 2017, Mapa Deforestacion de IDEAM 2018, Mapa POF Corantioquia 2019.</text>
  </threadedComment>
  <threadedComment ref="O4" personId="{0D197112-F0BF-4185-B04F-DC21B6E0FC94}" id="{7D1CB343-5DCB-4F24-9495-327BDA8CF58A}">
    <text>Antes: 0 ha delimitadas
Mapa agroecosistemas IDEAM 2017, Mapa Deforestacion de IDEAM 2018, Mapa POF Corantioquia 2019.</text>
  </threadedComment>
  <threadedComment ref="F5" personId="{574274F8-2895-43D9-8DA1-38C90C1F0B7E}" id="{00F9E878-9A1A-45A4-8F36-B22F718D4F4F}">
    <text>2019-11-07. Ana Maria Castano Rivas:
Estos indicadores requieren de una unidad de analisis de información que pueda proveer datos a partir de imágenes (SIG)
Pérdida de área de ecosistemas asociado a sectores productivos priorizados con respecto a línea base 2010 en bosque. Se elimina, no hay capacidad de medición actualmente.
Disminución del número de ha degradadas de bosque (ha). Se elimina, no hay capacidad de medición actualmente.
Disminución de la tasa de pérdida de bosques . Se fusiona con este indicador.</text>
  </threadedComment>
  <threadedComment ref="H5" personId="{0D197112-F0BF-4185-B04F-DC21B6E0FC94}" id="{AC1CE358-27EF-437E-A20C-0A98A3E3B045}">
    <text>Antes: 0 ha delimitadas
Mapa agroecosistemas IDEAM 2017
Mapa Deforestacion de IDEAM 2018
Mapa POF Corantioquia 2019.</text>
  </threadedComment>
  <threadedComment ref="O5" personId="{0D197112-F0BF-4185-B04F-DC21B6E0FC94}" id="{531F404F-1791-4A76-A5AD-F6E40B2ACF72}">
    <text>Antes: 0 ha delimitadas
Mapa agroecosistemas IDEAM 2017
Mapa Deforestacion de IDEAM 2018
Mapa POF Corantioquia 2019.</text>
  </threadedComment>
  <threadedComment ref="F6" personId="{0D197112-F0BF-4185-B04F-DC21B6E0FC94}" id="{B0C5EA81-B3A4-4BC3-BD1E-B63745DF4011}">
    <text>2019-10-09: Indicador anterior "Porcentaje de zonas de producción agropecuaria gestionadas de manera sostenible, garantizándose la conservación de la diversidad biológica"
Para ello se realizaran Acuerdos cero deforestación consolidados y en implementación, según plan acordado, de cadenas de producción priorizadas</text>
  </threadedComment>
  <threadedComment ref="P6" personId="{0D197112-F0BF-4185-B04F-DC21B6E0FC94}" id="{EDCFF8CE-7557-4E1A-911A-BCFBA4BB0754}">
    <text xml:space="preserve">2019-10-09: Meta indicador anterior. Colombia: El 100% de las zonas de producción agropecuaria gestionadas de manera sostenible, garantizándose la conservación de la diversidad biológica. 
PGAR: 100% 
</text>
  </threadedComment>
  <threadedComment ref="D7" personId="{9B2E5DE9-CDCF-4638-A9E9-F0F1DB79FF9B}" id="{9B4DFCC7-4115-4BDB-A92E-21793CD71782}">
    <text>Tener en consideración la áreas suburbuna en términos de desarrollo de actividad agropecuaria.
Revisar Resolución de agricultura familiar de la UPRA
Mapa de la UPRA
(Llevar a Línea 3, relacioado a vulnerabilidad)</text>
  </threadedComment>
  <threadedComment ref="O7" personId="{0D197112-F0BF-4185-B04F-DC21B6E0FC94}" id="{0BD2D59A-B83A-45AD-B77F-CB2566B9531F}">
    <text>Política de crecimiento verde</text>
  </threadedComment>
  <threadedComment ref="D9" personId="{0D197112-F0BF-4185-B04F-DC21B6E0FC94}" id="{665F38CB-0B3A-4F2A-8CCA-AA5C28A1B666}">
    <text xml:space="preserve">2019-10-10: Este reto inicialmente estaba asociado al Componente 6. La ciudadanía y sus prácticas cotidianas; pero dada su temática se movió para el reto 4.
</text>
  </threadedComment>
  <threadedComment ref="F9" personId="{9B2E5DE9-CDCF-4638-A9E9-F0F1DB79FF9B}" id="{49BB7BC9-58D8-4DBC-9948-2DE99A07160C}">
    <text xml:space="preserve">Incluir la fracción orgánica en de los residuos rurales </text>
  </threadedComment>
  <threadedComment ref="F10" personId="{9B2E5DE9-CDCF-4638-A9E9-F0F1DB79FF9B}" id="{5F3A65A2-737A-44E0-B7BB-817CB73D29C8}">
    <text xml:space="preserve">
Revisar: crecimiento real en lugar de tasa
Ventas anualizadas negocios verdes
Número de empleo negocios verdes
</text>
  </threadedComment>
  <threadedComment ref="F11" personId="{0D197112-F0BF-4185-B04F-DC21B6E0FC94}" id="{45793A2F-9BA2-4FF6-95B6-D924B3F14F54}">
    <text xml:space="preserve">Según el SI, t: tonelada
Según ISO 80000, a: año
</text>
  </threadedComment>
  <threadedComment ref="F12" personId="{9B2E5DE9-CDCF-4638-A9E9-F0F1DB79FF9B}" id="{E19009C2-F35D-481F-8AA0-68A2065C7CD3}">
    <text>Estudios de paisajes productivos realizados por la UDEA
Definir ecosistema y socioecosistema.
Que permita tener claridad frente a estos</text>
  </threadedComment>
  <threadedComment ref="F13" personId="{0D197112-F0BF-4185-B04F-DC21B6E0FC94}" id="{796286AA-64AB-4BA3-9223-AC2E2A5A8FB9}">
    <text>2019-10-09: Se había sugerido este indicador "Restauración en áreas susceptibles definidas por el Plan Nacional de Restauración Ecológica para la Rehabilitación y Recuperación de Áreas Disturbadas (ha)" pero no se considero pertinente para el reto. El cual fue tomado del Plan de acción de Biodiversidad y cuya meta 1.000.000 ha en proceso de restauración en áreas susceptibles definidas por el Plan Nacional de Restauración Ecológica para la Rehabilitación y Recuperación de Áreas Disturbadas.</text>
  </threadedComment>
  <threadedComment ref="F14" personId="{0D197112-F0BF-4185-B04F-DC21B6E0FC94}" id="{796286AA-64AB-4BA4-9223-AC2E2A5A8FB9}">
    <text>2019-10-09: Se había sugerido este indicador "Restauración en áreas susceptibles definidas por el Plan Nacional de Restauración Ecológica para la Rehabilitación y Recuperación de Áreas Disturbadas (ha)" pero no se considero pertinente para el reto. El cual fue tomado del Plan de acción de Biodiversidad y cuya meta 1.000.000 ha en proceso de restauración en áreas susceptibles definidas por el Plan Nacional de Restauración Ecológica para la Rehabilitación y Recuperación de Áreas Disturbadas.</text>
  </threadedComment>
  <threadedComment ref="F21" personId="{0D197112-F0BF-4185-B04F-DC21B6E0FC94}" id="{D199D387-CD44-4B31-8C7E-5DE3BC757B6F}">
    <text xml:space="preserve">La Subdirección de Gestión Ambiental sugiere eliminar el reto dado que la Matriz está bajo la responsabilidad de las empresas generadoras, las cuales están por fuera de la competencia de la Corporación.
</text>
  </threadedComment>
</ThreadedComments>
</file>

<file path=xl/threadedComments/threadedComment3.xml><?xml version="1.0" encoding="utf-8"?>
<ThreadedComments xmlns="http://schemas.microsoft.com/office/spreadsheetml/2018/threadedcomments" xmlns:x="http://schemas.openxmlformats.org/spreadsheetml/2006/main">
  <threadedComment ref="A2" personId="{0D197112-F0BF-4185-B04F-DC21B6E0FC94}" id="{9131A7B2-5002-4934-AF09-3A8448CA1484}">
    <text xml:space="preserve">Comenzar por un verbo en infinitivo
</text>
  </threadedComment>
  <threadedComment ref="B3" personId="{0D197112-F0BF-4185-B04F-DC21B6E0FC94}" id="{9017E411-D7AF-4786-91F3-277CFE0A3143}">
    <text xml:space="preserve">Iniciar con verbo conjugado
</text>
  </threadedComment>
  <threadedComment ref="D3" personId="{0D197112-F0BF-4185-B04F-DC21B6E0FC94}" id="{C44B7C0D-417B-4121-A0E6-E0122D4CEFDA}">
    <text>Inicia con un verbo en infinitivo.</text>
  </threadedComment>
  <threadedComment ref="D7" personId="{9B2E5DE9-CDCF-4638-A9E9-F0F1DB79FF9B}" id="{C9B77E74-991B-4EAC-86EE-D75683583223}">
    <text>Ajustar reto</text>
  </threadedComment>
  <threadedComment ref="F8" personId="{72114611-076C-4368-A1BE-AF1DD7C4C03A}" id="{6D6740A5-9E3A-424A-9B55-1CA95F36D806}">
    <text>Antes 2019-10-23: Porcentaje (%) de las entidades territoriales de la jurisdicción con su PIGCCT formulado y en concordancia con los 8 PIGCCS.</text>
  </threadedComment>
  <threadedComment ref="F9" personId="{72114611-076C-4368-A1BE-AF1DD7C4C03A}" id="{A7B58CFF-D4E1-4C8D-A98C-58AEACFC4872}">
    <text xml:space="preserve">Antes de 2019-10-23: Porcentaje (%) de las entidades territoriales de la jurisdicción con su PIGCCT en ejecución 
</text>
  </threadedComment>
  <threadedComment ref="F10" personId="{72114611-076C-4368-A1BE-AF1DD7C4C03A}" id="{102A14A9-FEFD-40E2-8773-02CAB95EE68A}">
    <text xml:space="preserve">Fórmula: Residuos totales generados (t/año)/PIB (billones de pesos)
</text>
  </threadedComment>
  <threadedComment ref="O10" personId="{0D197112-F0BF-4185-B04F-DC21B6E0FC94}" id="{54C80A78-D1BF-46A0-97F8-53978B8211CE}">
    <text>▪ PIB Colombia 2017 (Billones de pesos a precios constantes): 832.590
▪ PIB Antioquia 2017 (Billones de pesos a pesos constantes): 121.242</text>
  </threadedComment>
  <threadedComment ref="F11" personId="{72114611-076C-4368-A1BE-AF1DD7C4C03A}" id="{4B60E54B-B2BD-4A19-96BF-D2E577231009}">
    <text>Fórmula: (Residuos totales aprovechados/ Residuos totales aprovechables generados)*100
**Ajustar con fracción orgánico</text>
  </threadedComment>
  <threadedComment ref="F13" personId="{72114611-076C-4368-A1BE-AF1DD7C4C03A}" id="{73DFF8E1-2106-4593-AA61-3D1C4D40CA3F}">
    <text xml:space="preserve">Fórmula: (equipos eliminados/equipos inventariados)*100 
</text>
  </threadedComment>
  <threadedComment ref="P15" personId="{0D197112-F0BF-4185-B04F-DC21B6E0FC94}" id="{8A9FEA88-1CE4-49EA-BF15-765BD47823F2}">
    <text>De acuerdo a la Resolución 667 de 2016, el indicador es “Residuos dispuestos adecuadamente”. Es necesario aclarar que el 100% se calcula sobre los residuos que nos son aprovechados (inservibles + aprovechables no separados en la fuente), no sobre el total de generados.</text>
  </threadedComment>
  <threadedComment ref="P16" personId="{0D197112-F0BF-4185-B04F-DC21B6E0FC94}" id="{5DDF69E7-3205-44FE-B234-E8BF31207DCA}">
    <text>De acuerdo a la Resolución 667 de 2016, el indicador es “Residuos dispuestos adecuadamente”. Es necesario aclarar que el 100% se calcula sobre los residuos que nos son aprovechados (inservibles + aprovechables no separados en la fuente), no sobre el total de generados.</text>
  </threadedComment>
  <threadedComment ref="F17" personId="{0D197112-F0BF-4185-B04F-DC21B6E0FC94}" id="{45793A2F-9BA2-4FF4-95B6-D924B3F14F54}">
    <text xml:space="preserve">Según el SI, t: tonelada
Según ISO 80000, a: año
</text>
  </threadedComment>
  <threadedComment ref="F18" personId="{9B2E5DE9-CDCF-4638-A9E9-F0F1DB79FF9B}" id="{E3E5C3A3-84E0-4E4D-BF4A-F086CC23D6CB}">
    <text>Conversar con Claudia Andrea Díaz</text>
  </threadedComment>
  <threadedComment ref="P23" personId="{0D197112-F0BF-4185-B04F-DC21B6E0FC94}" id="{7700043A-2831-48CC-9246-ED283BC05AD6}">
    <text xml:space="preserve">Verificar la meta con la autoridad sanitaria DSSA 
</text>
  </threadedComment>
  <threadedComment ref="P24" personId="{0D197112-F0BF-4185-B04F-DC21B6E0FC94}" id="{6B5A266D-E029-4F49-B867-4A163B06E8BB}">
    <text xml:space="preserve">Verificar la meta con la autoridad sanitaria DSSA </text>
  </threadedComment>
  <threadedComment ref="F27" personId="{9B2E5DE9-CDCF-4638-A9E9-F0F1DB79FF9B}" id="{57CDB868-90CA-44EE-B680-94CC220D479B}">
    <text>No queda registrada la meta, dadas las dificultades. Se fortalecerá la red</text>
  </threadedComment>
  <threadedComment ref="F29" personId="{574274F8-2895-43D9-8DA1-38C90C1F0B7E}" id="{D410E9E3-B503-496E-8E0A-F87D0D3780AC}">
    <text xml:space="preserve">9.4.1. Intensidad de emisiones de CO2 de las industrias respecto a valor agregado de la industria manufacturera (GIGA_CO2 por $ miles de millones) </text>
  </threadedComment>
  <threadedComment ref="F30" personId="{0D197112-F0BF-4185-B04F-DC21B6E0FC94}" id="{BF65B3BB-A80C-4DDC-8877-5657F0B9C177}">
    <text xml:space="preserve">Denominación del indicador según Resolución 667: Índice de calidad de aire en las localidades de especial interés por contaminación atmosférica
</text>
  </threadedComment>
  <threadedComment ref="F31" personId="{0D197112-F0BF-4185-B04F-DC21B6E0FC94}" id="{BF65B3BB-A80C-4DDD-8877-5657F0B9C177}">
    <text xml:space="preserve">Denominación del indicador según Resolución 667: Índice de calidad de aire en las localidades de especial interés por contaminación atmosférica
</text>
  </threadedComment>
  <threadedComment ref="F32" personId="{0D197112-F0BF-4185-B04F-DC21B6E0FC94}" id="{BF65B3BB-A80C-4DDE-8877-5657F0B9C177}">
    <text xml:space="preserve">Denominación del indicador según Resolución 667: Índice de calidad de aire en las localidades de especial interés por contaminación atmosférica
</text>
  </threadedComment>
  <threadedComment ref="F37" personId="{9B2E5DE9-CDCF-4638-A9E9-F0F1DB79FF9B}" id="{737F5CA4-0C2C-4713-A46F-CE97990BCD36}">
    <text>Se calcula empresas con planes de movildiad / Número de empresas</text>
  </threadedComment>
  <threadedComment ref="F39" personId="{0D197112-F0BF-4185-B04F-DC21B6E0FC94}" id="{31C23CBE-D979-4808-AE0A-310E91BB39AD}">
    <text xml:space="preserve">Denominación del indicador según Resolución 667: Índice de calidad de aire en las localidades de especial interés por contaminación atmosférica
</text>
  </threadedComment>
</ThreadedComments>
</file>

<file path=xl/threadedComments/threadedComment4.xml><?xml version="1.0" encoding="utf-8"?>
<ThreadedComments xmlns="http://schemas.microsoft.com/office/spreadsheetml/2018/threadedcomments" xmlns:x="http://schemas.openxmlformats.org/spreadsheetml/2006/main">
  <threadedComment ref="A2" personId="{0D197112-F0BF-4185-B04F-DC21B6E0FC94}" id="{9131A7B2-5002-4935-AF09-3A8448CA1484}">
    <text xml:space="preserve">Comenzar por un verbo en infinitivo
</text>
  </threadedComment>
  <threadedComment ref="B3" personId="{0D197112-F0BF-4185-B04F-DC21B6E0FC94}" id="{9017E411-D7AF-4787-91F3-277CFE0A3143}">
    <text xml:space="preserve">Iniciar con verbo conjugado
</text>
  </threadedComment>
  <threadedComment ref="D3" personId="{0D197112-F0BF-4185-B04F-DC21B6E0FC94}" id="{C44B7C0D-417B-4122-A0E6-E0122D4CEFDA}">
    <text>Inicia con un verbo en infinitivo.</text>
  </threadedComment>
  <threadedComment ref="F4" personId="{0D197112-F0BF-4185-B04F-DC21B6E0FC94}" id="{8F02EF76-68EE-4C2D-83D2-51634629DC97}">
    <text>El Índice de Desempeño Institucional (IEDI) de las Corporaciones Autónomas Regionales y de Desarrollo Sostenible mide el desempeño institucional en el marco de las funciones misionales asignadas por la Ley 99 de 1993 y las relacionadas con el ejercicio de las funciones administrativas y los principios del Buen Gobierno.
NOTA: Fortalecer la red de monitorio de aire</text>
  </threadedComment>
  <threadedComment ref="F5" personId="{0D197112-F0BF-4185-B04F-DC21B6E0FC94}" id="{B6E84E01-DDEB-4D00-A215-C09A420C32E4}">
    <text xml:space="preserve">Se entiende que un municipio tiene capacidad alta cuando cumple tres o más de los criterios que se exponen a continuación: 
Anualmente presentan informe anual de cumplimiento de las acciones ejecutadas derivadas del acta de concertación de su POT y de las funciones ambientales de la Ley 99 de 1993. 
Ejecuta el 1% de sus ingresos corrientes para la adquisición y mantenimiento de áreas de interés para acueductos municipales o para financiar esquemas de pago por servicios ambientales (artículo 111° Ley 99 de 1993).  
Tiene definido al menos una persona dedicada a las funciones ambientales 
Anualmente realizan al menos una intervención directa con una organización comunitaria reconocida para la gestión del patrimonio ambiental.  
Si el municipio cumple uno de los criterios se considera que tiene una capacidad baja. Si cumple dos de los criterios se considera que tiene capacidad media.  
</text>
  </threadedComment>
  <threadedComment ref="D9" personId="{9B2E5DE9-CDCF-4638-A9E9-F0F1DB79FF9B}" id="{630B6AC9-8425-4867-A99D-0B85BB4B0778}">
    <text>Parques Nacionales, ANLA, Corporaciones vecinas</text>
  </threadedComment>
  <threadedComment ref="F9" personId="{0D197112-F0BF-4185-B04F-DC21B6E0FC94}" id="{E1E61065-F27A-4A91-BD56-18E672D2F399}">
    <text xml:space="preserve">2019-10-09: inicialmente el indicador aparecia así: "Instrumentos de Planificación Ambiental Interinstitucional presentes en el territorio armonizados y orientados a una gestión articulada hacia la sostenibilidad ambiental del territorio"
</text>
  </threadedComment>
  <threadedComment ref="F24" personId="{9B2E5DE9-CDCF-4638-A9E9-F0F1DB79FF9B}" id="{D1649DDB-7CAB-49BF-ADC1-87908A89B041}">
    <text>nombrar</text>
  </threadedComment>
  <threadedComment ref="I25" personId="{9B2E5DE9-CDCF-4638-A9E9-F0F1DB79FF9B}" id="{CE85494B-4DA4-48F6-A215-A9C725ADF965}">
    <text>Tener en cuenta:
Allto: excelente y sobresaliente
Media: aceptable
Bajo: deficiente
variables a evaluar:
Tiempo de respuesta
Atención
Pertinencia
Transparencia
Satisfacción</text>
  </threadedComment>
  <threadedComment ref="F27" personId="{9B2E5DE9-CDCF-4638-A9E9-F0F1DB79FF9B}" id="{00036046-D2B4-4964-AF57-FAF0F33A836B}">
    <text xml:space="preserve">
Cultura y comunicaciones proponene este indicador:
Entes territoriales que incorporacn la comunicación y la educación ambiental en sus instrumentos de planeaciónl</text>
  </threadedComment>
  <threadedComment ref="I27" personId="{9B2E5DE9-CDCF-4638-A9E9-F0F1DB79FF9B}" id="{2760182B-F47A-4ED8-97DD-74340198486D}">
    <text xml:space="preserve">
Asociado al indicador propuesto:
Entes territoriales que incorporacn la comunicación y la educación ambiental en sus instrumentos de planeaciónl</text>
  </threadedComment>
</ThreadedComments>
</file>

<file path=xl/threadedComments/threadedComment5.xml><?xml version="1.0" encoding="utf-8"?>
<ThreadedComments xmlns="http://schemas.microsoft.com/office/spreadsheetml/2018/threadedcomments" xmlns:x="http://schemas.openxmlformats.org/spreadsheetml/2006/main">
  <threadedComment ref="B2" personId="{0D197112-F0BF-4185-B04F-DC21B6E0FC94}" id="{0E200000-86AC-4770-BD8E-6C6A53EA3FFC}">
    <text xml:space="preserve">Otras estrategias de conservación: Rondas hídricas, corredores y demás medidas de la Corporación (zona ribereña), entre otras.
</text>
  </threadedComment>
  <threadedComment ref="O2" personId="{9B2E5DE9-CDCF-4638-A9E9-F0F1DB79FF9B}" id="{630B6AC9-8425-4868-A99D-0B85BB4B0778}">
    <text>Parques Nacionales, ANLA, Corporaciones vecinas</text>
  </threadedComment>
  <threadedComment ref="E3" personId="{9B2E5DE9-CDCF-4638-A9E9-F0F1DB79FF9B}" id="{9B4DFCC7-4115-4BDC-A92E-21793CD71782}">
    <text>Tener en consideración la áreas suburbuna en términos de desarrollo de actividad agropecuaria.
Revisar Resolución de agricultura familiar de la UPRA
Mapa de la UPRA
(Llevar a Línea 3, relacioado a vulnerabilidad)</text>
  </threadedComment>
  <threadedComment ref="J3" personId="{9B2E5DE9-CDCF-4638-A9E9-F0F1DB79FF9B}" id="{C9B77E74-991B-4EAD-86EE-D75683583223}">
    <text>Ajustar reto</text>
  </threadedComment>
  <threadedComment ref="C4" personId="{0D197112-F0BF-4185-B04F-DC21B6E0FC94}" id="{C6AEB886-AE0A-4A52-95D2-A68195266602}">
    <text xml:space="preserve">2019-10-09: El nombre del reto "Armonizar los Planes Integrales de Gestión del Cambio Climático Sectoriales (PIGCCS) con la planeación ambiental" se actualizó.
</text>
  </threadedComment>
  <threadedComment ref="E4" personId="{0D197112-F0BF-4185-B04F-DC21B6E0FC94}" id="{665F38CB-0B3A-4F2B-8CCA-AA5C28A1B666}">
    <text xml:space="preserve">2019-10-10: Este reto inicialmente estaba asociado al Componente 6. La ciudadanía y sus prácticas cotidianas; pero dada su temática se movió para el reto 4.
</text>
  </threadedComment>
  <threadedComment ref="B6" personId="{0D197112-F0BF-4185-B04F-DC21B6E0FC94}" id="{A132D7B2-2BEA-4C22-AFD5-44E944A3BDDD}">
    <text xml:space="preserve">Anteriormente estaba en la línea 3, componente 10
</text>
  </threadedComment>
  <threadedComment ref="B21" personId="{0D197112-F0BF-4185-B04F-DC21B6E0FC94}" id="{A132D7B2-2BEA-4C23-AFD5-44E944A3BDDD}">
    <text xml:space="preserve">Anteriormente estaba en la línea 3, componente 10
</text>
  </threadedComment>
</ThreadedComments>
</file>

<file path=xl/threadedComments/threadedComment6.xml><?xml version="1.0" encoding="utf-8"?>
<ThreadedComments xmlns="http://schemas.microsoft.com/office/spreadsheetml/2018/threadedcomments" xmlns:x="http://schemas.openxmlformats.org/spreadsheetml/2006/main">
  <threadedComment ref="B1" personId="{0D197112-F0BF-4185-B04F-DC21B6E0FC94}" id="{0E200000-86AC-4771-BD8E-6C6A53EA3FFC}">
    <text xml:space="preserve">Otras estrategias de conservación: Rondas hídricas, corredores y demás medidas de la Corporación (zona ribereña), entre otras.
</text>
  </threadedComment>
  <threadedComment ref="F1" personId="{0D197112-F0BF-4185-B04F-DC21B6E0FC94}" id="{A132D7B2-2BEA-4C24-AFD5-44E944A3BDDD}">
    <text xml:space="preserve">Anteriormente estaba en la línea 3, componente 10
</text>
  </threadedComment>
  <threadedComment ref="J1" personId="{0D197112-F0BF-4185-B04F-DC21B6E0FC94}" id="{C6AEB886-AE0A-4A53-95D2-A68195266602}">
    <text xml:space="preserve">2019-10-09: El nombre del reto "Armonizar los Planes Integrales de Gestión del Cambio Climático Sectoriales (PIGCCS) con la planeación ambiental" se actualizó.
</text>
  </threadedComment>
  <threadedComment ref="N1" personId="{9B2E5DE9-CDCF-4638-A9E9-F0F1DB79FF9B}" id="{9B4DFCC7-4115-4BDD-A92E-21793CD71782}">
    <text>Tener en consideración la áreas suburbuna en términos de desarrollo de actividad agropecuaria.
Revisar Resolución de agricultura familiar de la UPRA
Mapa de la UPRA
(Llevar a Línea 3, relacioado a vulnerabilidad)</text>
  </threadedComment>
  <threadedComment ref="O1" personId="{0D197112-F0BF-4185-B04F-DC21B6E0FC94}" id="{665F38CB-0B3A-4F2C-8CCA-AA5C28A1B666}">
    <text xml:space="preserve">2019-10-10: Este reto inicialmente estaba asociado al Componente 6. La ciudadanía y sus prácticas cotidianas; pero dada su temática se movió para el reto 4.
</text>
  </threadedComment>
  <threadedComment ref="W1" personId="{9B2E5DE9-CDCF-4638-A9E9-F0F1DB79FF9B}" id="{C9B77E74-991B-4EAE-86EE-D75683583223}">
    <text>Ajustar reto</text>
  </threadedComment>
  <threadedComment ref="AF1" personId="{9B2E5DE9-CDCF-4638-A9E9-F0F1DB79FF9B}" id="{630B6AC9-8425-4869-A99D-0B85BB4B0778}">
    <text>Parques Nacionales, ANLA, Corporaciones vecinas</text>
  </threadedComment>
  <threadedComment ref="A2" personId="{0D197112-F0BF-4185-B04F-DC21B6E0FC94}" id="{0E200000-86AC-4772-BD8E-6C6A53EA3FFC}">
    <text xml:space="preserve">Otras estrategias de conservación: Rondas hídricas, corredores y demás medidas de la Corporación (zona ribereña), entre otras.
</text>
  </threadedComment>
  <threadedComment ref="C2" personId="{0D197112-F0BF-4185-B04F-DC21B6E0FC94}" id="{CAFD7BA8-0A72-4506-8B03-2BB31EC107DF}">
    <text xml:space="preserve">Este indicador contempla cantidad de agua por ser una relación entre oferta y demanda
Fórmula: Cantidad de niveles subsiguientes o subzonas hidrográficas con IUA muy alto/ Total de niveles subsiguientes o subzonas hidrográficas en la jurisdicción de Corantiquia </text>
  </threadedComment>
  <threadedComment ref="F2" personId="{9B2E5DE9-CDCF-4638-A9E9-F0F1DB79FF9B}" id="{8A30D20C-6D0C-4CE0-B93A-B10E0A348027}">
    <text>Evaluar otro indicador: 
Espacios habilitados para el aprovechamiento de los espacios naturales (públicos y privados)
(Hectáreas o número de predios?)</text>
  </threadedComment>
  <threadedComment ref="H2" personId="{9B2E5DE9-CDCF-4638-A9E9-F0F1DB79FF9B}" id="{2E50CF65-4E3F-45D0-832B-961DDB1FDAB2}">
    <text>Uno de los criterios de la priorización son los municipios con POT 2000 y 2002.
+ aquellos que en su concertación no hayan considerado el decreto 1807, es decir, antes de 2015</text>
  </threadedComment>
  <threadedComment ref="I2" personId="{9B2E5DE9-CDCF-4638-A9E9-F0F1DB79FF9B}" id="{F9EF2110-2768-47CD-B120-FF8990AED8D5}">
    <text>Centrarse o plantear referntes: líneas de orientación en los aspectos que son comunes</text>
  </threadedComment>
  <threadedComment ref="J2" personId="{9B2E5DE9-CDCF-4638-A9E9-F0F1DB79FF9B}" id="{BAA67C36-AF51-4BEE-B7D4-04FA55579072}">
    <text>En el plan de acción, se debe desarrollar una guía pedagógica que oriente sobre este tema</text>
  </threadedComment>
  <threadedComment ref="M2" personId="{0D197112-F0BF-4185-B04F-DC21B6E0FC94}" id="{146767DE-5B9A-4E7B-A6AF-4661BD22412F}">
    <text xml:space="preserve">Antes: Área de frontera agropecuaria asociada a los sectores productivos agropecuarios con pactos de cero deforestación (ha) 
</text>
  </threadedComment>
  <threadedComment ref="O2" personId="{9B2E5DE9-CDCF-4638-A9E9-F0F1DB79FF9B}" id="{49BB7BC9-58D8-4DBD-9948-2DE99A07160C}">
    <text xml:space="preserve">Incluir la fracción orgánica en de los residuos rurales </text>
  </threadedComment>
  <threadedComment ref="P2" personId="{9B2E5DE9-CDCF-4638-A9E9-F0F1DB79FF9B}" id="{E19009C2-F35D-4820-8AA0-68A2065C7CD3}">
    <text>Estudios de paisajes productivos realizados por la UDEA
Definir ecosistema y socioecosistema.
Que permita tener claridad frente a estos</text>
  </threadedComment>
  <threadedComment ref="R2" personId="{0D197112-F0BF-4185-B04F-DC21B6E0FC94}" id="{D199D387-CD44-4B32-8C7E-5DE3BC757B6F}">
    <text xml:space="preserve">La Subdirección de Gestión Ambiental sugiere eliminar el reto dado que la Matriz está bajo la responsabilidad de las empresas generadoras, las cuales están por fuera de la competencia de la Corporación.
</text>
  </threadedComment>
  <threadedComment ref="X2" personId="{72114611-076C-4368-A1BE-AF1DD7C4C03A}" id="{102A14A9-FEFD-40E3-8773-02CAB95EE68A}">
    <text xml:space="preserve">Fórmula: Residuos totales generados (t/año)/PIB (billones de pesos)
</text>
  </threadedComment>
  <threadedComment ref="AA2" personId="{9B2E5DE9-CDCF-4638-A9E9-F0F1DB79FF9B}" id="{57CDB868-90CA-44EF-B680-94CC220D479B}">
    <text>No queda registrada la meta, dadas las dificultades. Se fortalecerá la red</text>
  </threadedComment>
  <threadedComment ref="AE2" personId="{0D197112-F0BF-4185-B04F-DC21B6E0FC94}" id="{8F02EF76-68EE-4C2E-83D2-51634629DC97}">
    <text>El Índice de Desempeño Institucional (IEDI) de las Corporaciones Autónomas Regionales y de Desarrollo Sostenible mide el desempeño institucional en el marco de las funciones misionales asignadas por la Ley 99 de 1993 y las relacionadas con el ejercicio de las funciones administrativas y los principios del Buen Gobierno.
NOTA: Fortalecer la red de monitorio de aire</text>
  </threadedComment>
  <threadedComment ref="AF2" personId="{0D197112-F0BF-4185-B04F-DC21B6E0FC94}" id="{E1E61065-F27A-4A92-BD56-18E672D2F399}">
    <text xml:space="preserve">2019-10-09: inicialmente el indicador aparecia así: "Instrumentos de Planificación Ambiental Interinstitucional presentes en el territorio armonizados y orientados a una gestión articulada hacia la sostenibilidad ambiental del territorio"
</text>
  </threadedComment>
  <threadedComment ref="AO2" personId="{9B2E5DE9-CDCF-4638-A9E9-F0F1DB79FF9B}" id="{D1649DDB-7CAB-49C0-ADC1-87908A89B041}">
    <text>nombrar</text>
  </threadedComment>
  <threadedComment ref="AR2" personId="{9B2E5DE9-CDCF-4638-A9E9-F0F1DB79FF9B}" id="{00036046-D2B4-4965-AF57-FAF0F33A836B}">
    <text xml:space="preserve">
Cultura y comunicaciones proponene este indicador:
Entes territoriales que incorporacn la comunicación y la educación ambiental en sus instrumentos de planeaciónl</text>
  </threadedComment>
  <threadedComment ref="C3" personId="{72114611-076C-4368-A1BE-AF1DD7C4C03A}" id="{A05BB445-3B20-42A9-820E-7C71E22FE878}">
    <text>2019-11-07: Nuevo indicador a incorporar por parte de la Subdirección de Ecosistemas.</text>
  </threadedComment>
  <threadedComment ref="E3" personId="{72114611-076C-4368-A1BE-AF1DD7C4C03A}" id="{ABD339E2-3865-4605-817B-55DC13FE314E}">
    <text>2019-11-07: Nuevo indicador a incorporar por parte de la Subdirección de Ecosistemas.</text>
  </threadedComment>
  <threadedComment ref="F3" personId="{9B2E5DE9-CDCF-4638-A9E9-F0F1DB79FF9B}" id="{8A30D20C-6D0C-4CE1-B93A-B10E0A348027}">
    <text>Evaluar otro indicador: 
Espacios habilitados para el aprovechamiento de los espacios naturales (públicos y privados)
(Hectáreas o número de predios?)</text>
  </threadedComment>
  <threadedComment ref="H3" personId="{9B2E5DE9-CDCF-4638-A9E9-F0F1DB79FF9B}" id="{4E6BD9BB-C596-42AB-94E7-C3CE41043743}">
    <text xml:space="preserve">
Revisar documento orientador o que dan conceptos a las Alcaldía en los planes de desarrollo</text>
  </threadedComment>
  <threadedComment ref="M3" personId="{574274F8-2895-43D9-8DA1-38C90C1F0B7E}" id="{00F9E878-9A1A-45A5-8F36-B22F718D4F4F}">
    <text>2019-11-07. Ana Maria Castano Rivas:
Estos indicadores requieren de una unidad de analisis de información que pueda proveer datos a partir de imágenes (SIG)
Pérdida de área de ecosistemas asociado a sectores productivos priorizados con respecto a línea base 2010 en bosque. Se elimina, no hay capacidad de medición actualmente.
Disminución del número de ha degradadas de bosque (ha). Se elimina, no hay capacidad de medición actualmente.
Disminución de la tasa de pérdida de bosques . Se fusiona con este indicador.</text>
  </threadedComment>
  <threadedComment ref="O3" personId="{9B2E5DE9-CDCF-4638-A9E9-F0F1DB79FF9B}" id="{5F3A65A2-737A-44E1-B7BB-817CB73D29C8}">
    <text xml:space="preserve">
Revisar: crecimiento real en lugar de tasa
Ventas anualizadas negocios verdes
Número de empleo negocios verdes
</text>
  </threadedComment>
  <threadedComment ref="P3" personId="{0D197112-F0BF-4185-B04F-DC21B6E0FC94}" id="{796286AA-64AB-4BA5-9223-AC2E2A5A8FB9}">
    <text>2019-10-09: Se había sugerido este indicador "Restauración en áreas susceptibles definidas por el Plan Nacional de Restauración Ecológica para la Rehabilitación y Recuperación de Áreas Disturbadas (ha)" pero no se considero pertinente para el reto. El cual fue tomado del Plan de acción de Biodiversidad y cuya meta 1.000.000 ha en proceso de restauración en áreas susceptibles definidas por el Plan Nacional de Restauración Ecológica para la Rehabilitación y Recuperación de Áreas Disturbadas.</text>
  </threadedComment>
  <threadedComment ref="W3" personId="{72114611-076C-4368-A1BE-AF1DD7C4C03A}" id="{6D6740A5-9E3A-424B-9B55-1CA95F36D806}">
    <text>Antes 2019-10-23: Porcentaje (%) de las entidades territoriales de la jurisdicción con su PIGCCT formulado y en concordancia con los 8 PIGCCS.</text>
  </threadedComment>
  <threadedComment ref="X3" personId="{72114611-076C-4368-A1BE-AF1DD7C4C03A}" id="{4B60E54B-B2BD-4A1A-96BF-D2E577231009}">
    <text>Fórmula: (Residuos totales aprovechados/ Residuos totales aprovechables generados)*100
**Ajustar con fracción orgánico</text>
  </threadedComment>
  <threadedComment ref="AC3" personId="{9B2E5DE9-CDCF-4638-A9E9-F0F1DB79FF9B}" id="{737F5CA4-0C2C-4714-A46F-CE97990BCD36}">
    <text>Se calcula empresas con planes de movildiad / Número de empresas</text>
  </threadedComment>
  <threadedComment ref="AE3" personId="{0D197112-F0BF-4185-B04F-DC21B6E0FC94}" id="{B6E84E01-DDEB-4D01-A215-C09A420C32E4}">
    <text xml:space="preserve">Se entiende que un municipio tiene capacidad alta cuando cumple tres o más de los criterios que se exponen a continuación: 
Anualmente presentan informe anual de cumplimiento de las acciones ejecutadas derivadas del acta de concertación de su POT y de las funciones ambientales de la Ley 99 de 1993. 
Ejecuta el 1% de sus ingresos corrientes para la adquisición y mantenimiento de áreas de interés para acueductos municipales o para financiar esquemas de pago por servicios ambientales (artículo 111° Ley 99 de 1993).  
Tiene definido al menos una persona dedicada a las funciones ambientales 
Anualmente realizan al menos una intervención directa con una organización comunitaria reconocida para la gestión del patrimonio ambiental.  
Si el municipio cumple uno de los criterios se considera que tiene una capacidad baja. Si cumple dos de los criterios se considera que tiene capacidad media.  
</text>
  </threadedComment>
  <threadedComment ref="M4" personId="{0D197112-F0BF-4185-B04F-DC21B6E0FC94}" id="{B0C5EA81-B3A4-4BC4-BD1E-B63745DF4011}">
    <text>2019-10-09: Indicador anterior "Porcentaje de zonas de producción agropecuaria gestionadas de manera sostenible, garantizándose la conservación de la diversidad biológica"
Para ello se realizaran Acuerdos cero deforestación consolidados y en implementación, según plan acordado, de cadenas de producción priorizadas</text>
  </threadedComment>
  <threadedComment ref="O4" personId="{0D197112-F0BF-4185-B04F-DC21B6E0FC94}" id="{45793A2F-9BA2-4FF7-95B6-D924B3F14F54}">
    <text xml:space="preserve">Según el SI, t: tonelada
Según ISO 80000, a: año
</text>
  </threadedComment>
  <threadedComment ref="W4" personId="{72114611-076C-4368-A1BE-AF1DD7C4C03A}" id="{A7B58CFF-D4E1-4C8E-A98C-58AEACFC4872}">
    <text xml:space="preserve">Antes de 2019-10-23: Porcentaje (%) de las entidades territoriales de la jurisdicción con su PIGCCT en ejecución 
</text>
  </threadedComment>
  <threadedComment ref="AA4" personId="{574274F8-2895-43D9-8DA1-38C90C1F0B7E}" id="{D410E9E3-B503-496F-8E0A-F87D0D3780AC}">
    <text xml:space="preserve">9.4.1. Intensidad de emisiones de CO2 de las industrias respecto a valor agregado de la industria manufacturera (GIGA_CO2 por $ miles de millones) </text>
  </threadedComment>
  <threadedComment ref="X5" personId="{72114611-076C-4368-A1BE-AF1DD7C4C03A}" id="{73DFF8E1-2106-4594-AA61-3D1C4D40CA3F}">
    <text xml:space="preserve">Fórmula: (equipos eliminados/equipos inventariados)*100 
</text>
  </threadedComment>
  <threadedComment ref="AA5" personId="{0D197112-F0BF-4185-B04F-DC21B6E0FC94}" id="{BF65B3BB-A80C-4DDF-8877-5657F0B9C177}">
    <text xml:space="preserve">Denominación del indicador según Resolución 667: Índice de calidad de aire en las localidades de especial interés por contaminación atmosférica
</text>
  </threadedComment>
  <threadedComment ref="AC5" personId="{0D197112-F0BF-4185-B04F-DC21B6E0FC94}" id="{31C23CBE-D979-4809-AE0A-310E91BB39AD}">
    <text xml:space="preserve">Denominación del indicador según Resolución 667: Índice de calidad de aire en las localidades de especial interés por contaminación atmosférica
</text>
  </threadedComment>
  <threadedComment ref="A6" personId="{0D197112-F0BF-4185-B04F-DC21B6E0FC94}" id="{A132D7B2-2BEA-4C25-AFD5-44E944A3BDDD}">
    <text xml:space="preserve">Anteriormente estaba en la línea 3, componente 10
</text>
  </threadedComment>
  <threadedComment ref="AA6" personId="{0D197112-F0BF-4185-B04F-DC21B6E0FC94}" id="{BF65B3BB-A80C-4DE0-8877-5657F0B9C177}">
    <text xml:space="preserve">Denominación del indicador según Resolución 667: Índice de calidad de aire en las localidades de especial interés por contaminación atmosférica
</text>
  </threadedComment>
  <threadedComment ref="AA7" personId="{0D197112-F0BF-4185-B04F-DC21B6E0FC94}" id="{BF65B3BB-A80C-4DE1-8877-5657F0B9C177}">
    <text xml:space="preserve">Denominación del indicador según Resolución 667: Índice de calidad de aire en las localidades de especial interés por contaminación atmosférica
</text>
  </threadedComment>
  <threadedComment ref="C9" personId="{0D197112-F0BF-4185-B04F-DC21B6E0FC94}" id="{1DB15362-4F3F-4232-97FD-EACE46420FE7}">
    <text>Fórmula de cálculo:
Número de cuerpos de agua con reglamentación de uso / número de cuerpos de agua priorizados en el Plan Hídrico Nacional</text>
  </threadedComment>
  <threadedComment ref="X9" personId="{0D197112-F0BF-4185-B04F-DC21B6E0FC94}" id="{45793A2F-9BA2-4FF5-95B6-D924B3F14F54}">
    <text xml:space="preserve">Según el SI, t: tonelada
Según ISO 80000, a: año
</text>
  </threadedComment>
  <threadedComment ref="A10" personId="{0D197112-F0BF-4185-B04F-DC21B6E0FC94}" id="{C6AEB886-AE0A-4A54-95D2-A68195266602}">
    <text xml:space="preserve">2019-10-09: El nombre del reto "Armonizar los Planes Integrales de Gestión del Cambio Climático Sectoriales (PIGCCS) con la planeación ambiental" se actualizó.
</text>
  </threadedComment>
  <threadedComment ref="C10" personId="{0D197112-F0BF-4185-B04F-DC21B6E0FC94}" id="{2304743B-96E2-4297-92B0-EE289D671565}">
    <text>Fórmula de cálculo:
Número de cuerpos de agua con objetivos de calidad alcanzados / número de cuerpos de agua con objetivo de calidad establecido mediante Resolución Corporativa.
Se ajustó el nombre del indicador y la meta (Jorge Ignacio Gaviria).</text>
  </threadedComment>
  <threadedComment ref="X10" personId="{9B2E5DE9-CDCF-4638-A9E9-F0F1DB79FF9B}" id="{E3E5C3A3-84E0-4E4E-BF4A-F086CC23D6CB}">
    <text>Conversar con Claudia Andrea Díaz</text>
  </threadedComment>
  <threadedComment ref="C11" personId="{0D197112-F0BF-4185-B04F-DC21B6E0FC94}" id="{2304743B-96E2-4298-92B0-EE289D671565}">
    <text>Fórmula de cálculo:
Número de cuerpos de agua con objetivos de calidad alcanzados / número de cuerpos de agua con objetivo de calidad establecido mediante Resolución Corporativa.
Se ajustó el nombre del indicador y la meta (Jorge Ignacio Gaviria).</text>
  </threadedComment>
  <threadedComment ref="A14" personId="{9B2E5DE9-CDCF-4638-A9E9-F0F1DB79FF9B}" id="{9B4DFCC7-4115-4BDE-A92E-21793CD71782}">
    <text>Tener en consideración la áreas suburbuna en términos de desarrollo de actividad agropecuaria.
Revisar Resolución de agricultura familiar de la UPRA
Mapa de la UPRA
(Llevar a Línea 3, relacioado a vulnerabilidad)</text>
  </threadedComment>
  <threadedComment ref="A15" personId="{0D197112-F0BF-4185-B04F-DC21B6E0FC94}" id="{665F38CB-0B3A-4F2D-8CCA-AA5C28A1B666}">
    <text xml:space="preserve">2019-10-10: Este reto inicialmente estaba asociado al Componente 6. La ciudadanía y sus prácticas cotidianas; pero dada su temática se movió para el reto 4.
</text>
  </threadedComment>
  <threadedComment ref="A23" personId="{9B2E5DE9-CDCF-4638-A9E9-F0F1DB79FF9B}" id="{C9B77E74-991B-4EAF-86EE-D75683583223}">
    <text>Ajustar reto</text>
  </threadedComment>
  <threadedComment ref="A32" personId="{9B2E5DE9-CDCF-4638-A9E9-F0F1DB79FF9B}" id="{630B6AC9-8425-486A-A99D-0B85BB4B0778}">
    <text>Parques Nacionales, ANLA, Corporaciones vecinas</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microsoft.com/office/2017/10/relationships/threadedComment" Target="../threadedComments/threadedComment3.xml"/><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microsoft.com/office/2017/10/relationships/threadedComment" Target="../threadedComments/threadedComment4.xml"/><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2.bin"/><Relationship Id="rId4" Type="http://schemas.microsoft.com/office/2017/10/relationships/threadedComment" Target="../threadedComments/threadedComment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7.xml"/><Relationship Id="rId1" Type="http://schemas.openxmlformats.org/officeDocument/2006/relationships/printerSettings" Target="../printerSettings/printerSettings13.bin"/><Relationship Id="rId5" Type="http://schemas.microsoft.com/office/2017/10/relationships/threadedComment" Target="../threadedComments/threadedComment6.xml"/><Relationship Id="rId4" Type="http://schemas.openxmlformats.org/officeDocument/2006/relationships/comments" Target="../comments9.x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G68"/>
  <sheetViews>
    <sheetView workbookViewId="0">
      <selection activeCell="B25" sqref="B25"/>
    </sheetView>
  </sheetViews>
  <sheetFormatPr baseColWidth="10" defaultColWidth="11" defaultRowHeight="15"/>
  <cols>
    <col min="1" max="1" width="15.125" style="1" customWidth="1"/>
    <col min="2" max="2" width="36.375" style="1" customWidth="1"/>
    <col min="3" max="3" width="69.125" style="1" customWidth="1"/>
    <col min="4" max="16384" width="11" style="1"/>
  </cols>
  <sheetData>
    <row r="1" spans="1:7">
      <c r="A1" s="1" t="s">
        <v>0</v>
      </c>
    </row>
    <row r="2" spans="1:7">
      <c r="A2" s="2" t="s">
        <v>1</v>
      </c>
      <c r="B2" s="2" t="s">
        <v>2</v>
      </c>
      <c r="C2" s="2" t="s">
        <v>3</v>
      </c>
      <c r="G2" s="33" t="s">
        <v>4</v>
      </c>
    </row>
    <row r="3" spans="1:7">
      <c r="A3" s="3" t="s">
        <v>5</v>
      </c>
      <c r="B3" s="4" t="s">
        <v>6</v>
      </c>
      <c r="C3" s="4" t="s">
        <v>7</v>
      </c>
      <c r="G3" s="33" t="s">
        <v>8</v>
      </c>
    </row>
    <row r="4" spans="1:7">
      <c r="A4" s="3" t="s">
        <v>5</v>
      </c>
      <c r="B4" s="4" t="s">
        <v>6</v>
      </c>
      <c r="C4" s="4" t="s">
        <v>9</v>
      </c>
      <c r="G4" s="33" t="s">
        <v>10</v>
      </c>
    </row>
    <row r="5" spans="1:7">
      <c r="A5" s="3" t="s">
        <v>5</v>
      </c>
      <c r="B5" s="4" t="s">
        <v>6</v>
      </c>
      <c r="C5" s="4" t="s">
        <v>11</v>
      </c>
    </row>
    <row r="6" spans="1:7">
      <c r="A6" s="3" t="s">
        <v>5</v>
      </c>
      <c r="B6" s="4" t="s">
        <v>12</v>
      </c>
      <c r="C6" s="4" t="s">
        <v>13</v>
      </c>
    </row>
    <row r="7" spans="1:7">
      <c r="A7" s="3" t="s">
        <v>5</v>
      </c>
      <c r="B7" s="4" t="s">
        <v>12</v>
      </c>
      <c r="C7" s="4" t="s">
        <v>14</v>
      </c>
    </row>
    <row r="8" spans="1:7">
      <c r="A8" s="3" t="s">
        <v>5</v>
      </c>
      <c r="B8" s="4" t="s">
        <v>15</v>
      </c>
      <c r="C8" s="4" t="s">
        <v>16</v>
      </c>
    </row>
    <row r="9" spans="1:7">
      <c r="A9" s="3" t="s">
        <v>5</v>
      </c>
      <c r="B9" s="4" t="s">
        <v>15</v>
      </c>
      <c r="C9" s="4" t="s">
        <v>17</v>
      </c>
    </row>
    <row r="10" spans="1:7">
      <c r="A10" s="3" t="s">
        <v>5</v>
      </c>
      <c r="B10" s="4" t="s">
        <v>15</v>
      </c>
      <c r="C10" s="4" t="s">
        <v>18</v>
      </c>
    </row>
    <row r="11" spans="1:7">
      <c r="A11" s="3" t="s">
        <v>5</v>
      </c>
      <c r="B11" s="4" t="s">
        <v>15</v>
      </c>
      <c r="C11" s="4" t="s">
        <v>19</v>
      </c>
    </row>
    <row r="12" spans="1:7">
      <c r="A12" s="3" t="s">
        <v>5</v>
      </c>
      <c r="B12" s="4" t="s">
        <v>20</v>
      </c>
      <c r="C12" s="4" t="s">
        <v>21</v>
      </c>
    </row>
    <row r="13" spans="1:7">
      <c r="A13" s="3" t="s">
        <v>5</v>
      </c>
      <c r="B13" s="4" t="s">
        <v>22</v>
      </c>
      <c r="C13" s="4" t="s">
        <v>23</v>
      </c>
    </row>
    <row r="14" spans="1:7">
      <c r="A14" s="3" t="s">
        <v>5</v>
      </c>
      <c r="B14" s="4" t="s">
        <v>22</v>
      </c>
      <c r="C14" s="4" t="s">
        <v>24</v>
      </c>
    </row>
    <row r="15" spans="1:7">
      <c r="A15" s="3" t="s">
        <v>5</v>
      </c>
      <c r="B15" s="4" t="s">
        <v>22</v>
      </c>
      <c r="C15" s="4" t="s">
        <v>25</v>
      </c>
    </row>
    <row r="16" spans="1:7">
      <c r="A16" s="3" t="s">
        <v>5</v>
      </c>
      <c r="B16" s="4" t="s">
        <v>26</v>
      </c>
      <c r="C16" s="4" t="s">
        <v>27</v>
      </c>
    </row>
    <row r="17" spans="1:3">
      <c r="A17" s="3" t="s">
        <v>5</v>
      </c>
      <c r="B17" s="4" t="s">
        <v>26</v>
      </c>
      <c r="C17" s="4" t="s">
        <v>28</v>
      </c>
    </row>
    <row r="18" spans="1:3">
      <c r="A18" s="3" t="s">
        <v>29</v>
      </c>
      <c r="B18" s="4" t="s">
        <v>6</v>
      </c>
      <c r="C18" s="4" t="s">
        <v>30</v>
      </c>
    </row>
    <row r="19" spans="1:3">
      <c r="A19" s="3" t="s">
        <v>29</v>
      </c>
      <c r="B19" s="4" t="s">
        <v>6</v>
      </c>
      <c r="C19" s="4" t="s">
        <v>31</v>
      </c>
    </row>
    <row r="20" spans="1:3">
      <c r="A20" s="3" t="s">
        <v>29</v>
      </c>
      <c r="B20" s="4" t="s">
        <v>6</v>
      </c>
      <c r="C20" s="4" t="s">
        <v>32</v>
      </c>
    </row>
    <row r="21" spans="1:3">
      <c r="A21" s="3" t="s">
        <v>29</v>
      </c>
      <c r="B21" s="4" t="s">
        <v>6</v>
      </c>
      <c r="C21" s="4" t="s">
        <v>33</v>
      </c>
    </row>
    <row r="22" spans="1:3">
      <c r="A22" s="3" t="s">
        <v>29</v>
      </c>
      <c r="B22" s="4" t="s">
        <v>6</v>
      </c>
      <c r="C22" s="4" t="s">
        <v>34</v>
      </c>
    </row>
    <row r="23" spans="1:3">
      <c r="A23" s="3" t="s">
        <v>29</v>
      </c>
      <c r="B23" s="4" t="s">
        <v>6</v>
      </c>
      <c r="C23" s="4" t="s">
        <v>35</v>
      </c>
    </row>
    <row r="24" spans="1:3">
      <c r="A24" s="3" t="s">
        <v>29</v>
      </c>
      <c r="B24" s="4" t="s">
        <v>12</v>
      </c>
      <c r="C24" s="4" t="s">
        <v>36</v>
      </c>
    </row>
    <row r="25" spans="1:3">
      <c r="A25" s="3" t="s">
        <v>29</v>
      </c>
      <c r="B25" s="4" t="s">
        <v>12</v>
      </c>
      <c r="C25" s="4" t="s">
        <v>37</v>
      </c>
    </row>
    <row r="26" spans="1:3">
      <c r="A26" s="3" t="s">
        <v>29</v>
      </c>
      <c r="B26" s="4" t="s">
        <v>12</v>
      </c>
      <c r="C26" s="4" t="s">
        <v>38</v>
      </c>
    </row>
    <row r="27" spans="1:3">
      <c r="A27" s="3" t="s">
        <v>29</v>
      </c>
      <c r="B27" s="4" t="s">
        <v>12</v>
      </c>
      <c r="C27" s="4" t="s">
        <v>39</v>
      </c>
    </row>
    <row r="28" spans="1:3">
      <c r="A28" s="3" t="s">
        <v>29</v>
      </c>
      <c r="B28" s="4" t="s">
        <v>15</v>
      </c>
      <c r="C28" s="4" t="s">
        <v>40</v>
      </c>
    </row>
    <row r="29" spans="1:3">
      <c r="A29" s="3" t="s">
        <v>29</v>
      </c>
      <c r="B29" s="4" t="s">
        <v>15</v>
      </c>
      <c r="C29" s="4" t="s">
        <v>41</v>
      </c>
    </row>
    <row r="30" spans="1:3">
      <c r="A30" s="3" t="s">
        <v>29</v>
      </c>
      <c r="B30" s="4" t="s">
        <v>15</v>
      </c>
      <c r="C30" s="4" t="s">
        <v>42</v>
      </c>
    </row>
    <row r="31" spans="1:3">
      <c r="A31" s="3" t="s">
        <v>29</v>
      </c>
      <c r="B31" s="4" t="s">
        <v>20</v>
      </c>
      <c r="C31" s="4" t="s">
        <v>43</v>
      </c>
    </row>
    <row r="32" spans="1:3">
      <c r="A32" s="3" t="s">
        <v>29</v>
      </c>
      <c r="B32" s="4" t="s">
        <v>20</v>
      </c>
      <c r="C32" s="4" t="s">
        <v>44</v>
      </c>
    </row>
    <row r="33" spans="1:3">
      <c r="A33" s="3" t="s">
        <v>29</v>
      </c>
      <c r="B33" s="4" t="s">
        <v>20</v>
      </c>
      <c r="C33" s="4" t="s">
        <v>45</v>
      </c>
    </row>
    <row r="34" spans="1:3">
      <c r="A34" s="3" t="s">
        <v>29</v>
      </c>
      <c r="B34" s="4" t="s">
        <v>22</v>
      </c>
      <c r="C34" s="4" t="s">
        <v>46</v>
      </c>
    </row>
    <row r="35" spans="1:3">
      <c r="A35" s="3" t="s">
        <v>29</v>
      </c>
      <c r="B35" s="4" t="s">
        <v>22</v>
      </c>
      <c r="C35" s="4" t="s">
        <v>47</v>
      </c>
    </row>
    <row r="36" spans="1:3">
      <c r="A36" s="3" t="s">
        <v>29</v>
      </c>
      <c r="B36" s="4" t="s">
        <v>22</v>
      </c>
      <c r="C36" s="4" t="s">
        <v>48</v>
      </c>
    </row>
    <row r="37" spans="1:3">
      <c r="A37" s="3" t="s">
        <v>29</v>
      </c>
      <c r="B37" s="4" t="s">
        <v>22</v>
      </c>
      <c r="C37" s="4" t="s">
        <v>49</v>
      </c>
    </row>
    <row r="38" spans="1:3">
      <c r="A38" s="3" t="s">
        <v>29</v>
      </c>
      <c r="B38" s="4" t="s">
        <v>22</v>
      </c>
      <c r="C38" s="4" t="s">
        <v>50</v>
      </c>
    </row>
    <row r="39" spans="1:3">
      <c r="A39" s="3" t="s">
        <v>29</v>
      </c>
      <c r="B39" s="4" t="s">
        <v>26</v>
      </c>
      <c r="C39" s="4" t="s">
        <v>51</v>
      </c>
    </row>
    <row r="40" spans="1:3">
      <c r="A40" s="3" t="s">
        <v>29</v>
      </c>
      <c r="B40" s="4" t="s">
        <v>26</v>
      </c>
      <c r="C40" s="4" t="s">
        <v>52</v>
      </c>
    </row>
    <row r="41" spans="1:3">
      <c r="A41" s="3" t="s">
        <v>29</v>
      </c>
      <c r="B41" s="4" t="s">
        <v>26</v>
      </c>
      <c r="C41" s="4" t="s">
        <v>53</v>
      </c>
    </row>
    <row r="42" spans="1:3">
      <c r="A42" s="3" t="s">
        <v>54</v>
      </c>
      <c r="B42" s="4" t="s">
        <v>55</v>
      </c>
      <c r="C42" s="4" t="s">
        <v>56</v>
      </c>
    </row>
    <row r="43" spans="1:3">
      <c r="A43" s="3" t="s">
        <v>54</v>
      </c>
      <c r="B43" s="4" t="s">
        <v>55</v>
      </c>
      <c r="C43" s="4" t="s">
        <v>57</v>
      </c>
    </row>
    <row r="44" spans="1:3">
      <c r="A44" s="3" t="s">
        <v>54</v>
      </c>
      <c r="B44" s="4" t="s">
        <v>55</v>
      </c>
      <c r="C44" s="4" t="s">
        <v>58</v>
      </c>
    </row>
    <row r="45" spans="1:3">
      <c r="A45" s="3" t="s">
        <v>54</v>
      </c>
      <c r="B45" s="4" t="s">
        <v>55</v>
      </c>
      <c r="C45" s="34" t="s">
        <v>59</v>
      </c>
    </row>
    <row r="46" spans="1:3">
      <c r="A46" s="3" t="s">
        <v>54</v>
      </c>
      <c r="B46" s="4" t="s">
        <v>55</v>
      </c>
      <c r="C46" s="34" t="s">
        <v>60</v>
      </c>
    </row>
    <row r="47" spans="1:3">
      <c r="A47" s="3" t="s">
        <v>54</v>
      </c>
      <c r="B47" s="4" t="s">
        <v>55</v>
      </c>
      <c r="C47" s="4" t="s">
        <v>61</v>
      </c>
    </row>
    <row r="48" spans="1:3">
      <c r="A48" s="3" t="s">
        <v>54</v>
      </c>
      <c r="B48" s="4" t="s">
        <v>55</v>
      </c>
      <c r="C48" s="4" t="s">
        <v>62</v>
      </c>
    </row>
    <row r="49" spans="1:3">
      <c r="A49" s="3" t="s">
        <v>54</v>
      </c>
      <c r="B49" s="4" t="s">
        <v>55</v>
      </c>
      <c r="C49" s="4" t="s">
        <v>63</v>
      </c>
    </row>
    <row r="50" spans="1:3">
      <c r="A50" s="3" t="s">
        <v>54</v>
      </c>
      <c r="B50" s="4" t="s">
        <v>55</v>
      </c>
      <c r="C50" s="4" t="s">
        <v>64</v>
      </c>
    </row>
    <row r="51" spans="1:3">
      <c r="A51" s="3" t="s">
        <v>54</v>
      </c>
      <c r="B51" s="4" t="s">
        <v>65</v>
      </c>
      <c r="C51" s="4" t="s">
        <v>66</v>
      </c>
    </row>
    <row r="52" spans="1:3">
      <c r="A52" s="3" t="s">
        <v>54</v>
      </c>
      <c r="B52" s="4" t="s">
        <v>65</v>
      </c>
      <c r="C52" s="4" t="s">
        <v>67</v>
      </c>
    </row>
    <row r="53" spans="1:3">
      <c r="A53" s="3" t="s">
        <v>54</v>
      </c>
      <c r="B53" s="4" t="s">
        <v>65</v>
      </c>
      <c r="C53" s="4" t="s">
        <v>68</v>
      </c>
    </row>
    <row r="54" spans="1:3">
      <c r="A54" s="3" t="s">
        <v>54</v>
      </c>
      <c r="B54" s="4" t="s">
        <v>65</v>
      </c>
      <c r="C54" s="4" t="s">
        <v>69</v>
      </c>
    </row>
    <row r="55" spans="1:3">
      <c r="A55" s="3" t="s">
        <v>54</v>
      </c>
      <c r="B55" s="4" t="s">
        <v>65</v>
      </c>
      <c r="C55" s="4" t="s">
        <v>70</v>
      </c>
    </row>
    <row r="56" spans="1:3">
      <c r="A56" s="3" t="s">
        <v>54</v>
      </c>
      <c r="B56" s="4" t="s">
        <v>65</v>
      </c>
      <c r="C56" s="4" t="s">
        <v>71</v>
      </c>
    </row>
    <row r="57" spans="1:3">
      <c r="A57" s="3" t="s">
        <v>54</v>
      </c>
      <c r="B57" s="4" t="s">
        <v>65</v>
      </c>
      <c r="C57" s="4" t="s">
        <v>72</v>
      </c>
    </row>
    <row r="58" spans="1:3">
      <c r="A58" s="3" t="s">
        <v>54</v>
      </c>
      <c r="B58" s="4" t="s">
        <v>73</v>
      </c>
      <c r="C58" s="4" t="s">
        <v>74</v>
      </c>
    </row>
    <row r="59" spans="1:3">
      <c r="A59" s="3" t="s">
        <v>54</v>
      </c>
      <c r="B59" s="4" t="s">
        <v>73</v>
      </c>
      <c r="C59" s="4" t="s">
        <v>75</v>
      </c>
    </row>
    <row r="60" spans="1:3">
      <c r="A60" s="3" t="s">
        <v>54</v>
      </c>
      <c r="B60" s="4" t="s">
        <v>73</v>
      </c>
      <c r="C60" s="4" t="s">
        <v>76</v>
      </c>
    </row>
    <row r="61" spans="1:3">
      <c r="A61" s="3" t="s">
        <v>54</v>
      </c>
      <c r="B61" s="4" t="s">
        <v>73</v>
      </c>
      <c r="C61" s="4" t="s">
        <v>77</v>
      </c>
    </row>
    <row r="62" spans="1:3">
      <c r="A62" s="3" t="s">
        <v>54</v>
      </c>
      <c r="B62" s="4" t="s">
        <v>73</v>
      </c>
      <c r="C62" s="4" t="s">
        <v>78</v>
      </c>
    </row>
    <row r="63" spans="1:3">
      <c r="A63" s="3" t="s">
        <v>54</v>
      </c>
      <c r="B63" s="4" t="s">
        <v>73</v>
      </c>
      <c r="C63" s="4" t="s">
        <v>79</v>
      </c>
    </row>
    <row r="64" spans="1:3">
      <c r="A64" s="3" t="s">
        <v>54</v>
      </c>
      <c r="B64" s="4" t="s">
        <v>73</v>
      </c>
      <c r="C64" s="4" t="s">
        <v>80</v>
      </c>
    </row>
    <row r="65" spans="1:3">
      <c r="A65" s="3" t="s">
        <v>54</v>
      </c>
      <c r="B65" s="4" t="s">
        <v>73</v>
      </c>
      <c r="C65" s="4" t="s">
        <v>81</v>
      </c>
    </row>
    <row r="66" spans="1:3">
      <c r="A66" s="3" t="s">
        <v>54</v>
      </c>
      <c r="B66" s="4" t="s">
        <v>73</v>
      </c>
      <c r="C66" s="4" t="s">
        <v>82</v>
      </c>
    </row>
    <row r="67" spans="1:3">
      <c r="A67" s="3" t="s">
        <v>54</v>
      </c>
      <c r="B67" s="4" t="s">
        <v>73</v>
      </c>
      <c r="C67" s="4" t="s">
        <v>83</v>
      </c>
    </row>
    <row r="68" spans="1:3">
      <c r="A68" s="3" t="s">
        <v>54</v>
      </c>
      <c r="B68" s="4" t="s">
        <v>73</v>
      </c>
      <c r="C68" s="4" t="s">
        <v>84</v>
      </c>
    </row>
  </sheetData>
  <pageMargins left="0.7" right="0.7" top="0.75" bottom="0.75" header="0.3" footer="0.3"/>
  <pageSetup paperSize="9"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249977111117893"/>
    <pageSetUpPr fitToPage="1"/>
  </sheetPr>
  <dimension ref="A1:X120"/>
  <sheetViews>
    <sheetView showGridLines="0" zoomScaleNormal="100" workbookViewId="0">
      <pane xSplit="9" ySplit="3" topLeftCell="J25" activePane="bottomRight" state="frozen"/>
      <selection activeCell="C7" sqref="C7"/>
      <selection pane="topRight" activeCell="C7" sqref="C7"/>
      <selection pane="bottomLeft" activeCell="C7" sqref="C7"/>
      <selection pane="bottomRight" activeCell="V3" sqref="V3:V96"/>
    </sheetView>
  </sheetViews>
  <sheetFormatPr baseColWidth="10" defaultColWidth="11" defaultRowHeight="12.75"/>
  <cols>
    <col min="1" max="2" width="11" style="5"/>
    <col min="3" max="3" width="3.125" style="6" bestFit="1" customWidth="1"/>
    <col min="4" max="4" width="24" style="129" bestFit="1" customWidth="1"/>
    <col min="5" max="5" width="3.125" style="6" bestFit="1" customWidth="1"/>
    <col min="6" max="6" width="30.625" style="129" bestFit="1" customWidth="1"/>
    <col min="7" max="7" width="7" style="129" customWidth="1"/>
    <col min="8" max="8" width="22.125" style="5" bestFit="1" customWidth="1"/>
    <col min="9" max="9" width="15.125" style="207" customWidth="1"/>
    <col min="10" max="10" width="19.5" style="78" customWidth="1"/>
    <col min="11" max="11" width="20.25" style="78" customWidth="1"/>
    <col min="12" max="16" width="15.125" style="5" customWidth="1"/>
    <col min="17" max="17" width="15.125" style="207" customWidth="1"/>
    <col min="18" max="18" width="19.375" style="207" customWidth="1"/>
    <col min="19" max="19" width="20.5" style="5" hidden="1" customWidth="1"/>
    <col min="20" max="20" width="24.125" style="5" hidden="1" customWidth="1"/>
    <col min="21" max="21" width="26.625" style="5" hidden="1" customWidth="1"/>
    <col min="22" max="16384" width="11" style="5"/>
  </cols>
  <sheetData>
    <row r="1" spans="1:24">
      <c r="A1" s="97" t="s">
        <v>1746</v>
      </c>
      <c r="B1" s="98"/>
      <c r="C1" s="98" t="s">
        <v>85</v>
      </c>
      <c r="D1" s="98"/>
      <c r="E1" s="98"/>
      <c r="F1" s="98"/>
      <c r="G1" s="98"/>
      <c r="H1" s="98"/>
      <c r="I1" s="768"/>
      <c r="J1" s="98"/>
      <c r="K1" s="98"/>
      <c r="L1" s="98"/>
      <c r="M1" s="98"/>
      <c r="N1" s="98"/>
      <c r="O1" s="98"/>
      <c r="P1" s="101"/>
      <c r="Q1" s="768"/>
      <c r="R1" s="768"/>
      <c r="S1" s="95"/>
      <c r="T1" s="95"/>
      <c r="U1" s="96"/>
    </row>
    <row r="2" spans="1:24" ht="13.5" thickBot="1">
      <c r="D2" s="746"/>
      <c r="E2" s="746"/>
      <c r="F2" s="746"/>
      <c r="G2" s="747"/>
      <c r="H2" s="746"/>
      <c r="I2" s="223"/>
      <c r="J2" s="746"/>
      <c r="K2" s="746"/>
      <c r="L2" s="747"/>
      <c r="M2" s="747"/>
      <c r="N2" s="747"/>
      <c r="O2" s="747"/>
      <c r="P2" s="747"/>
      <c r="Q2" s="775"/>
      <c r="R2" s="775"/>
      <c r="S2" s="95"/>
      <c r="T2" s="95"/>
      <c r="U2" s="96"/>
    </row>
    <row r="3" spans="1:24" ht="39" thickBot="1">
      <c r="A3" s="724" t="s">
        <v>641</v>
      </c>
      <c r="B3" s="7" t="s">
        <v>1715</v>
      </c>
      <c r="C3" s="7" t="s">
        <v>86</v>
      </c>
      <c r="D3" s="7" t="s">
        <v>87</v>
      </c>
      <c r="E3" s="7" t="s">
        <v>86</v>
      </c>
      <c r="F3" s="7" t="s">
        <v>88</v>
      </c>
      <c r="G3" s="200" t="s">
        <v>477</v>
      </c>
      <c r="H3" s="45" t="s">
        <v>89</v>
      </c>
      <c r="I3" s="769" t="s">
        <v>91</v>
      </c>
      <c r="J3" s="79" t="s">
        <v>90</v>
      </c>
      <c r="K3" s="174" t="s">
        <v>476</v>
      </c>
      <c r="L3" s="176" t="s">
        <v>471</v>
      </c>
      <c r="M3" s="177" t="s">
        <v>472</v>
      </c>
      <c r="N3" s="177" t="s">
        <v>473</v>
      </c>
      <c r="O3" s="177" t="s">
        <v>474</v>
      </c>
      <c r="P3" s="178" t="s">
        <v>475</v>
      </c>
      <c r="Q3" s="779" t="s">
        <v>1782</v>
      </c>
      <c r="R3" s="1030" t="s">
        <v>1783</v>
      </c>
      <c r="S3" s="23" t="s">
        <v>92</v>
      </c>
      <c r="T3" s="7" t="s">
        <v>93</v>
      </c>
      <c r="U3" s="7" t="s">
        <v>94</v>
      </c>
    </row>
    <row r="4" spans="1:24" ht="44.25" customHeight="1">
      <c r="A4" s="734" t="s">
        <v>1716</v>
      </c>
      <c r="B4" s="221" t="s">
        <v>1717</v>
      </c>
      <c r="C4" s="70">
        <v>1</v>
      </c>
      <c r="D4" s="229" t="s">
        <v>95</v>
      </c>
      <c r="E4" s="230">
        <v>1</v>
      </c>
      <c r="F4" s="229" t="s">
        <v>96</v>
      </c>
      <c r="G4" s="199" t="s">
        <v>468</v>
      </c>
      <c r="H4" s="244" t="s">
        <v>97</v>
      </c>
      <c r="I4" s="770" t="s">
        <v>100</v>
      </c>
      <c r="J4" s="80" t="s">
        <v>98</v>
      </c>
      <c r="K4" s="80" t="s">
        <v>99</v>
      </c>
      <c r="L4" s="14">
        <v>145300</v>
      </c>
      <c r="M4" s="14">
        <v>5300</v>
      </c>
      <c r="N4" s="14">
        <v>70000</v>
      </c>
      <c r="O4" s="14">
        <v>70000</v>
      </c>
      <c r="P4" s="780">
        <v>0</v>
      </c>
      <c r="Q4" s="833" t="s">
        <v>1805</v>
      </c>
      <c r="R4" s="1031" t="s">
        <v>1785</v>
      </c>
      <c r="S4" s="20" t="s">
        <v>101</v>
      </c>
      <c r="T4" s="10" t="s">
        <v>102</v>
      </c>
      <c r="U4" s="8" t="s">
        <v>103</v>
      </c>
    </row>
    <row r="5" spans="1:24" ht="48" customHeight="1">
      <c r="A5" s="735" t="s">
        <v>1741</v>
      </c>
      <c r="B5" s="726" t="s">
        <v>1718</v>
      </c>
      <c r="C5" s="231">
        <v>1</v>
      </c>
      <c r="D5" s="232" t="s">
        <v>95</v>
      </c>
      <c r="E5" s="233">
        <v>1</v>
      </c>
      <c r="F5" s="232" t="s">
        <v>96</v>
      </c>
      <c r="G5" s="170" t="s">
        <v>469</v>
      </c>
      <c r="H5" s="245" t="s">
        <v>104</v>
      </c>
      <c r="I5" s="770" t="s">
        <v>107</v>
      </c>
      <c r="J5" s="80" t="s">
        <v>105</v>
      </c>
      <c r="K5" s="80" t="s">
        <v>106</v>
      </c>
      <c r="L5" s="10">
        <v>50000</v>
      </c>
      <c r="M5" s="10">
        <v>10000</v>
      </c>
      <c r="N5" s="10">
        <v>22500</v>
      </c>
      <c r="O5" s="10">
        <v>35000</v>
      </c>
      <c r="P5" s="12">
        <v>50000</v>
      </c>
      <c r="Q5" s="820" t="s">
        <v>1805</v>
      </c>
      <c r="R5" s="820" t="s">
        <v>1785</v>
      </c>
      <c r="S5" s="20" t="s">
        <v>108</v>
      </c>
      <c r="T5" s="10" t="s">
        <v>109</v>
      </c>
      <c r="U5" s="41"/>
    </row>
    <row r="6" spans="1:24" ht="44.25" customHeight="1">
      <c r="A6" s="735" t="s">
        <v>1741</v>
      </c>
      <c r="B6" s="726" t="s">
        <v>1718</v>
      </c>
      <c r="C6" s="234">
        <v>1</v>
      </c>
      <c r="D6" s="235" t="s">
        <v>95</v>
      </c>
      <c r="E6" s="70">
        <v>2</v>
      </c>
      <c r="F6" s="229" t="s">
        <v>110</v>
      </c>
      <c r="G6" s="171" t="s">
        <v>470</v>
      </c>
      <c r="H6" s="246" t="s">
        <v>111</v>
      </c>
      <c r="I6" s="770" t="s">
        <v>100</v>
      </c>
      <c r="J6" s="80" t="s">
        <v>112</v>
      </c>
      <c r="K6" s="80" t="s">
        <v>112</v>
      </c>
      <c r="L6" s="10">
        <v>0.14699999999999999</v>
      </c>
      <c r="M6" s="10">
        <v>0.14699999999999999</v>
      </c>
      <c r="N6" s="10">
        <v>0.14699999999999999</v>
      </c>
      <c r="O6" s="10">
        <v>0.14699999999999999</v>
      </c>
      <c r="P6" s="12">
        <v>0.14699999999999999</v>
      </c>
      <c r="Q6" s="820" t="s">
        <v>1796</v>
      </c>
      <c r="R6" s="805" t="s">
        <v>1787</v>
      </c>
      <c r="S6" s="20" t="s">
        <v>113</v>
      </c>
      <c r="T6" s="11" t="s">
        <v>114</v>
      </c>
      <c r="U6" s="8" t="s">
        <v>115</v>
      </c>
    </row>
    <row r="7" spans="1:24" ht="67.5" customHeight="1">
      <c r="A7" s="735" t="s">
        <v>1741</v>
      </c>
      <c r="B7" s="726" t="s">
        <v>1718</v>
      </c>
      <c r="C7" s="231">
        <v>1</v>
      </c>
      <c r="D7" s="232" t="s">
        <v>95</v>
      </c>
      <c r="E7" s="234">
        <v>2</v>
      </c>
      <c r="F7" s="235" t="s">
        <v>110</v>
      </c>
      <c r="G7" s="171" t="s">
        <v>478</v>
      </c>
      <c r="H7" s="238" t="s">
        <v>116</v>
      </c>
      <c r="I7" s="770" t="s">
        <v>107</v>
      </c>
      <c r="J7" s="82" t="s">
        <v>117</v>
      </c>
      <c r="K7" s="236" t="s">
        <v>118</v>
      </c>
      <c r="L7" s="35">
        <v>1550</v>
      </c>
      <c r="M7" s="35">
        <v>200</v>
      </c>
      <c r="N7" s="35">
        <v>450</v>
      </c>
      <c r="O7" s="35">
        <v>450</v>
      </c>
      <c r="P7" s="263">
        <v>450</v>
      </c>
      <c r="Q7" s="820" t="s">
        <v>1805</v>
      </c>
      <c r="R7" s="806" t="s">
        <v>1787</v>
      </c>
      <c r="S7" s="827" t="s">
        <v>117</v>
      </c>
      <c r="T7" s="131" t="s">
        <v>118</v>
      </c>
      <c r="U7" s="13"/>
    </row>
    <row r="8" spans="1:24" ht="33.75" customHeight="1">
      <c r="A8" s="735" t="s">
        <v>1741</v>
      </c>
      <c r="B8" s="726" t="s">
        <v>1718</v>
      </c>
      <c r="C8" s="231">
        <v>1</v>
      </c>
      <c r="D8" s="232" t="s">
        <v>95</v>
      </c>
      <c r="E8" s="234">
        <v>2</v>
      </c>
      <c r="F8" s="235" t="s">
        <v>110</v>
      </c>
      <c r="G8" s="171" t="s">
        <v>479</v>
      </c>
      <c r="H8" s="238" t="s">
        <v>119</v>
      </c>
      <c r="I8" s="770" t="s">
        <v>107</v>
      </c>
      <c r="J8" s="91">
        <v>0</v>
      </c>
      <c r="K8" s="91" t="s">
        <v>120</v>
      </c>
      <c r="L8" s="46">
        <v>12</v>
      </c>
      <c r="M8" s="46">
        <v>0</v>
      </c>
      <c r="N8" s="46">
        <v>4</v>
      </c>
      <c r="O8" s="46">
        <v>8</v>
      </c>
      <c r="P8" s="291">
        <v>12</v>
      </c>
      <c r="Q8" s="834" t="s">
        <v>1796</v>
      </c>
      <c r="R8" s="1032" t="s">
        <v>1785</v>
      </c>
      <c r="S8" s="91">
        <v>0</v>
      </c>
      <c r="T8" s="91" t="s">
        <v>120</v>
      </c>
      <c r="U8" s="13"/>
    </row>
    <row r="9" spans="1:24" ht="77.25" customHeight="1">
      <c r="A9" s="735" t="s">
        <v>1741</v>
      </c>
      <c r="B9" s="726" t="s">
        <v>1718</v>
      </c>
      <c r="C9" s="231">
        <v>1</v>
      </c>
      <c r="D9" s="232" t="s">
        <v>95</v>
      </c>
      <c r="E9" s="234">
        <v>2</v>
      </c>
      <c r="F9" s="235" t="s">
        <v>110</v>
      </c>
      <c r="G9" s="171" t="s">
        <v>480</v>
      </c>
      <c r="H9" s="246" t="s">
        <v>121</v>
      </c>
      <c r="I9" s="770" t="s">
        <v>107</v>
      </c>
      <c r="J9" s="82" t="s">
        <v>122</v>
      </c>
      <c r="K9" s="80" t="s">
        <v>123</v>
      </c>
      <c r="L9" s="10">
        <v>3200</v>
      </c>
      <c r="M9" s="10">
        <v>800</v>
      </c>
      <c r="N9" s="10">
        <v>800</v>
      </c>
      <c r="O9" s="10">
        <v>800</v>
      </c>
      <c r="P9" s="12">
        <v>800</v>
      </c>
      <c r="Q9" s="820" t="s">
        <v>1805</v>
      </c>
      <c r="R9" s="805" t="s">
        <v>1787</v>
      </c>
      <c r="S9" s="827" t="s">
        <v>122</v>
      </c>
      <c r="T9" s="132" t="s">
        <v>123</v>
      </c>
      <c r="U9" s="13"/>
    </row>
    <row r="10" spans="1:24" ht="55.5" customHeight="1">
      <c r="A10" s="735" t="s">
        <v>1741</v>
      </c>
      <c r="B10" s="726" t="s">
        <v>1718</v>
      </c>
      <c r="C10" s="234">
        <v>1</v>
      </c>
      <c r="D10" s="235" t="s">
        <v>95</v>
      </c>
      <c r="E10" s="234">
        <v>2</v>
      </c>
      <c r="F10" s="235" t="s">
        <v>110</v>
      </c>
      <c r="G10" s="171" t="s">
        <v>481</v>
      </c>
      <c r="H10" s="246" t="s">
        <v>124</v>
      </c>
      <c r="I10" s="770" t="s">
        <v>127</v>
      </c>
      <c r="J10" s="80" t="s">
        <v>125</v>
      </c>
      <c r="K10" s="80" t="s">
        <v>126</v>
      </c>
      <c r="L10" s="187">
        <v>20299.833333333332</v>
      </c>
      <c r="M10" s="187">
        <v>19049.708333333332</v>
      </c>
      <c r="N10" s="187">
        <v>19466.416666666668</v>
      </c>
      <c r="O10" s="187">
        <v>19883.125</v>
      </c>
      <c r="P10" s="781">
        <v>20299.833333333332</v>
      </c>
      <c r="Q10" s="820" t="s">
        <v>1805</v>
      </c>
      <c r="R10" s="807" t="s">
        <v>1787</v>
      </c>
      <c r="S10" s="20" t="s">
        <v>128</v>
      </c>
      <c r="T10" s="32" t="s">
        <v>129</v>
      </c>
      <c r="U10" s="13"/>
    </row>
    <row r="11" spans="1:24" ht="102">
      <c r="A11" s="735" t="s">
        <v>1741</v>
      </c>
      <c r="B11" s="726" t="s">
        <v>1718</v>
      </c>
      <c r="C11" s="234">
        <v>1</v>
      </c>
      <c r="D11" s="235" t="s">
        <v>95</v>
      </c>
      <c r="E11" s="234">
        <v>2</v>
      </c>
      <c r="F11" s="235" t="s">
        <v>110</v>
      </c>
      <c r="G11" s="171" t="s">
        <v>482</v>
      </c>
      <c r="H11" s="246" t="s">
        <v>485</v>
      </c>
      <c r="I11" s="770" t="s">
        <v>100</v>
      </c>
      <c r="J11" s="91" t="s">
        <v>639</v>
      </c>
      <c r="K11" s="110" t="s">
        <v>486</v>
      </c>
      <c r="L11" s="188">
        <v>14</v>
      </c>
      <c r="M11" s="189">
        <v>11</v>
      </c>
      <c r="N11" s="189">
        <v>12</v>
      </c>
      <c r="O11" s="189">
        <v>13</v>
      </c>
      <c r="P11" s="782">
        <v>14</v>
      </c>
      <c r="Q11" s="822" t="s">
        <v>1796</v>
      </c>
      <c r="R11" s="1033" t="s">
        <v>1785</v>
      </c>
      <c r="S11" s="91" t="s">
        <v>487</v>
      </c>
      <c r="T11" s="110" t="s">
        <v>486</v>
      </c>
      <c r="U11" s="13"/>
      <c r="V11" s="5">
        <f>15+17</f>
        <v>32</v>
      </c>
      <c r="W11" s="5">
        <v>69</v>
      </c>
      <c r="X11" s="43">
        <f>V11/W11</f>
        <v>0.46376811594202899</v>
      </c>
    </row>
    <row r="12" spans="1:24" ht="43.5" customHeight="1">
      <c r="A12" s="735" t="s">
        <v>1741</v>
      </c>
      <c r="B12" s="726" t="s">
        <v>1718</v>
      </c>
      <c r="C12" s="234">
        <v>1</v>
      </c>
      <c r="D12" s="235" t="s">
        <v>95</v>
      </c>
      <c r="E12" s="234">
        <v>2</v>
      </c>
      <c r="F12" s="235" t="s">
        <v>110</v>
      </c>
      <c r="G12" s="171" t="s">
        <v>483</v>
      </c>
      <c r="H12" s="246" t="s">
        <v>130</v>
      </c>
      <c r="I12" s="770" t="s">
        <v>127</v>
      </c>
      <c r="J12" s="138">
        <v>0.26</v>
      </c>
      <c r="K12" s="138">
        <v>0.47799999999999998</v>
      </c>
      <c r="L12" s="190">
        <v>0.40579710144927539</v>
      </c>
      <c r="M12" s="191">
        <v>0.24637681159420291</v>
      </c>
      <c r="N12" s="191">
        <v>0.3188405797101449</v>
      </c>
      <c r="O12" s="191">
        <v>0.36231884057971014</v>
      </c>
      <c r="P12" s="783">
        <v>0.40579710144927539</v>
      </c>
      <c r="Q12" s="822" t="s">
        <v>1796</v>
      </c>
      <c r="R12" s="1034" t="s">
        <v>1785</v>
      </c>
      <c r="S12" s="20" t="s">
        <v>131</v>
      </c>
      <c r="T12" s="12" t="s">
        <v>132</v>
      </c>
      <c r="U12" s="13"/>
      <c r="V12" s="5">
        <f>15+17</f>
        <v>32</v>
      </c>
      <c r="W12" s="5">
        <v>69</v>
      </c>
      <c r="X12" s="43">
        <f>V12/W12</f>
        <v>0.46376811594202899</v>
      </c>
    </row>
    <row r="13" spans="1:24" ht="45.75" customHeight="1">
      <c r="A13" s="735" t="s">
        <v>1741</v>
      </c>
      <c r="B13" s="726" t="s">
        <v>1718</v>
      </c>
      <c r="C13" s="234">
        <v>1</v>
      </c>
      <c r="D13" s="235" t="s">
        <v>95</v>
      </c>
      <c r="E13" s="234">
        <v>2</v>
      </c>
      <c r="F13" s="235" t="s">
        <v>110</v>
      </c>
      <c r="G13" s="171" t="s">
        <v>484</v>
      </c>
      <c r="H13" s="246" t="s">
        <v>727</v>
      </c>
      <c r="I13" s="770" t="s">
        <v>135</v>
      </c>
      <c r="J13" s="80" t="s">
        <v>133</v>
      </c>
      <c r="K13" s="80" t="s">
        <v>134</v>
      </c>
      <c r="L13" s="192">
        <v>1</v>
      </c>
      <c r="M13" s="193">
        <v>0.36363636363636365</v>
      </c>
      <c r="N13" s="193">
        <v>0.54545454545454541</v>
      </c>
      <c r="O13" s="193">
        <v>0.72727272727272729</v>
      </c>
      <c r="P13" s="784">
        <v>1</v>
      </c>
      <c r="Q13" s="822" t="s">
        <v>1796</v>
      </c>
      <c r="R13" s="1035" t="s">
        <v>1785</v>
      </c>
      <c r="S13" s="20" t="s">
        <v>136</v>
      </c>
      <c r="T13" s="12" t="s">
        <v>137</v>
      </c>
      <c r="U13" s="13"/>
    </row>
    <row r="14" spans="1:24" ht="54" customHeight="1">
      <c r="A14" s="735" t="s">
        <v>1741</v>
      </c>
      <c r="B14" s="726" t="s">
        <v>1718</v>
      </c>
      <c r="C14" s="234">
        <v>1</v>
      </c>
      <c r="D14" s="235" t="s">
        <v>95</v>
      </c>
      <c r="E14" s="234">
        <v>2</v>
      </c>
      <c r="F14" s="235" t="s">
        <v>110</v>
      </c>
      <c r="G14" s="171" t="s">
        <v>488</v>
      </c>
      <c r="H14" s="246" t="s">
        <v>1711</v>
      </c>
      <c r="I14" s="770" t="s">
        <v>138</v>
      </c>
      <c r="J14" s="80" t="s">
        <v>491</v>
      </c>
      <c r="K14" s="80" t="s">
        <v>490</v>
      </c>
      <c r="L14" s="194">
        <v>0.86</v>
      </c>
      <c r="M14" s="194">
        <v>0.86</v>
      </c>
      <c r="N14" s="194">
        <v>0.86</v>
      </c>
      <c r="O14" s="194">
        <v>0.86</v>
      </c>
      <c r="P14" s="785">
        <v>0.86</v>
      </c>
      <c r="Q14" s="822" t="s">
        <v>1796</v>
      </c>
      <c r="R14" s="1036" t="s">
        <v>1785</v>
      </c>
      <c r="S14" s="20" t="s">
        <v>139</v>
      </c>
      <c r="T14" s="12" t="s">
        <v>140</v>
      </c>
      <c r="U14" s="13"/>
    </row>
    <row r="15" spans="1:24" ht="39.75" customHeight="1">
      <c r="A15" s="735" t="s">
        <v>1741</v>
      </c>
      <c r="B15" s="726" t="s">
        <v>1718</v>
      </c>
      <c r="C15" s="234">
        <v>1</v>
      </c>
      <c r="D15" s="235" t="s">
        <v>95</v>
      </c>
      <c r="E15" s="234">
        <v>2</v>
      </c>
      <c r="F15" s="235" t="s">
        <v>110</v>
      </c>
      <c r="G15" s="171" t="s">
        <v>489</v>
      </c>
      <c r="H15" s="246" t="s">
        <v>1712</v>
      </c>
      <c r="I15" s="770" t="s">
        <v>138</v>
      </c>
      <c r="J15" s="80" t="s">
        <v>492</v>
      </c>
      <c r="K15" s="80" t="s">
        <v>493</v>
      </c>
      <c r="L15" s="194">
        <v>0.3</v>
      </c>
      <c r="M15" s="194">
        <v>0.3</v>
      </c>
      <c r="N15" s="194">
        <v>0.3</v>
      </c>
      <c r="O15" s="194">
        <v>0.3</v>
      </c>
      <c r="P15" s="785">
        <v>0.3</v>
      </c>
      <c r="Q15" s="822" t="s">
        <v>1796</v>
      </c>
      <c r="R15" s="1036" t="s">
        <v>1785</v>
      </c>
      <c r="S15" s="20" t="s">
        <v>139</v>
      </c>
      <c r="T15" s="12" t="s">
        <v>140</v>
      </c>
      <c r="U15" s="13"/>
    </row>
    <row r="16" spans="1:24" ht="32.25" customHeight="1">
      <c r="A16" s="735" t="s">
        <v>1741</v>
      </c>
      <c r="B16" s="726" t="s">
        <v>1718</v>
      </c>
      <c r="C16" s="234">
        <v>1</v>
      </c>
      <c r="D16" s="235" t="s">
        <v>95</v>
      </c>
      <c r="E16" s="70">
        <v>3</v>
      </c>
      <c r="F16" s="229" t="s">
        <v>141</v>
      </c>
      <c r="G16" s="237" t="s">
        <v>494</v>
      </c>
      <c r="H16" s="245" t="s">
        <v>142</v>
      </c>
      <c r="I16" s="770" t="s">
        <v>107</v>
      </c>
      <c r="J16" s="80" t="s">
        <v>143</v>
      </c>
      <c r="K16" s="80" t="s">
        <v>144</v>
      </c>
      <c r="L16" s="184">
        <v>0.2</v>
      </c>
      <c r="M16" s="184">
        <v>0</v>
      </c>
      <c r="N16" s="184">
        <v>0</v>
      </c>
      <c r="O16" s="184">
        <v>0.1</v>
      </c>
      <c r="P16" s="786">
        <v>0.1</v>
      </c>
      <c r="Q16" s="823" t="s">
        <v>1805</v>
      </c>
      <c r="R16" s="808" t="s">
        <v>1787</v>
      </c>
      <c r="S16" s="20" t="s">
        <v>145</v>
      </c>
      <c r="T16" s="10" t="s">
        <v>146</v>
      </c>
      <c r="U16" s="8" t="s">
        <v>147</v>
      </c>
    </row>
    <row r="17" spans="1:22" ht="102">
      <c r="A17" s="735" t="s">
        <v>1741</v>
      </c>
      <c r="B17" s="726" t="s">
        <v>1718</v>
      </c>
      <c r="C17" s="231">
        <v>1</v>
      </c>
      <c r="D17" s="235" t="s">
        <v>95</v>
      </c>
      <c r="E17" s="234">
        <v>3</v>
      </c>
      <c r="F17" s="235" t="s">
        <v>141</v>
      </c>
      <c r="G17" s="238" t="s">
        <v>495</v>
      </c>
      <c r="H17" s="245" t="s">
        <v>148</v>
      </c>
      <c r="I17" s="770" t="s">
        <v>107</v>
      </c>
      <c r="J17" s="80" t="s">
        <v>143</v>
      </c>
      <c r="K17" s="80" t="s">
        <v>149</v>
      </c>
      <c r="L17" s="185">
        <v>0.2</v>
      </c>
      <c r="M17" s="185">
        <v>0</v>
      </c>
      <c r="N17" s="185">
        <v>0</v>
      </c>
      <c r="O17" s="185">
        <v>0.1</v>
      </c>
      <c r="P17" s="787">
        <v>0.1</v>
      </c>
      <c r="Q17" s="823" t="s">
        <v>1805</v>
      </c>
      <c r="R17" s="808" t="s">
        <v>1787</v>
      </c>
      <c r="S17" s="20">
        <v>1</v>
      </c>
      <c r="T17" s="10" t="s">
        <v>150</v>
      </c>
      <c r="U17" s="13"/>
    </row>
    <row r="18" spans="1:22" ht="93" customHeight="1">
      <c r="A18" s="735" t="s">
        <v>1741</v>
      </c>
      <c r="B18" s="726" t="s">
        <v>1718</v>
      </c>
      <c r="C18" s="231">
        <v>1</v>
      </c>
      <c r="D18" s="232" t="s">
        <v>95</v>
      </c>
      <c r="E18" s="234">
        <v>3</v>
      </c>
      <c r="F18" s="235" t="s">
        <v>141</v>
      </c>
      <c r="G18" s="238" t="s">
        <v>496</v>
      </c>
      <c r="H18" s="246" t="s">
        <v>161</v>
      </c>
      <c r="I18" s="770" t="s">
        <v>107</v>
      </c>
      <c r="J18" s="239" t="s">
        <v>162</v>
      </c>
      <c r="K18" s="115" t="s">
        <v>163</v>
      </c>
      <c r="L18" s="186">
        <v>39723.906666666669</v>
      </c>
      <c r="M18" s="186">
        <v>9930.9766666666674</v>
      </c>
      <c r="N18" s="186">
        <v>19861.953333333335</v>
      </c>
      <c r="O18" s="186">
        <v>29792.93</v>
      </c>
      <c r="P18" s="788">
        <v>39723.906666666669</v>
      </c>
      <c r="Q18" s="823" t="s">
        <v>1805</v>
      </c>
      <c r="R18" s="809" t="s">
        <v>1787</v>
      </c>
      <c r="S18" s="828" t="s">
        <v>164</v>
      </c>
      <c r="T18" s="133" t="s">
        <v>163</v>
      </c>
      <c r="U18" s="13"/>
    </row>
    <row r="19" spans="1:22" ht="48" customHeight="1">
      <c r="A19" s="735" t="s">
        <v>1741</v>
      </c>
      <c r="B19" s="726" t="s">
        <v>1718</v>
      </c>
      <c r="C19" s="234">
        <v>1</v>
      </c>
      <c r="D19" s="232" t="s">
        <v>95</v>
      </c>
      <c r="E19" s="70">
        <v>4</v>
      </c>
      <c r="F19" s="229" t="s">
        <v>151</v>
      </c>
      <c r="G19" s="183" t="s">
        <v>498</v>
      </c>
      <c r="H19" s="238" t="s">
        <v>152</v>
      </c>
      <c r="I19" s="770" t="s">
        <v>107</v>
      </c>
      <c r="J19" s="81" t="s">
        <v>153</v>
      </c>
      <c r="K19" s="82" t="s">
        <v>154</v>
      </c>
      <c r="L19" s="10">
        <v>16</v>
      </c>
      <c r="M19" s="10">
        <v>4</v>
      </c>
      <c r="N19" s="10">
        <v>4</v>
      </c>
      <c r="O19" s="10">
        <v>4</v>
      </c>
      <c r="P19" s="12">
        <v>4</v>
      </c>
      <c r="Q19" s="823" t="s">
        <v>1805</v>
      </c>
      <c r="R19" s="805" t="s">
        <v>1787</v>
      </c>
      <c r="S19" s="829" t="s">
        <v>155</v>
      </c>
      <c r="T19" s="10" t="s">
        <v>156</v>
      </c>
      <c r="U19" s="1099" t="s">
        <v>640</v>
      </c>
    </row>
    <row r="20" spans="1:22" ht="66.75" customHeight="1">
      <c r="A20" s="735" t="s">
        <v>1741</v>
      </c>
      <c r="B20" s="726" t="s">
        <v>1718</v>
      </c>
      <c r="C20" s="231">
        <v>1</v>
      </c>
      <c r="D20" s="232" t="s">
        <v>95</v>
      </c>
      <c r="E20" s="234">
        <v>4</v>
      </c>
      <c r="F20" s="235" t="s">
        <v>151</v>
      </c>
      <c r="G20" s="48" t="s">
        <v>499</v>
      </c>
      <c r="H20" s="245" t="s">
        <v>157</v>
      </c>
      <c r="I20" s="770" t="s">
        <v>107</v>
      </c>
      <c r="J20" s="115" t="s">
        <v>158</v>
      </c>
      <c r="K20" s="115" t="s">
        <v>159</v>
      </c>
      <c r="L20" s="186">
        <v>4276.9066666666668</v>
      </c>
      <c r="M20" s="186">
        <v>1069.2266666666667</v>
      </c>
      <c r="N20" s="186">
        <v>1069.2266666666667</v>
      </c>
      <c r="O20" s="186">
        <v>1069.2266666666667</v>
      </c>
      <c r="P20" s="788">
        <v>1069.2266666666667</v>
      </c>
      <c r="Q20" s="823" t="s">
        <v>1805</v>
      </c>
      <c r="R20" s="809" t="s">
        <v>1787</v>
      </c>
      <c r="S20" s="236" t="s">
        <v>160</v>
      </c>
      <c r="T20" s="115" t="s">
        <v>159</v>
      </c>
      <c r="U20" s="1100"/>
      <c r="V20" s="5">
        <f>128303*0.1</f>
        <v>12830.300000000001</v>
      </c>
    </row>
    <row r="21" spans="1:22" ht="66.75" customHeight="1">
      <c r="A21" s="735" t="s">
        <v>1741</v>
      </c>
      <c r="B21" s="726" t="s">
        <v>1718</v>
      </c>
      <c r="C21" s="234">
        <v>1</v>
      </c>
      <c r="D21" s="232" t="s">
        <v>95</v>
      </c>
      <c r="E21" s="70">
        <v>5</v>
      </c>
      <c r="F21" s="229" t="s">
        <v>165</v>
      </c>
      <c r="G21" s="197" t="s">
        <v>500</v>
      </c>
      <c r="H21" s="246" t="s">
        <v>497</v>
      </c>
      <c r="I21" s="770" t="s">
        <v>166</v>
      </c>
      <c r="J21" s="83" t="s">
        <v>143</v>
      </c>
      <c r="K21" s="83" t="s">
        <v>502</v>
      </c>
      <c r="L21" s="185">
        <v>0.1</v>
      </c>
      <c r="M21" s="185">
        <v>0</v>
      </c>
      <c r="N21" s="185">
        <v>0</v>
      </c>
      <c r="O21" s="185">
        <v>0.05</v>
      </c>
      <c r="P21" s="787">
        <v>0.05</v>
      </c>
      <c r="Q21" s="823" t="s">
        <v>1805</v>
      </c>
      <c r="R21" s="808" t="s">
        <v>1787</v>
      </c>
      <c r="S21" s="830" t="s">
        <v>167</v>
      </c>
      <c r="T21" s="10" t="s">
        <v>168</v>
      </c>
      <c r="U21" s="10" t="s">
        <v>169</v>
      </c>
    </row>
    <row r="22" spans="1:22" ht="71.25" customHeight="1">
      <c r="A22" s="735" t="s">
        <v>1741</v>
      </c>
      <c r="B22" s="726" t="s">
        <v>1718</v>
      </c>
      <c r="C22" s="234">
        <v>1</v>
      </c>
      <c r="D22" s="232" t="s">
        <v>95</v>
      </c>
      <c r="E22" s="61">
        <v>5</v>
      </c>
      <c r="F22" s="240" t="s">
        <v>165</v>
      </c>
      <c r="G22" s="197" t="s">
        <v>501</v>
      </c>
      <c r="H22" s="246" t="s">
        <v>497</v>
      </c>
      <c r="I22" s="770" t="s">
        <v>166</v>
      </c>
      <c r="J22" s="83" t="s">
        <v>143</v>
      </c>
      <c r="K22" s="83" t="s">
        <v>503</v>
      </c>
      <c r="L22" s="185">
        <v>6.6666666666666666E-2</v>
      </c>
      <c r="M22" s="185">
        <v>0</v>
      </c>
      <c r="N22" s="185">
        <v>0</v>
      </c>
      <c r="O22" s="185">
        <v>3.5000000000000003E-2</v>
      </c>
      <c r="P22" s="787">
        <v>3.5000000000000003E-2</v>
      </c>
      <c r="Q22" s="823" t="s">
        <v>1805</v>
      </c>
      <c r="R22" s="808" t="s">
        <v>1787</v>
      </c>
      <c r="S22" s="830" t="s">
        <v>167</v>
      </c>
      <c r="T22" s="10" t="s">
        <v>168</v>
      </c>
      <c r="U22" s="10" t="s">
        <v>169</v>
      </c>
    </row>
    <row r="23" spans="1:22" ht="115.5" customHeight="1">
      <c r="A23" s="735" t="s">
        <v>1741</v>
      </c>
      <c r="B23" s="726" t="s">
        <v>1718</v>
      </c>
      <c r="C23" s="234">
        <v>1</v>
      </c>
      <c r="D23" s="235" t="s">
        <v>95</v>
      </c>
      <c r="E23" s="70">
        <v>6</v>
      </c>
      <c r="F23" s="237" t="s">
        <v>1713</v>
      </c>
      <c r="G23" s="48" t="s">
        <v>504</v>
      </c>
      <c r="H23" s="246" t="s">
        <v>728</v>
      </c>
      <c r="I23" s="770" t="s">
        <v>172</v>
      </c>
      <c r="J23" s="83" t="s">
        <v>170</v>
      </c>
      <c r="K23" s="83" t="s">
        <v>171</v>
      </c>
      <c r="L23" s="10">
        <v>24540</v>
      </c>
      <c r="M23" s="10">
        <v>540</v>
      </c>
      <c r="N23" s="10">
        <v>8000</v>
      </c>
      <c r="O23" s="10">
        <v>8000</v>
      </c>
      <c r="P23" s="12">
        <v>8000</v>
      </c>
      <c r="Q23" s="825" t="s">
        <v>1805</v>
      </c>
      <c r="R23" s="805" t="s">
        <v>1787</v>
      </c>
      <c r="S23" s="132" t="s">
        <v>173</v>
      </c>
      <c r="T23" s="10" t="s">
        <v>174</v>
      </c>
      <c r="U23" s="8" t="s">
        <v>175</v>
      </c>
    </row>
    <row r="24" spans="1:22" ht="44.25" customHeight="1">
      <c r="A24" s="735" t="s">
        <v>1741</v>
      </c>
      <c r="B24" s="726" t="s">
        <v>1718</v>
      </c>
      <c r="C24" s="61">
        <v>1</v>
      </c>
      <c r="D24" s="240" t="s">
        <v>95</v>
      </c>
      <c r="E24" s="61">
        <v>6</v>
      </c>
      <c r="F24" s="240" t="s">
        <v>1759</v>
      </c>
      <c r="G24" s="48" t="s">
        <v>505</v>
      </c>
      <c r="H24" s="246" t="s">
        <v>176</v>
      </c>
      <c r="I24" s="770" t="s">
        <v>127</v>
      </c>
      <c r="J24" s="83" t="s">
        <v>461</v>
      </c>
      <c r="K24" s="84">
        <v>0.06</v>
      </c>
      <c r="L24" s="195">
        <v>0.02</v>
      </c>
      <c r="M24" s="195">
        <v>5.0000000000000001E-3</v>
      </c>
      <c r="N24" s="195">
        <v>0.01</v>
      </c>
      <c r="O24" s="195">
        <v>1.4999999999999999E-2</v>
      </c>
      <c r="P24" s="789">
        <v>0.02</v>
      </c>
      <c r="Q24" s="825" t="s">
        <v>1805</v>
      </c>
      <c r="R24" s="810" t="s">
        <v>1787</v>
      </c>
      <c r="S24" s="20" t="s">
        <v>177</v>
      </c>
      <c r="T24" s="10" t="s">
        <v>178</v>
      </c>
      <c r="U24" s="14"/>
    </row>
    <row r="25" spans="1:22" ht="114.75">
      <c r="A25" s="735" t="s">
        <v>1741</v>
      </c>
      <c r="B25" s="726" t="s">
        <v>1718</v>
      </c>
      <c r="C25" s="70">
        <v>2</v>
      </c>
      <c r="D25" s="237" t="s">
        <v>179</v>
      </c>
      <c r="E25" s="70">
        <v>7</v>
      </c>
      <c r="F25" s="229" t="s">
        <v>180</v>
      </c>
      <c r="G25" s="183" t="s">
        <v>506</v>
      </c>
      <c r="H25" s="246" t="s">
        <v>1714</v>
      </c>
      <c r="I25" s="770" t="s">
        <v>107</v>
      </c>
      <c r="J25" s="83" t="s">
        <v>143</v>
      </c>
      <c r="K25" s="84">
        <v>1</v>
      </c>
      <c r="L25" s="185">
        <v>7.4999999999999997E-2</v>
      </c>
      <c r="M25" s="185">
        <v>2.5000000000000001E-2</v>
      </c>
      <c r="N25" s="185">
        <v>0.05</v>
      </c>
      <c r="O25" s="185">
        <v>7.4999999999999997E-2</v>
      </c>
      <c r="P25" s="787">
        <v>0.1</v>
      </c>
      <c r="Q25" s="823" t="s">
        <v>1801</v>
      </c>
      <c r="R25" s="811" t="s">
        <v>1785</v>
      </c>
      <c r="S25" s="20" t="s">
        <v>181</v>
      </c>
      <c r="T25" s="10" t="s">
        <v>182</v>
      </c>
      <c r="U25" s="8" t="s">
        <v>183</v>
      </c>
    </row>
    <row r="26" spans="1:22" ht="102">
      <c r="A26" s="735" t="s">
        <v>1741</v>
      </c>
      <c r="B26" s="726" t="s">
        <v>1718</v>
      </c>
      <c r="C26" s="234">
        <v>2</v>
      </c>
      <c r="D26" s="241" t="s">
        <v>179</v>
      </c>
      <c r="E26" s="234">
        <v>7</v>
      </c>
      <c r="F26" s="240" t="s">
        <v>180</v>
      </c>
      <c r="G26" s="197" t="s">
        <v>507</v>
      </c>
      <c r="H26" s="246" t="s">
        <v>184</v>
      </c>
      <c r="I26" s="770" t="s">
        <v>107</v>
      </c>
      <c r="J26" s="83" t="s">
        <v>143</v>
      </c>
      <c r="K26" s="84">
        <v>1</v>
      </c>
      <c r="L26" s="185">
        <v>1</v>
      </c>
      <c r="M26" s="185">
        <v>1</v>
      </c>
      <c r="N26" s="185"/>
      <c r="O26" s="185"/>
      <c r="P26" s="787"/>
      <c r="Q26" s="823" t="s">
        <v>1801</v>
      </c>
      <c r="R26" s="811" t="s">
        <v>1785</v>
      </c>
      <c r="S26" s="20" t="s">
        <v>145</v>
      </c>
      <c r="T26" s="10" t="s">
        <v>185</v>
      </c>
      <c r="U26" s="8"/>
    </row>
    <row r="27" spans="1:22" ht="127.5">
      <c r="A27" s="735" t="s">
        <v>1741</v>
      </c>
      <c r="B27" s="726" t="s">
        <v>1718</v>
      </c>
      <c r="C27" s="234">
        <v>2</v>
      </c>
      <c r="D27" s="241" t="s">
        <v>179</v>
      </c>
      <c r="E27" s="70">
        <v>8</v>
      </c>
      <c r="F27" s="229" t="s">
        <v>186</v>
      </c>
      <c r="G27" s="197" t="s">
        <v>508</v>
      </c>
      <c r="H27" s="246" t="s">
        <v>1766</v>
      </c>
      <c r="I27" s="770" t="s">
        <v>187</v>
      </c>
      <c r="J27" s="83" t="s">
        <v>145</v>
      </c>
      <c r="K27" s="84">
        <v>1</v>
      </c>
      <c r="L27" s="185">
        <v>1</v>
      </c>
      <c r="M27" s="185">
        <v>0</v>
      </c>
      <c r="N27" s="185">
        <v>0.5</v>
      </c>
      <c r="O27" s="185">
        <v>0.75</v>
      </c>
      <c r="P27" s="787">
        <v>1</v>
      </c>
      <c r="Q27" s="823" t="s">
        <v>1801</v>
      </c>
      <c r="R27" s="811" t="s">
        <v>1785</v>
      </c>
      <c r="S27" s="20" t="s">
        <v>188</v>
      </c>
      <c r="T27" s="10" t="s">
        <v>189</v>
      </c>
      <c r="U27" s="8" t="s">
        <v>190</v>
      </c>
    </row>
    <row r="28" spans="1:22" ht="69.75" customHeight="1">
      <c r="A28" s="735" t="s">
        <v>1741</v>
      </c>
      <c r="B28" s="726" t="s">
        <v>1718</v>
      </c>
      <c r="C28" s="234">
        <v>2</v>
      </c>
      <c r="D28" s="241" t="s">
        <v>179</v>
      </c>
      <c r="E28" s="70">
        <v>9</v>
      </c>
      <c r="F28" s="229" t="s">
        <v>191</v>
      </c>
      <c r="G28" s="237" t="s">
        <v>509</v>
      </c>
      <c r="H28" s="244" t="s">
        <v>192</v>
      </c>
      <c r="I28" s="770" t="s">
        <v>107</v>
      </c>
      <c r="J28" s="80" t="s">
        <v>145</v>
      </c>
      <c r="K28" s="85">
        <v>1</v>
      </c>
      <c r="L28" s="196">
        <v>8.7499999999999994E-2</v>
      </c>
      <c r="M28" s="196">
        <v>1.2500000000000001E-2</v>
      </c>
      <c r="N28" s="196">
        <v>3.7499999999999999E-2</v>
      </c>
      <c r="O28" s="196">
        <v>6.25E-2</v>
      </c>
      <c r="P28" s="790">
        <v>8.7499999999999994E-2</v>
      </c>
      <c r="Q28" s="823" t="s">
        <v>1803</v>
      </c>
      <c r="R28" s="808" t="s">
        <v>1787</v>
      </c>
      <c r="S28" s="15" t="s">
        <v>145</v>
      </c>
      <c r="T28" s="8" t="s">
        <v>193</v>
      </c>
      <c r="U28" s="8" t="s">
        <v>194</v>
      </c>
    </row>
    <row r="29" spans="1:22" ht="102">
      <c r="A29" s="735" t="s">
        <v>1741</v>
      </c>
      <c r="B29" s="726" t="s">
        <v>1718</v>
      </c>
      <c r="C29" s="70">
        <v>3</v>
      </c>
      <c r="D29" s="242" t="s">
        <v>643</v>
      </c>
      <c r="E29" s="182">
        <v>10</v>
      </c>
      <c r="F29" s="243" t="s">
        <v>1771</v>
      </c>
      <c r="G29" s="247" t="s">
        <v>510</v>
      </c>
      <c r="H29" s="247" t="s">
        <v>726</v>
      </c>
      <c r="I29" s="771" t="s">
        <v>107</v>
      </c>
      <c r="J29" s="167" t="s">
        <v>145</v>
      </c>
      <c r="K29" s="168" t="s">
        <v>195</v>
      </c>
      <c r="L29" s="198">
        <v>0.4</v>
      </c>
      <c r="M29" s="198">
        <v>0.13</v>
      </c>
      <c r="N29" s="198">
        <v>0</v>
      </c>
      <c r="O29" s="198">
        <v>0</v>
      </c>
      <c r="P29" s="791">
        <v>6.5000000000000002E-2</v>
      </c>
      <c r="Q29" s="823" t="s">
        <v>1805</v>
      </c>
      <c r="R29" s="811" t="s">
        <v>1785</v>
      </c>
      <c r="S29" s="831">
        <v>0.13</v>
      </c>
      <c r="T29" s="10"/>
      <c r="U29" s="10"/>
    </row>
    <row r="30" spans="1:22" ht="102.75" thickBot="1">
      <c r="A30" s="736" t="s">
        <v>1741</v>
      </c>
      <c r="B30" s="725" t="s">
        <v>1718</v>
      </c>
      <c r="C30" s="702">
        <v>3</v>
      </c>
      <c r="D30" s="703" t="s">
        <v>643</v>
      </c>
      <c r="E30" s="704">
        <v>11</v>
      </c>
      <c r="F30" s="705" t="s">
        <v>653</v>
      </c>
      <c r="G30" s="832" t="s">
        <v>511</v>
      </c>
      <c r="H30" s="706" t="s">
        <v>725</v>
      </c>
      <c r="I30" s="772" t="s">
        <v>107</v>
      </c>
      <c r="J30" s="708" t="s">
        <v>145</v>
      </c>
      <c r="K30" s="709" t="s">
        <v>195</v>
      </c>
      <c r="L30" s="710">
        <v>0.4</v>
      </c>
      <c r="M30" s="710">
        <v>0.13</v>
      </c>
      <c r="N30" s="710">
        <v>0</v>
      </c>
      <c r="O30" s="710">
        <v>0</v>
      </c>
      <c r="P30" s="792">
        <v>6.5000000000000002E-2</v>
      </c>
      <c r="Q30" s="823" t="s">
        <v>1804</v>
      </c>
      <c r="R30" s="811" t="s">
        <v>1787</v>
      </c>
      <c r="S30" s="831">
        <v>0.13</v>
      </c>
      <c r="T30" s="10"/>
      <c r="U30" s="10"/>
    </row>
    <row r="31" spans="1:22" ht="127.5">
      <c r="A31" s="737" t="s">
        <v>1719</v>
      </c>
      <c r="B31" s="727" t="s">
        <v>1720</v>
      </c>
      <c r="C31" s="22">
        <v>4</v>
      </c>
      <c r="D31" s="8" t="s">
        <v>197</v>
      </c>
      <c r="E31" s="148">
        <v>12</v>
      </c>
      <c r="F31" s="121" t="s">
        <v>198</v>
      </c>
      <c r="G31" s="222" t="s">
        <v>515</v>
      </c>
      <c r="H31" s="47" t="s">
        <v>512</v>
      </c>
      <c r="I31" s="770" t="s">
        <v>107</v>
      </c>
      <c r="J31" s="82" t="s">
        <v>199</v>
      </c>
      <c r="K31" s="80" t="s">
        <v>200</v>
      </c>
      <c r="L31" s="93" t="s">
        <v>518</v>
      </c>
      <c r="M31" s="93" t="s">
        <v>518</v>
      </c>
      <c r="N31" s="93" t="s">
        <v>518</v>
      </c>
      <c r="O31" s="93" t="s">
        <v>518</v>
      </c>
      <c r="P31" s="793" t="s">
        <v>518</v>
      </c>
      <c r="Q31" s="834" t="s">
        <v>1802</v>
      </c>
      <c r="R31" s="812" t="s">
        <v>1787</v>
      </c>
    </row>
    <row r="32" spans="1:22" ht="114.75">
      <c r="A32" s="738" t="s">
        <v>1742</v>
      </c>
      <c r="B32" s="726" t="s">
        <v>1721</v>
      </c>
      <c r="C32" s="24">
        <v>4</v>
      </c>
      <c r="D32" s="18" t="s">
        <v>197</v>
      </c>
      <c r="E32" s="16">
        <v>12</v>
      </c>
      <c r="F32" s="123" t="s">
        <v>198</v>
      </c>
      <c r="G32" s="202" t="s">
        <v>517</v>
      </c>
      <c r="H32" s="47" t="s">
        <v>513</v>
      </c>
      <c r="I32" s="770" t="s">
        <v>107</v>
      </c>
      <c r="J32" s="82" t="s">
        <v>202</v>
      </c>
      <c r="K32" s="80" t="s">
        <v>203</v>
      </c>
      <c r="L32" s="82" t="s">
        <v>514</v>
      </c>
      <c r="M32" s="201">
        <v>9613.5</v>
      </c>
      <c r="N32" s="201">
        <v>9367</v>
      </c>
      <c r="O32" s="201">
        <v>9120.5</v>
      </c>
      <c r="P32" s="794">
        <v>8874</v>
      </c>
      <c r="Q32" s="824" t="s">
        <v>1802</v>
      </c>
      <c r="R32" s="813" t="s">
        <v>1787</v>
      </c>
    </row>
    <row r="33" spans="1:18" ht="114.75">
      <c r="A33" s="738" t="s">
        <v>1742</v>
      </c>
      <c r="B33" s="726" t="s">
        <v>1721</v>
      </c>
      <c r="C33" s="24">
        <v>4</v>
      </c>
      <c r="D33" s="18" t="s">
        <v>197</v>
      </c>
      <c r="E33" s="26">
        <v>12</v>
      </c>
      <c r="F33" s="123" t="s">
        <v>198</v>
      </c>
      <c r="G33" s="202" t="s">
        <v>516</v>
      </c>
      <c r="H33" s="47" t="s">
        <v>206</v>
      </c>
      <c r="I33" s="212" t="s">
        <v>107</v>
      </c>
      <c r="J33" s="86" t="s">
        <v>145</v>
      </c>
      <c r="K33" s="86" t="s">
        <v>207</v>
      </c>
      <c r="L33" s="10">
        <v>2</v>
      </c>
      <c r="M33" s="10">
        <v>0</v>
      </c>
      <c r="N33" s="10">
        <v>1</v>
      </c>
      <c r="O33" s="10">
        <v>0</v>
      </c>
      <c r="P33" s="12">
        <v>1</v>
      </c>
      <c r="Q33" s="825" t="s">
        <v>1802</v>
      </c>
      <c r="R33" s="805" t="s">
        <v>1787</v>
      </c>
    </row>
    <row r="34" spans="1:18" ht="114.75">
      <c r="A34" s="738" t="s">
        <v>1742</v>
      </c>
      <c r="B34" s="726" t="s">
        <v>1721</v>
      </c>
      <c r="C34" s="16">
        <v>4</v>
      </c>
      <c r="D34" s="9" t="s">
        <v>197</v>
      </c>
      <c r="E34" s="312">
        <v>13</v>
      </c>
      <c r="F34" s="121" t="s">
        <v>210</v>
      </c>
      <c r="G34" s="203" t="s">
        <v>520</v>
      </c>
      <c r="H34" s="46" t="s">
        <v>519</v>
      </c>
      <c r="I34" s="212" t="s">
        <v>107</v>
      </c>
      <c r="J34" s="87" t="s">
        <v>211</v>
      </c>
      <c r="K34" s="88">
        <v>0.5</v>
      </c>
      <c r="L34" s="185">
        <v>0.16666666666666666</v>
      </c>
      <c r="M34" s="185">
        <v>7.0000000000000007E-2</v>
      </c>
      <c r="N34" s="185">
        <v>0.12</v>
      </c>
      <c r="O34" s="185">
        <v>0.17</v>
      </c>
      <c r="P34" s="787">
        <v>0.17</v>
      </c>
      <c r="Q34" s="823" t="s">
        <v>1802</v>
      </c>
      <c r="R34" s="808" t="s">
        <v>1787</v>
      </c>
    </row>
    <row r="35" spans="1:18" ht="114.75">
      <c r="A35" s="738" t="s">
        <v>1742</v>
      </c>
      <c r="B35" s="726" t="s">
        <v>1721</v>
      </c>
      <c r="C35" s="16">
        <v>4</v>
      </c>
      <c r="D35" s="9" t="s">
        <v>197</v>
      </c>
      <c r="E35" s="16">
        <v>13</v>
      </c>
      <c r="F35" s="125" t="s">
        <v>210</v>
      </c>
      <c r="G35" s="208" t="s">
        <v>521</v>
      </c>
      <c r="H35" s="46" t="s">
        <v>213</v>
      </c>
      <c r="I35" s="212" t="s">
        <v>107</v>
      </c>
      <c r="J35" s="87" t="s">
        <v>211</v>
      </c>
      <c r="K35" s="88">
        <v>0.5</v>
      </c>
      <c r="L35" s="185">
        <v>0.16666666666666666</v>
      </c>
      <c r="M35" s="185">
        <v>7.0000000000000007E-2</v>
      </c>
      <c r="N35" s="185">
        <v>0.12</v>
      </c>
      <c r="O35" s="185">
        <v>0.17</v>
      </c>
      <c r="P35" s="787">
        <v>0.17</v>
      </c>
      <c r="Q35" s="823" t="s">
        <v>1802</v>
      </c>
      <c r="R35" s="808" t="s">
        <v>1787</v>
      </c>
    </row>
    <row r="36" spans="1:18" ht="114.75">
      <c r="A36" s="738" t="s">
        <v>1742</v>
      </c>
      <c r="B36" s="726" t="s">
        <v>1721</v>
      </c>
      <c r="C36" s="16">
        <v>4</v>
      </c>
      <c r="D36" s="18" t="s">
        <v>197</v>
      </c>
      <c r="E36" s="151">
        <v>14</v>
      </c>
      <c r="F36" s="122" t="s">
        <v>215</v>
      </c>
      <c r="G36" s="208" t="s">
        <v>522</v>
      </c>
      <c r="H36" s="46" t="s">
        <v>729</v>
      </c>
      <c r="I36" s="212" t="s">
        <v>100</v>
      </c>
      <c r="J36" s="89">
        <f>255369/956843</f>
        <v>0.26688704416503023</v>
      </c>
      <c r="K36" s="88">
        <v>0.35</v>
      </c>
      <c r="L36" s="185">
        <v>0.29459136277668679</v>
      </c>
      <c r="M36" s="185">
        <v>0.27381312381794437</v>
      </c>
      <c r="N36" s="185">
        <v>0.28073920347085851</v>
      </c>
      <c r="O36" s="185">
        <v>0.28766528312377265</v>
      </c>
      <c r="P36" s="787">
        <v>0.29459136277668679</v>
      </c>
      <c r="Q36" s="823" t="s">
        <v>1798</v>
      </c>
      <c r="R36" s="808" t="s">
        <v>1787</v>
      </c>
    </row>
    <row r="37" spans="1:18" ht="114.75">
      <c r="A37" s="738" t="s">
        <v>1742</v>
      </c>
      <c r="B37" s="726" t="s">
        <v>1721</v>
      </c>
      <c r="C37" s="16">
        <v>4</v>
      </c>
      <c r="D37" s="18" t="s">
        <v>197</v>
      </c>
      <c r="E37" s="16">
        <v>14</v>
      </c>
      <c r="F37" s="123" t="s">
        <v>215</v>
      </c>
      <c r="G37" s="208" t="s">
        <v>523</v>
      </c>
      <c r="H37" s="46" t="s">
        <v>525</v>
      </c>
      <c r="I37" s="212" t="s">
        <v>107</v>
      </c>
      <c r="J37" s="87" t="s">
        <v>145</v>
      </c>
      <c r="K37" s="88" t="s">
        <v>219</v>
      </c>
      <c r="L37" s="96" t="s">
        <v>526</v>
      </c>
      <c r="M37" s="96" t="s">
        <v>526</v>
      </c>
      <c r="N37" s="96" t="s">
        <v>526</v>
      </c>
      <c r="O37" s="96" t="s">
        <v>526</v>
      </c>
      <c r="P37" s="95" t="s">
        <v>526</v>
      </c>
      <c r="Q37" s="825" t="s">
        <v>1798</v>
      </c>
      <c r="R37" s="814" t="s">
        <v>1787</v>
      </c>
    </row>
    <row r="38" spans="1:18" ht="114.75">
      <c r="A38" s="738" t="s">
        <v>1742</v>
      </c>
      <c r="B38" s="726" t="s">
        <v>1721</v>
      </c>
      <c r="C38" s="16">
        <v>4</v>
      </c>
      <c r="D38" s="18" t="s">
        <v>197</v>
      </c>
      <c r="E38" s="16">
        <v>14</v>
      </c>
      <c r="F38" s="123" t="s">
        <v>215</v>
      </c>
      <c r="G38" s="208" t="s">
        <v>524</v>
      </c>
      <c r="H38" s="209" t="s">
        <v>537</v>
      </c>
      <c r="I38" s="212" t="s">
        <v>107</v>
      </c>
      <c r="J38" s="134">
        <f>7428/586458</f>
        <v>1.2665868655555896E-2</v>
      </c>
      <c r="K38" s="90">
        <v>0.9</v>
      </c>
      <c r="L38" s="185">
        <v>0.3</v>
      </c>
      <c r="M38" s="185">
        <v>7.4999999999999997E-2</v>
      </c>
      <c r="N38" s="185">
        <v>0.15</v>
      </c>
      <c r="O38" s="185">
        <v>0.22499999999999998</v>
      </c>
      <c r="P38" s="787">
        <v>0.3</v>
      </c>
      <c r="Q38" s="825" t="s">
        <v>1798</v>
      </c>
      <c r="R38" s="808" t="s">
        <v>1787</v>
      </c>
    </row>
    <row r="39" spans="1:18" ht="114.75">
      <c r="A39" s="738" t="s">
        <v>1742</v>
      </c>
      <c r="B39" s="726" t="s">
        <v>1721</v>
      </c>
      <c r="C39" s="151">
        <v>5</v>
      </c>
      <c r="D39" s="28" t="s">
        <v>221</v>
      </c>
      <c r="E39" s="151">
        <v>15</v>
      </c>
      <c r="F39" s="165" t="s">
        <v>222</v>
      </c>
      <c r="G39" s="208" t="s">
        <v>532</v>
      </c>
      <c r="H39" s="46" t="s">
        <v>527</v>
      </c>
      <c r="I39" s="212" t="s">
        <v>107</v>
      </c>
      <c r="J39" s="87" t="s">
        <v>145</v>
      </c>
      <c r="K39" s="87" t="s">
        <v>223</v>
      </c>
      <c r="L39" s="211">
        <v>3.3333333333333335</v>
      </c>
      <c r="M39" s="10">
        <v>0</v>
      </c>
      <c r="N39" s="10">
        <v>1</v>
      </c>
      <c r="O39" s="10">
        <v>2</v>
      </c>
      <c r="P39" s="12">
        <v>3</v>
      </c>
      <c r="Q39" s="825" t="s">
        <v>1802</v>
      </c>
      <c r="R39" s="805" t="s">
        <v>1787</v>
      </c>
    </row>
    <row r="40" spans="1:18" ht="114.75">
      <c r="A40" s="738" t="s">
        <v>1742</v>
      </c>
      <c r="B40" s="726" t="s">
        <v>1721</v>
      </c>
      <c r="C40" s="16">
        <v>5</v>
      </c>
      <c r="D40" s="9" t="s">
        <v>221</v>
      </c>
      <c r="E40" s="16">
        <v>15</v>
      </c>
      <c r="F40" s="162" t="s">
        <v>222</v>
      </c>
      <c r="G40" s="208" t="s">
        <v>533</v>
      </c>
      <c r="H40" s="32" t="s">
        <v>530</v>
      </c>
      <c r="I40" s="212" t="s">
        <v>107</v>
      </c>
      <c r="J40" s="115" t="s">
        <v>225</v>
      </c>
      <c r="K40" s="118" t="s">
        <v>528</v>
      </c>
      <c r="L40" s="211">
        <v>1059.5666666666668</v>
      </c>
      <c r="M40" s="10">
        <v>100</v>
      </c>
      <c r="N40" s="10">
        <v>420</v>
      </c>
      <c r="O40" s="10">
        <v>740</v>
      </c>
      <c r="P40" s="12">
        <v>1060</v>
      </c>
      <c r="Q40" s="825" t="s">
        <v>1802</v>
      </c>
      <c r="R40" s="805" t="s">
        <v>1787</v>
      </c>
    </row>
    <row r="41" spans="1:18" ht="114.75">
      <c r="A41" s="738" t="s">
        <v>1742</v>
      </c>
      <c r="B41" s="726" t="s">
        <v>1721</v>
      </c>
      <c r="C41" s="16">
        <v>5</v>
      </c>
      <c r="D41" s="9" t="s">
        <v>221</v>
      </c>
      <c r="E41" s="16">
        <v>15</v>
      </c>
      <c r="F41" s="162" t="s">
        <v>222</v>
      </c>
      <c r="G41" s="208" t="s">
        <v>534</v>
      </c>
      <c r="H41" s="32" t="s">
        <v>530</v>
      </c>
      <c r="I41" s="212" t="s">
        <v>107</v>
      </c>
      <c r="J41" s="115" t="s">
        <v>225</v>
      </c>
      <c r="K41" s="118" t="s">
        <v>529</v>
      </c>
      <c r="L41" s="211">
        <v>18613.100000000002</v>
      </c>
      <c r="M41" s="211">
        <v>2653.25</v>
      </c>
      <c r="N41" s="211">
        <v>7806.5</v>
      </c>
      <c r="O41" s="211">
        <v>13209.75</v>
      </c>
      <c r="P41" s="795">
        <v>18613</v>
      </c>
      <c r="Q41" s="825" t="s">
        <v>1802</v>
      </c>
      <c r="R41" s="815" t="s">
        <v>1787</v>
      </c>
    </row>
    <row r="42" spans="1:18" ht="114.75">
      <c r="A42" s="738" t="s">
        <v>1742</v>
      </c>
      <c r="B42" s="726" t="s">
        <v>1721</v>
      </c>
      <c r="C42" s="17">
        <v>5</v>
      </c>
      <c r="D42" s="52" t="s">
        <v>221</v>
      </c>
      <c r="E42" s="17">
        <v>15</v>
      </c>
      <c r="F42" s="125" t="s">
        <v>222</v>
      </c>
      <c r="G42" s="208" t="s">
        <v>535</v>
      </c>
      <c r="H42" s="46" t="s">
        <v>531</v>
      </c>
      <c r="I42" s="770" t="s">
        <v>107</v>
      </c>
      <c r="J42" s="87">
        <v>0</v>
      </c>
      <c r="K42" s="87" t="s">
        <v>536</v>
      </c>
      <c r="L42" s="8">
        <v>3</v>
      </c>
      <c r="M42" s="8">
        <v>0</v>
      </c>
      <c r="N42" s="8">
        <v>1</v>
      </c>
      <c r="O42" s="8">
        <v>1</v>
      </c>
      <c r="P42" s="796">
        <v>1</v>
      </c>
      <c r="Q42" s="825" t="s">
        <v>1798</v>
      </c>
      <c r="R42" s="805" t="s">
        <v>1787</v>
      </c>
    </row>
    <row r="43" spans="1:18" ht="114.75">
      <c r="A43" s="738" t="s">
        <v>1742</v>
      </c>
      <c r="B43" s="726" t="s">
        <v>1721</v>
      </c>
      <c r="C43" s="145">
        <v>6</v>
      </c>
      <c r="D43" s="136" t="s">
        <v>227</v>
      </c>
      <c r="E43" s="313">
        <v>16</v>
      </c>
      <c r="F43" s="122" t="s">
        <v>228</v>
      </c>
      <c r="G43" s="208" t="s">
        <v>539</v>
      </c>
      <c r="H43" s="46" t="s">
        <v>730</v>
      </c>
      <c r="I43" s="212" t="s">
        <v>100</v>
      </c>
      <c r="J43" s="88">
        <f>18408/370384</f>
        <v>4.969977104842542E-2</v>
      </c>
      <c r="K43" s="102">
        <v>0.35</v>
      </c>
      <c r="L43" s="213">
        <v>0.15</v>
      </c>
      <c r="M43" s="213">
        <v>7.4999999999999997E-2</v>
      </c>
      <c r="N43" s="213">
        <v>0.1</v>
      </c>
      <c r="O43" s="213">
        <v>0.125</v>
      </c>
      <c r="P43" s="797">
        <v>0.15</v>
      </c>
      <c r="Q43" s="836" t="s">
        <v>1802</v>
      </c>
      <c r="R43" s="816" t="s">
        <v>1787</v>
      </c>
    </row>
    <row r="44" spans="1:18" ht="114.75">
      <c r="A44" s="738" t="s">
        <v>1742</v>
      </c>
      <c r="B44" s="726" t="s">
        <v>1721</v>
      </c>
      <c r="C44" s="16">
        <v>6</v>
      </c>
      <c r="D44" s="164" t="s">
        <v>227</v>
      </c>
      <c r="E44" s="16">
        <v>16</v>
      </c>
      <c r="F44" s="123" t="s">
        <v>228</v>
      </c>
      <c r="G44" s="208" t="s">
        <v>540</v>
      </c>
      <c r="H44" s="46" t="s">
        <v>232</v>
      </c>
      <c r="I44" s="212" t="s">
        <v>107</v>
      </c>
      <c r="J44" s="87">
        <v>0</v>
      </c>
      <c r="K44" s="88">
        <v>1</v>
      </c>
      <c r="L44" s="185">
        <v>0.33</v>
      </c>
      <c r="M44" s="185">
        <v>0.08</v>
      </c>
      <c r="N44" s="185">
        <v>0.17</v>
      </c>
      <c r="O44" s="185">
        <v>0.25</v>
      </c>
      <c r="P44" s="787">
        <v>0.33</v>
      </c>
      <c r="Q44" s="823" t="s">
        <v>1802</v>
      </c>
      <c r="R44" s="808" t="s">
        <v>1787</v>
      </c>
    </row>
    <row r="45" spans="1:18" ht="114.75">
      <c r="A45" s="738" t="s">
        <v>1742</v>
      </c>
      <c r="B45" s="726" t="s">
        <v>1721</v>
      </c>
      <c r="C45" s="16">
        <v>6</v>
      </c>
      <c r="D45" s="164" t="s">
        <v>227</v>
      </c>
      <c r="E45" s="16">
        <v>16</v>
      </c>
      <c r="F45" s="123" t="s">
        <v>228</v>
      </c>
      <c r="G45" s="208" t="s">
        <v>541</v>
      </c>
      <c r="H45" s="46" t="s">
        <v>233</v>
      </c>
      <c r="I45" s="212" t="s">
        <v>107</v>
      </c>
      <c r="J45" s="86">
        <v>0</v>
      </c>
      <c r="K45" s="88" t="s">
        <v>234</v>
      </c>
      <c r="L45" s="185">
        <v>0.1</v>
      </c>
      <c r="M45" s="185">
        <v>0.05</v>
      </c>
      <c r="N45" s="185">
        <v>8.3333333333333329E-2</v>
      </c>
      <c r="O45" s="185">
        <v>8.3333333333333329E-2</v>
      </c>
      <c r="P45" s="787">
        <v>0.1</v>
      </c>
      <c r="Q45" s="823" t="s">
        <v>1802</v>
      </c>
      <c r="R45" s="808" t="s">
        <v>1787</v>
      </c>
    </row>
    <row r="46" spans="1:18" ht="114.75">
      <c r="A46" s="738" t="s">
        <v>1742</v>
      </c>
      <c r="B46" s="726" t="s">
        <v>1721</v>
      </c>
      <c r="C46" s="16">
        <v>6</v>
      </c>
      <c r="D46" s="164" t="s">
        <v>227</v>
      </c>
      <c r="E46" s="16">
        <v>16</v>
      </c>
      <c r="F46" s="123" t="s">
        <v>228</v>
      </c>
      <c r="G46" s="208" t="s">
        <v>542</v>
      </c>
      <c r="H46" s="46" t="s">
        <v>538</v>
      </c>
      <c r="I46" s="212" t="s">
        <v>138</v>
      </c>
      <c r="J46" s="86">
        <v>0</v>
      </c>
      <c r="K46" s="88">
        <v>0.1</v>
      </c>
      <c r="L46" s="185">
        <v>0.02</v>
      </c>
      <c r="M46" s="185">
        <v>5.0000000000000001E-3</v>
      </c>
      <c r="N46" s="185">
        <v>0.01</v>
      </c>
      <c r="O46" s="185">
        <v>1.4999999999999999E-2</v>
      </c>
      <c r="P46" s="787">
        <v>0.02</v>
      </c>
      <c r="Q46" s="823" t="s">
        <v>1802</v>
      </c>
      <c r="R46" s="808" t="s">
        <v>1787</v>
      </c>
    </row>
    <row r="47" spans="1:18" ht="114.75">
      <c r="A47" s="738" t="s">
        <v>1742</v>
      </c>
      <c r="B47" s="726" t="s">
        <v>1721</v>
      </c>
      <c r="C47" s="17">
        <v>6</v>
      </c>
      <c r="D47" s="164" t="s">
        <v>227</v>
      </c>
      <c r="E47" s="17">
        <v>16</v>
      </c>
      <c r="F47" s="125" t="s">
        <v>228</v>
      </c>
      <c r="G47" s="208" t="s">
        <v>543</v>
      </c>
      <c r="H47" s="46" t="s">
        <v>237</v>
      </c>
      <c r="I47" s="212" t="s">
        <v>107</v>
      </c>
      <c r="J47" s="86">
        <v>0</v>
      </c>
      <c r="K47" s="87">
        <v>10</v>
      </c>
      <c r="L47" s="10">
        <v>2</v>
      </c>
      <c r="M47" s="10">
        <v>0</v>
      </c>
      <c r="N47" s="10">
        <v>1</v>
      </c>
      <c r="O47" s="10">
        <v>0</v>
      </c>
      <c r="P47" s="12">
        <v>1</v>
      </c>
      <c r="Q47" s="825" t="s">
        <v>1802</v>
      </c>
      <c r="R47" s="805" t="s">
        <v>1787</v>
      </c>
    </row>
    <row r="48" spans="1:18" ht="114.75">
      <c r="A48" s="738" t="s">
        <v>1742</v>
      </c>
      <c r="B48" s="726" t="s">
        <v>1721</v>
      </c>
      <c r="C48" s="151">
        <v>7</v>
      </c>
      <c r="D48" s="29" t="s">
        <v>239</v>
      </c>
      <c r="E48" s="145">
        <v>17</v>
      </c>
      <c r="F48" s="166" t="s">
        <v>240</v>
      </c>
      <c r="G48" s="204" t="s">
        <v>544</v>
      </c>
      <c r="H48" s="35" t="s">
        <v>241</v>
      </c>
      <c r="I48" s="770" t="s">
        <v>107</v>
      </c>
      <c r="J48" s="86" t="s">
        <v>143</v>
      </c>
      <c r="K48" s="87" t="s">
        <v>242</v>
      </c>
      <c r="L48" s="214">
        <v>0.1</v>
      </c>
      <c r="M48" s="214">
        <v>0</v>
      </c>
      <c r="N48" s="214">
        <v>0</v>
      </c>
      <c r="O48" s="214">
        <v>0.1</v>
      </c>
      <c r="P48" s="798"/>
      <c r="Q48" s="837" t="s">
        <v>1797</v>
      </c>
      <c r="R48" s="817" t="s">
        <v>1787</v>
      </c>
    </row>
    <row r="49" spans="1:18" ht="114.75">
      <c r="A49" s="738" t="s">
        <v>1742</v>
      </c>
      <c r="B49" s="726" t="s">
        <v>1721</v>
      </c>
      <c r="C49" s="17">
        <v>7</v>
      </c>
      <c r="D49" s="19" t="s">
        <v>239</v>
      </c>
      <c r="E49" s="36">
        <v>18</v>
      </c>
      <c r="F49" s="119" t="s">
        <v>246</v>
      </c>
      <c r="G49" s="205" t="s">
        <v>545</v>
      </c>
      <c r="H49" s="46" t="s">
        <v>247</v>
      </c>
      <c r="I49" s="212" t="s">
        <v>100</v>
      </c>
      <c r="J49" s="87" t="s">
        <v>248</v>
      </c>
      <c r="K49" s="87" t="s">
        <v>249</v>
      </c>
      <c r="L49" s="10">
        <v>2000</v>
      </c>
      <c r="M49" s="10">
        <v>0</v>
      </c>
      <c r="N49" s="10">
        <v>1000</v>
      </c>
      <c r="O49" s="10">
        <v>500</v>
      </c>
      <c r="P49" s="12">
        <v>500</v>
      </c>
      <c r="Q49" s="825" t="s">
        <v>1797</v>
      </c>
      <c r="R49" s="805" t="s">
        <v>1787</v>
      </c>
    </row>
    <row r="50" spans="1:18" ht="114.75">
      <c r="A50" s="738" t="s">
        <v>1742</v>
      </c>
      <c r="B50" s="726" t="s">
        <v>1721</v>
      </c>
      <c r="C50" s="312">
        <v>8</v>
      </c>
      <c r="D50" s="76" t="s">
        <v>644</v>
      </c>
      <c r="E50" s="140">
        <v>19</v>
      </c>
      <c r="F50" s="152" t="s">
        <v>652</v>
      </c>
      <c r="G50" s="206" t="s">
        <v>546</v>
      </c>
      <c r="H50" s="71" t="s">
        <v>253</v>
      </c>
      <c r="I50" s="212" t="s">
        <v>107</v>
      </c>
      <c r="J50" s="86">
        <v>0</v>
      </c>
      <c r="K50" s="140" t="s">
        <v>254</v>
      </c>
      <c r="L50" s="10">
        <v>2</v>
      </c>
      <c r="M50" s="10">
        <v>0</v>
      </c>
      <c r="N50" s="10">
        <v>0</v>
      </c>
      <c r="O50" s="10">
        <v>1</v>
      </c>
      <c r="P50" s="12">
        <v>1</v>
      </c>
      <c r="Q50" s="825" t="s">
        <v>1798</v>
      </c>
      <c r="R50" s="805" t="s">
        <v>1787</v>
      </c>
    </row>
    <row r="51" spans="1:18" ht="114.75">
      <c r="A51" s="738" t="s">
        <v>1742</v>
      </c>
      <c r="B51" s="726" t="s">
        <v>1721</v>
      </c>
      <c r="C51" s="16">
        <v>8</v>
      </c>
      <c r="D51" s="216" t="s">
        <v>644</v>
      </c>
      <c r="E51" s="149">
        <v>20</v>
      </c>
      <c r="F51" s="220" t="s">
        <v>651</v>
      </c>
      <c r="G51" s="215" t="s">
        <v>547</v>
      </c>
      <c r="H51" s="71" t="s">
        <v>550</v>
      </c>
      <c r="I51" s="212" t="s">
        <v>107</v>
      </c>
      <c r="J51" s="86">
        <v>0</v>
      </c>
      <c r="K51" s="140" t="s">
        <v>256</v>
      </c>
      <c r="L51" s="10">
        <v>4</v>
      </c>
      <c r="M51" s="10">
        <v>0</v>
      </c>
      <c r="N51" s="10">
        <v>2</v>
      </c>
      <c r="O51" s="10">
        <v>0</v>
      </c>
      <c r="P51" s="12">
        <v>2</v>
      </c>
      <c r="Q51" s="825" t="s">
        <v>1798</v>
      </c>
      <c r="R51" s="805" t="s">
        <v>1787</v>
      </c>
    </row>
    <row r="52" spans="1:18" ht="115.5" thickBot="1">
      <c r="A52" s="739" t="s">
        <v>1742</v>
      </c>
      <c r="B52" s="725" t="s">
        <v>1721</v>
      </c>
      <c r="C52" s="711">
        <v>8</v>
      </c>
      <c r="D52" s="712" t="s">
        <v>644</v>
      </c>
      <c r="E52" s="713">
        <v>2</v>
      </c>
      <c r="F52" s="714" t="s">
        <v>255</v>
      </c>
      <c r="G52" s="715" t="s">
        <v>548</v>
      </c>
      <c r="H52" s="716" t="s">
        <v>549</v>
      </c>
      <c r="I52" s="722" t="s">
        <v>107</v>
      </c>
      <c r="J52" s="718">
        <v>0</v>
      </c>
      <c r="K52" s="719">
        <v>0.5</v>
      </c>
      <c r="L52" s="720">
        <v>0.16666666666666666</v>
      </c>
      <c r="M52" s="720">
        <v>7.0000000000000007E-2</v>
      </c>
      <c r="N52" s="720">
        <v>0.12</v>
      </c>
      <c r="O52" s="720">
        <v>0.17</v>
      </c>
      <c r="P52" s="799">
        <v>0.17</v>
      </c>
      <c r="Q52" s="823" t="s">
        <v>1798</v>
      </c>
      <c r="R52" s="808" t="s">
        <v>1787</v>
      </c>
    </row>
    <row r="53" spans="1:18" ht="89.25">
      <c r="A53" s="740" t="s">
        <v>1722</v>
      </c>
      <c r="B53" s="221" t="s">
        <v>1723</v>
      </c>
      <c r="C53" s="22">
        <v>9</v>
      </c>
      <c r="D53" s="8" t="s">
        <v>258</v>
      </c>
      <c r="E53" s="148">
        <v>21</v>
      </c>
      <c r="F53" s="8" t="s">
        <v>259</v>
      </c>
      <c r="G53" s="225" t="s">
        <v>552</v>
      </c>
      <c r="H53" s="46" t="s">
        <v>551</v>
      </c>
      <c r="I53" s="212" t="s">
        <v>100</v>
      </c>
      <c r="J53" s="87" t="s">
        <v>143</v>
      </c>
      <c r="K53" s="87" t="s">
        <v>260</v>
      </c>
      <c r="L53" s="14">
        <v>47</v>
      </c>
      <c r="M53" s="14">
        <v>47</v>
      </c>
      <c r="N53" s="14">
        <v>47</v>
      </c>
      <c r="O53" s="14">
        <v>47</v>
      </c>
      <c r="P53" s="780">
        <v>47</v>
      </c>
      <c r="Q53" s="825" t="s">
        <v>1793</v>
      </c>
      <c r="R53" s="805" t="s">
        <v>1787</v>
      </c>
    </row>
    <row r="54" spans="1:18" ht="76.5">
      <c r="A54" s="741" t="s">
        <v>1743</v>
      </c>
      <c r="B54" s="726" t="s">
        <v>1724</v>
      </c>
      <c r="C54" s="24">
        <v>9</v>
      </c>
      <c r="D54" s="18" t="s">
        <v>258</v>
      </c>
      <c r="E54" s="16">
        <v>21</v>
      </c>
      <c r="F54" s="18" t="s">
        <v>259</v>
      </c>
      <c r="G54" s="226" t="s">
        <v>553</v>
      </c>
      <c r="H54" s="46" t="s">
        <v>263</v>
      </c>
      <c r="I54" s="212" t="s">
        <v>100</v>
      </c>
      <c r="J54" s="87" t="s">
        <v>143</v>
      </c>
      <c r="K54" s="87" t="s">
        <v>264</v>
      </c>
      <c r="L54" s="10">
        <v>0</v>
      </c>
      <c r="M54" s="10">
        <v>0</v>
      </c>
      <c r="N54" s="10">
        <v>0</v>
      </c>
      <c r="O54" s="10">
        <v>0</v>
      </c>
      <c r="P54" s="12">
        <v>0</v>
      </c>
      <c r="Q54" s="825" t="s">
        <v>1803</v>
      </c>
      <c r="R54" s="805" t="s">
        <v>1787</v>
      </c>
    </row>
    <row r="55" spans="1:18" ht="76.5">
      <c r="A55" s="741" t="s">
        <v>1743</v>
      </c>
      <c r="B55" s="726" t="s">
        <v>1724</v>
      </c>
      <c r="C55" s="54">
        <v>9</v>
      </c>
      <c r="D55" s="44" t="s">
        <v>258</v>
      </c>
      <c r="E55" s="17">
        <v>21</v>
      </c>
      <c r="F55" s="19" t="s">
        <v>259</v>
      </c>
      <c r="G55" s="227" t="s">
        <v>554</v>
      </c>
      <c r="H55" s="35" t="s">
        <v>266</v>
      </c>
      <c r="I55" s="212" t="s">
        <v>268</v>
      </c>
      <c r="J55" s="87" t="s">
        <v>145</v>
      </c>
      <c r="K55" s="87" t="s">
        <v>267</v>
      </c>
      <c r="L55" s="10">
        <v>16</v>
      </c>
      <c r="M55" s="10">
        <v>2</v>
      </c>
      <c r="N55" s="10">
        <v>4</v>
      </c>
      <c r="O55" s="10">
        <v>5</v>
      </c>
      <c r="P55" s="12">
        <v>5</v>
      </c>
      <c r="Q55" s="825" t="s">
        <v>1803</v>
      </c>
      <c r="R55" s="805" t="s">
        <v>1787</v>
      </c>
    </row>
    <row r="56" spans="1:18" ht="76.5">
      <c r="A56" s="741" t="s">
        <v>1743</v>
      </c>
      <c r="B56" s="726" t="s">
        <v>1724</v>
      </c>
      <c r="C56" s="24">
        <v>9</v>
      </c>
      <c r="D56" s="18" t="s">
        <v>258</v>
      </c>
      <c r="E56" s="145">
        <v>22</v>
      </c>
      <c r="F56" s="64" t="s">
        <v>270</v>
      </c>
      <c r="G56" s="202" t="s">
        <v>555</v>
      </c>
      <c r="H56" s="46" t="s">
        <v>271</v>
      </c>
      <c r="I56" s="212" t="s">
        <v>107</v>
      </c>
      <c r="J56" s="87" t="s">
        <v>272</v>
      </c>
      <c r="K56" s="87" t="s">
        <v>273</v>
      </c>
      <c r="L56" s="185">
        <v>0.01</v>
      </c>
      <c r="M56" s="185"/>
      <c r="N56" s="185"/>
      <c r="O56" s="185"/>
      <c r="P56" s="787">
        <v>0.01</v>
      </c>
      <c r="Q56" s="825" t="s">
        <v>1803</v>
      </c>
      <c r="R56" s="808" t="s">
        <v>1787</v>
      </c>
    </row>
    <row r="57" spans="1:18" ht="76.5">
      <c r="A57" s="741" t="s">
        <v>1743</v>
      </c>
      <c r="B57" s="726" t="s">
        <v>1724</v>
      </c>
      <c r="C57" s="24">
        <v>9</v>
      </c>
      <c r="D57" s="18" t="s">
        <v>258</v>
      </c>
      <c r="E57" s="16">
        <v>22</v>
      </c>
      <c r="F57" s="18" t="s">
        <v>270</v>
      </c>
      <c r="G57" s="208" t="s">
        <v>556</v>
      </c>
      <c r="H57" s="46" t="s">
        <v>276</v>
      </c>
      <c r="I57" s="212" t="s">
        <v>107</v>
      </c>
      <c r="J57" s="85">
        <f>2/80</f>
        <v>2.5000000000000001E-2</v>
      </c>
      <c r="K57" s="88">
        <v>1</v>
      </c>
      <c r="L57" s="185">
        <v>0.17</v>
      </c>
      <c r="M57" s="185">
        <v>0.03</v>
      </c>
      <c r="N57" s="185">
        <v>7.0000000000000007E-2</v>
      </c>
      <c r="O57" s="185">
        <v>0.12</v>
      </c>
      <c r="P57" s="787">
        <v>0.17</v>
      </c>
      <c r="Q57" s="825" t="s">
        <v>1803</v>
      </c>
      <c r="R57" s="808" t="s">
        <v>1787</v>
      </c>
    </row>
    <row r="58" spans="1:18" ht="76.5">
      <c r="A58" s="741" t="s">
        <v>1743</v>
      </c>
      <c r="B58" s="726" t="s">
        <v>1724</v>
      </c>
      <c r="C58" s="53">
        <v>9</v>
      </c>
      <c r="D58" s="19" t="s">
        <v>258</v>
      </c>
      <c r="E58" s="17">
        <v>22</v>
      </c>
      <c r="F58" s="19" t="s">
        <v>270</v>
      </c>
      <c r="G58" s="208" t="s">
        <v>557</v>
      </c>
      <c r="H58" s="46" t="s">
        <v>279</v>
      </c>
      <c r="I58" s="212" t="s">
        <v>107</v>
      </c>
      <c r="J58" s="85">
        <f>2/80</f>
        <v>2.5000000000000001E-2</v>
      </c>
      <c r="K58" s="88">
        <v>1</v>
      </c>
      <c r="L58" s="185">
        <v>0.25</v>
      </c>
      <c r="M58" s="185">
        <v>0.125</v>
      </c>
      <c r="N58" s="185">
        <v>0.125</v>
      </c>
      <c r="O58" s="185">
        <v>0.25</v>
      </c>
      <c r="P58" s="787">
        <v>0.25</v>
      </c>
      <c r="Q58" s="825" t="s">
        <v>1803</v>
      </c>
      <c r="R58" s="808" t="s">
        <v>1787</v>
      </c>
    </row>
    <row r="59" spans="1:18" ht="76.5">
      <c r="A59" s="741" t="s">
        <v>1743</v>
      </c>
      <c r="B59" s="726" t="s">
        <v>1724</v>
      </c>
      <c r="C59" s="145">
        <v>10</v>
      </c>
      <c r="D59" s="27" t="s">
        <v>280</v>
      </c>
      <c r="E59" s="145">
        <v>23</v>
      </c>
      <c r="F59" s="64" t="s">
        <v>281</v>
      </c>
      <c r="G59" s="202" t="s">
        <v>562</v>
      </c>
      <c r="H59" s="47" t="s">
        <v>462</v>
      </c>
      <c r="I59" s="212" t="s">
        <v>100</v>
      </c>
      <c r="J59" s="103">
        <f>1395865/100425</f>
        <v>13.899576798605924</v>
      </c>
      <c r="K59" s="86">
        <v>8</v>
      </c>
      <c r="L59" s="10">
        <v>11.9</v>
      </c>
      <c r="M59" s="10">
        <v>13.4</v>
      </c>
      <c r="N59" s="10">
        <v>12.9</v>
      </c>
      <c r="O59" s="10">
        <v>12.4</v>
      </c>
      <c r="P59" s="12">
        <v>11.9</v>
      </c>
      <c r="Q59" s="825" t="s">
        <v>1798</v>
      </c>
      <c r="R59" s="805" t="s">
        <v>1787</v>
      </c>
    </row>
    <row r="60" spans="1:18" ht="76.5">
      <c r="A60" s="741" t="s">
        <v>1743</v>
      </c>
      <c r="B60" s="726" t="s">
        <v>1724</v>
      </c>
      <c r="C60" s="16">
        <v>10</v>
      </c>
      <c r="D60" s="18" t="s">
        <v>280</v>
      </c>
      <c r="E60" s="16">
        <v>23</v>
      </c>
      <c r="F60" s="18" t="s">
        <v>281</v>
      </c>
      <c r="G60" s="202" t="s">
        <v>563</v>
      </c>
      <c r="H60" s="47" t="s">
        <v>731</v>
      </c>
      <c r="I60" s="212" t="s">
        <v>100</v>
      </c>
      <c r="J60" s="90">
        <f>255369/956843</f>
        <v>0.26688704416503023</v>
      </c>
      <c r="K60" s="90">
        <v>0.35</v>
      </c>
      <c r="L60" s="49">
        <f>'Línea 2 PGAR Económica'!J58</f>
        <v>0</v>
      </c>
      <c r="M60" s="49">
        <f>'Línea 2 PGAR Económica'!K58</f>
        <v>0</v>
      </c>
      <c r="N60" s="49">
        <f>'Línea 2 PGAR Económica'!L58</f>
        <v>0</v>
      </c>
      <c r="O60" s="49">
        <f>'Línea 2 PGAR Económica'!M58</f>
        <v>0</v>
      </c>
      <c r="P60" s="800">
        <f>'Línea 2 PGAR Económica'!N58</f>
        <v>0</v>
      </c>
      <c r="Q60" s="838" t="s">
        <v>1798</v>
      </c>
      <c r="R60" s="818" t="s">
        <v>1787</v>
      </c>
    </row>
    <row r="61" spans="1:18" ht="76.5">
      <c r="A61" s="741" t="s">
        <v>1743</v>
      </c>
      <c r="B61" s="726" t="s">
        <v>1724</v>
      </c>
      <c r="C61" s="16">
        <v>10</v>
      </c>
      <c r="D61" s="18" t="s">
        <v>280</v>
      </c>
      <c r="E61" s="16">
        <v>23</v>
      </c>
      <c r="F61" s="18" t="s">
        <v>281</v>
      </c>
      <c r="G61" s="202" t="s">
        <v>564</v>
      </c>
      <c r="H61" s="47" t="s">
        <v>287</v>
      </c>
      <c r="I61" s="212" t="s">
        <v>100</v>
      </c>
      <c r="J61" s="86" t="s">
        <v>288</v>
      </c>
      <c r="K61" s="86" t="s">
        <v>289</v>
      </c>
      <c r="L61" s="211">
        <v>54855.26666666667</v>
      </c>
      <c r="M61" s="211">
        <v>54180.816666666666</v>
      </c>
      <c r="N61" s="211">
        <v>54405.633333333331</v>
      </c>
      <c r="O61" s="211">
        <v>54630.45</v>
      </c>
      <c r="P61" s="795">
        <v>54855.26666666667</v>
      </c>
      <c r="Q61" s="835" t="s">
        <v>1802</v>
      </c>
      <c r="R61" s="815" t="s">
        <v>1787</v>
      </c>
    </row>
    <row r="62" spans="1:18" ht="76.5">
      <c r="A62" s="741" t="s">
        <v>1743</v>
      </c>
      <c r="B62" s="726" t="s">
        <v>1724</v>
      </c>
      <c r="C62" s="16">
        <v>10</v>
      </c>
      <c r="D62" s="18" t="s">
        <v>280</v>
      </c>
      <c r="E62" s="16">
        <v>23</v>
      </c>
      <c r="F62" s="18" t="s">
        <v>281</v>
      </c>
      <c r="G62" s="202" t="s">
        <v>565</v>
      </c>
      <c r="H62" s="47" t="s">
        <v>292</v>
      </c>
      <c r="I62" s="212" t="s">
        <v>100</v>
      </c>
      <c r="J62" s="90">
        <v>0</v>
      </c>
      <c r="K62" s="90">
        <v>1</v>
      </c>
      <c r="L62" s="185">
        <v>0.33333333333333331</v>
      </c>
      <c r="M62" s="185">
        <v>0</v>
      </c>
      <c r="N62" s="185">
        <v>0</v>
      </c>
      <c r="O62" s="185">
        <v>0</v>
      </c>
      <c r="P62" s="787">
        <v>0.33</v>
      </c>
      <c r="Q62" s="823" t="s">
        <v>1802</v>
      </c>
      <c r="R62" s="808" t="s">
        <v>1787</v>
      </c>
    </row>
    <row r="63" spans="1:18" ht="76.5">
      <c r="A63" s="741" t="s">
        <v>1743</v>
      </c>
      <c r="B63" s="726" t="s">
        <v>1724</v>
      </c>
      <c r="C63" s="16">
        <v>10</v>
      </c>
      <c r="D63" s="18" t="s">
        <v>280</v>
      </c>
      <c r="E63" s="16">
        <v>23</v>
      </c>
      <c r="F63" s="18" t="s">
        <v>281</v>
      </c>
      <c r="G63" s="202" t="s">
        <v>566</v>
      </c>
      <c r="H63" s="48" t="s">
        <v>732</v>
      </c>
      <c r="I63" s="212" t="s">
        <v>100</v>
      </c>
      <c r="J63" s="94">
        <f>18408/370384</f>
        <v>4.969977104842542E-2</v>
      </c>
      <c r="K63" s="104">
        <v>0.35</v>
      </c>
      <c r="L63" s="213">
        <f>'Línea 2 PGAR Económica'!J65</f>
        <v>0</v>
      </c>
      <c r="M63" s="213">
        <f>'Línea 2 PGAR Económica'!K65</f>
        <v>0</v>
      </c>
      <c r="N63" s="213">
        <f>'Línea 2 PGAR Económica'!L65</f>
        <v>0</v>
      </c>
      <c r="O63" s="213">
        <f>'Línea 2 PGAR Económica'!M65</f>
        <v>0</v>
      </c>
      <c r="P63" s="797">
        <f>'Línea 2 PGAR Económica'!N65</f>
        <v>0</v>
      </c>
      <c r="Q63" s="836" t="s">
        <v>1802</v>
      </c>
      <c r="R63" s="816" t="s">
        <v>1787</v>
      </c>
    </row>
    <row r="64" spans="1:18" ht="76.5">
      <c r="A64" s="741" t="s">
        <v>1743</v>
      </c>
      <c r="B64" s="726" t="s">
        <v>1724</v>
      </c>
      <c r="C64" s="16">
        <v>10</v>
      </c>
      <c r="D64" s="18" t="s">
        <v>280</v>
      </c>
      <c r="E64" s="16">
        <v>23</v>
      </c>
      <c r="F64" s="18" t="s">
        <v>281</v>
      </c>
      <c r="G64" s="202" t="s">
        <v>567</v>
      </c>
      <c r="H64" s="48" t="s">
        <v>296</v>
      </c>
      <c r="I64" s="212" t="s">
        <v>127</v>
      </c>
      <c r="J64" s="104">
        <f>1147687/1150970</f>
        <v>0.99714762330903495</v>
      </c>
      <c r="K64" s="94">
        <v>1</v>
      </c>
      <c r="L64" s="185">
        <v>1</v>
      </c>
      <c r="M64" s="185">
        <v>0.99709999999999999</v>
      </c>
      <c r="N64" s="185">
        <v>1</v>
      </c>
      <c r="O64" s="185">
        <v>1</v>
      </c>
      <c r="P64" s="787">
        <v>1</v>
      </c>
      <c r="Q64" s="836" t="s">
        <v>1802</v>
      </c>
      <c r="R64" s="808" t="s">
        <v>1787</v>
      </c>
    </row>
    <row r="65" spans="1:18" ht="76.5">
      <c r="A65" s="741" t="s">
        <v>1743</v>
      </c>
      <c r="B65" s="726" t="s">
        <v>1724</v>
      </c>
      <c r="C65" s="16">
        <v>10</v>
      </c>
      <c r="D65" s="18" t="s">
        <v>280</v>
      </c>
      <c r="E65" s="16">
        <v>23</v>
      </c>
      <c r="F65" s="18" t="s">
        <v>281</v>
      </c>
      <c r="G65" s="202" t="s">
        <v>568</v>
      </c>
      <c r="H65" s="48" t="s">
        <v>299</v>
      </c>
      <c r="I65" s="212" t="s">
        <v>127</v>
      </c>
      <c r="J65" s="104">
        <f>255369/1395865</f>
        <v>0.18294677493883721</v>
      </c>
      <c r="K65" s="94">
        <v>0.5</v>
      </c>
      <c r="L65" s="185">
        <v>0.28859999999999997</v>
      </c>
      <c r="M65" s="185">
        <v>0.20932499999999998</v>
      </c>
      <c r="N65" s="185">
        <v>0.23574999999999999</v>
      </c>
      <c r="O65" s="185">
        <v>0.26217499999999999</v>
      </c>
      <c r="P65" s="787">
        <v>0.28859999999999997</v>
      </c>
      <c r="Q65" s="836" t="s">
        <v>1802</v>
      </c>
      <c r="R65" s="808" t="s">
        <v>1787</v>
      </c>
    </row>
    <row r="66" spans="1:18" ht="76.5">
      <c r="A66" s="741" t="s">
        <v>1743</v>
      </c>
      <c r="B66" s="726" t="s">
        <v>1724</v>
      </c>
      <c r="C66" s="16">
        <v>10</v>
      </c>
      <c r="D66" s="18" t="s">
        <v>280</v>
      </c>
      <c r="E66" s="16">
        <v>23</v>
      </c>
      <c r="F66" s="18" t="s">
        <v>281</v>
      </c>
      <c r="G66" s="202" t="s">
        <v>569</v>
      </c>
      <c r="H66" s="46" t="s">
        <v>537</v>
      </c>
      <c r="I66" s="212" t="s">
        <v>107</v>
      </c>
      <c r="J66" s="134">
        <f>7428/586458</f>
        <v>1.2665868655555896E-2</v>
      </c>
      <c r="K66" s="90">
        <v>0.9</v>
      </c>
      <c r="L66" s="185">
        <v>0.3</v>
      </c>
      <c r="M66" s="185">
        <v>0.08</v>
      </c>
      <c r="N66" s="185">
        <v>0.15</v>
      </c>
      <c r="O66" s="185">
        <v>0.23</v>
      </c>
      <c r="P66" s="787">
        <v>0.3</v>
      </c>
      <c r="Q66" s="836" t="s">
        <v>1802</v>
      </c>
      <c r="R66" s="808" t="s">
        <v>1787</v>
      </c>
    </row>
    <row r="67" spans="1:18" ht="76.5">
      <c r="A67" s="741" t="s">
        <v>1743</v>
      </c>
      <c r="B67" s="726" t="s">
        <v>1724</v>
      </c>
      <c r="C67" s="16">
        <v>10</v>
      </c>
      <c r="D67" s="18" t="s">
        <v>280</v>
      </c>
      <c r="E67" s="17">
        <v>23</v>
      </c>
      <c r="F67" s="19" t="s">
        <v>281</v>
      </c>
      <c r="G67" s="202" t="s">
        <v>570</v>
      </c>
      <c r="H67" s="48" t="s">
        <v>561</v>
      </c>
      <c r="I67" s="212" t="s">
        <v>302</v>
      </c>
      <c r="J67" s="94">
        <f>0/54895</f>
        <v>0</v>
      </c>
      <c r="K67" s="94">
        <v>0.4</v>
      </c>
      <c r="L67" s="213">
        <v>0.1</v>
      </c>
      <c r="M67" s="213">
        <v>2.5000000000000001E-2</v>
      </c>
      <c r="N67" s="213">
        <v>0.05</v>
      </c>
      <c r="O67" s="213">
        <v>7.5000000000000011E-2</v>
      </c>
      <c r="P67" s="797">
        <v>0.1</v>
      </c>
      <c r="Q67" s="836" t="s">
        <v>1802</v>
      </c>
      <c r="R67" s="816" t="s">
        <v>1787</v>
      </c>
    </row>
    <row r="68" spans="1:18" ht="76.5">
      <c r="A68" s="741" t="s">
        <v>1743</v>
      </c>
      <c r="B68" s="726" t="s">
        <v>1724</v>
      </c>
      <c r="C68" s="16">
        <v>10</v>
      </c>
      <c r="D68" s="18" t="s">
        <v>280</v>
      </c>
      <c r="E68" s="56">
        <v>24</v>
      </c>
      <c r="F68" s="58" t="s">
        <v>738</v>
      </c>
      <c r="G68" s="208" t="s">
        <v>571</v>
      </c>
      <c r="H68" s="46" t="s">
        <v>305</v>
      </c>
      <c r="I68" s="212" t="s">
        <v>100</v>
      </c>
      <c r="J68" s="105">
        <f>657391/1417208</f>
        <v>0.46386345547019209</v>
      </c>
      <c r="K68" s="102" t="s">
        <v>306</v>
      </c>
      <c r="L68" s="195">
        <v>0.59233333333333338</v>
      </c>
      <c r="M68" s="195">
        <v>0.49308333333333337</v>
      </c>
      <c r="N68" s="195">
        <v>0.52616666666666667</v>
      </c>
      <c r="O68" s="195">
        <v>0.55925000000000002</v>
      </c>
      <c r="P68" s="789">
        <v>0.59233333333333338</v>
      </c>
      <c r="Q68" s="839" t="s">
        <v>1796</v>
      </c>
      <c r="R68" s="810" t="s">
        <v>1787</v>
      </c>
    </row>
    <row r="69" spans="1:18" ht="76.5">
      <c r="A69" s="741" t="s">
        <v>1743</v>
      </c>
      <c r="B69" s="726" t="s">
        <v>1724</v>
      </c>
      <c r="C69" s="16">
        <v>10</v>
      </c>
      <c r="D69" s="18" t="s">
        <v>280</v>
      </c>
      <c r="E69" s="24">
        <v>24</v>
      </c>
      <c r="F69" s="18" t="s">
        <v>738</v>
      </c>
      <c r="G69" s="208" t="s">
        <v>572</v>
      </c>
      <c r="H69" s="46" t="s">
        <v>310</v>
      </c>
      <c r="I69" s="212" t="s">
        <v>100</v>
      </c>
      <c r="J69" s="90">
        <f>238224/622438</f>
        <v>0.38272727564833764</v>
      </c>
      <c r="K69" s="102">
        <v>0.85299999999999998</v>
      </c>
      <c r="L69" s="185">
        <v>0.53948485043222505</v>
      </c>
      <c r="M69" s="185">
        <v>0.42111342816473285</v>
      </c>
      <c r="N69" s="185">
        <v>0.45949958068112806</v>
      </c>
      <c r="O69" s="185">
        <v>0.49788573319752327</v>
      </c>
      <c r="P69" s="787">
        <v>0.53627188571391848</v>
      </c>
      <c r="Q69" s="823" t="s">
        <v>1796</v>
      </c>
      <c r="R69" s="808" t="s">
        <v>1787</v>
      </c>
    </row>
    <row r="70" spans="1:18" ht="76.5">
      <c r="A70" s="741" t="s">
        <v>1743</v>
      </c>
      <c r="B70" s="726" t="s">
        <v>1724</v>
      </c>
      <c r="C70" s="16">
        <v>10</v>
      </c>
      <c r="D70" s="18" t="s">
        <v>280</v>
      </c>
      <c r="E70" s="24">
        <v>24</v>
      </c>
      <c r="F70" s="18" t="s">
        <v>738</v>
      </c>
      <c r="G70" s="208" t="s">
        <v>573</v>
      </c>
      <c r="H70" s="46" t="s">
        <v>313</v>
      </c>
      <c r="I70" s="212" t="s">
        <v>100</v>
      </c>
      <c r="J70" s="106">
        <f>230/293</f>
        <v>0.78498293515358364</v>
      </c>
      <c r="K70" s="88">
        <v>0.92</v>
      </c>
      <c r="L70" s="185">
        <v>0.83048919226393636</v>
      </c>
      <c r="M70" s="185">
        <v>0.79635949943117179</v>
      </c>
      <c r="N70" s="185">
        <v>0.80773606370875994</v>
      </c>
      <c r="O70" s="185">
        <v>0.8191126279863481</v>
      </c>
      <c r="P70" s="787">
        <v>0.83048919226393636</v>
      </c>
      <c r="Q70" s="823" t="s">
        <v>1796</v>
      </c>
      <c r="R70" s="808" t="s">
        <v>1787</v>
      </c>
    </row>
    <row r="71" spans="1:18" ht="76.5">
      <c r="A71" s="741" t="s">
        <v>1743</v>
      </c>
      <c r="B71" s="726" t="s">
        <v>1724</v>
      </c>
      <c r="C71" s="16">
        <v>10</v>
      </c>
      <c r="D71" s="18" t="s">
        <v>280</v>
      </c>
      <c r="E71" s="53">
        <v>24</v>
      </c>
      <c r="F71" s="19" t="s">
        <v>738</v>
      </c>
      <c r="G71" s="208" t="s">
        <v>574</v>
      </c>
      <c r="H71" s="64" t="s">
        <v>316</v>
      </c>
      <c r="I71" s="212" t="s">
        <v>127</v>
      </c>
      <c r="J71" s="107" t="s">
        <v>317</v>
      </c>
      <c r="K71" s="107" t="s">
        <v>318</v>
      </c>
      <c r="L71" s="10">
        <v>610546</v>
      </c>
      <c r="M71" s="10">
        <v>574546</v>
      </c>
      <c r="N71" s="10">
        <v>586546</v>
      </c>
      <c r="O71" s="10">
        <v>598546</v>
      </c>
      <c r="P71" s="12">
        <v>610546</v>
      </c>
      <c r="Q71" s="823" t="s">
        <v>1796</v>
      </c>
      <c r="R71" s="805" t="s">
        <v>1787</v>
      </c>
    </row>
    <row r="72" spans="1:18" ht="76.5">
      <c r="A72" s="741" t="s">
        <v>1743</v>
      </c>
      <c r="B72" s="726" t="s">
        <v>1724</v>
      </c>
      <c r="C72" s="16">
        <v>10</v>
      </c>
      <c r="D72" s="18" t="s">
        <v>280</v>
      </c>
      <c r="E72" s="151">
        <v>25</v>
      </c>
      <c r="F72" s="15" t="s">
        <v>321</v>
      </c>
      <c r="G72" s="208" t="s">
        <v>575</v>
      </c>
      <c r="H72" s="46" t="s">
        <v>322</v>
      </c>
      <c r="I72" s="212" t="s">
        <v>100</v>
      </c>
      <c r="J72" s="88">
        <f>1-(69/80)</f>
        <v>0.13749999999999996</v>
      </c>
      <c r="K72" s="88">
        <f>1-(76/80)</f>
        <v>5.0000000000000044E-2</v>
      </c>
      <c r="L72" s="213">
        <v>0.10833333333333332</v>
      </c>
      <c r="M72" s="213"/>
      <c r="N72" s="213"/>
      <c r="O72" s="213">
        <v>0.1125</v>
      </c>
      <c r="P72" s="797">
        <v>0.10833333333333332</v>
      </c>
      <c r="Q72" s="836" t="s">
        <v>1793</v>
      </c>
      <c r="R72" s="816" t="s">
        <v>1787</v>
      </c>
    </row>
    <row r="73" spans="1:18" ht="76.5">
      <c r="A73" s="741" t="s">
        <v>1743</v>
      </c>
      <c r="B73" s="726" t="s">
        <v>1724</v>
      </c>
      <c r="C73" s="16">
        <v>10</v>
      </c>
      <c r="D73" s="18" t="s">
        <v>280</v>
      </c>
      <c r="E73" s="16">
        <v>25</v>
      </c>
      <c r="F73" s="21" t="s">
        <v>321</v>
      </c>
      <c r="G73" s="208" t="s">
        <v>576</v>
      </c>
      <c r="H73" s="46" t="s">
        <v>326</v>
      </c>
      <c r="I73" s="212" t="s">
        <v>100</v>
      </c>
      <c r="J73" s="88">
        <f>72/80</f>
        <v>0.9</v>
      </c>
      <c r="K73" s="88">
        <v>0.85</v>
      </c>
      <c r="L73" s="185">
        <v>0.88333333333333341</v>
      </c>
      <c r="M73" s="185"/>
      <c r="N73" s="185"/>
      <c r="O73" s="185"/>
      <c r="P73" s="787">
        <v>0.88333333333333341</v>
      </c>
      <c r="Q73" s="823" t="s">
        <v>1793</v>
      </c>
      <c r="R73" s="808" t="s">
        <v>1787</v>
      </c>
    </row>
    <row r="74" spans="1:18" ht="76.5">
      <c r="A74" s="741" t="s">
        <v>1743</v>
      </c>
      <c r="B74" s="726" t="s">
        <v>1724</v>
      </c>
      <c r="C74" s="16">
        <v>10</v>
      </c>
      <c r="D74" s="18" t="s">
        <v>280</v>
      </c>
      <c r="E74" s="16">
        <v>25</v>
      </c>
      <c r="F74" s="21" t="s">
        <v>321</v>
      </c>
      <c r="G74" s="208" t="s">
        <v>577</v>
      </c>
      <c r="H74" s="46" t="s">
        <v>329</v>
      </c>
      <c r="I74" s="212" t="s">
        <v>100</v>
      </c>
      <c r="J74" s="102" t="s">
        <v>330</v>
      </c>
      <c r="K74" s="102" t="s">
        <v>330</v>
      </c>
      <c r="L74" s="195">
        <v>0.76470000000000005</v>
      </c>
      <c r="M74" s="195">
        <v>0.76470000000000005</v>
      </c>
      <c r="N74" s="195">
        <v>0.76470000000000005</v>
      </c>
      <c r="O74" s="195">
        <v>0.76470000000000005</v>
      </c>
      <c r="P74" s="789">
        <v>0.76470000000000005</v>
      </c>
      <c r="Q74" s="839" t="s">
        <v>1796</v>
      </c>
      <c r="R74" s="810" t="s">
        <v>1787</v>
      </c>
    </row>
    <row r="75" spans="1:18" ht="76.5">
      <c r="A75" s="741" t="s">
        <v>1743</v>
      </c>
      <c r="B75" s="726" t="s">
        <v>1724</v>
      </c>
      <c r="C75" s="16">
        <v>10</v>
      </c>
      <c r="D75" s="18" t="s">
        <v>280</v>
      </c>
      <c r="E75" s="16">
        <v>25</v>
      </c>
      <c r="F75" s="21" t="s">
        <v>321</v>
      </c>
      <c r="G75" s="208" t="s">
        <v>578</v>
      </c>
      <c r="H75" s="46" t="s">
        <v>333</v>
      </c>
      <c r="I75" s="212" t="s">
        <v>127</v>
      </c>
      <c r="J75" s="88">
        <v>0.9</v>
      </c>
      <c r="K75" s="88">
        <v>1</v>
      </c>
      <c r="L75" s="213">
        <v>0.9</v>
      </c>
      <c r="M75" s="213">
        <v>0.9</v>
      </c>
      <c r="N75" s="213">
        <v>0.9</v>
      </c>
      <c r="O75" s="213">
        <v>0.9</v>
      </c>
      <c r="P75" s="797">
        <v>0.9</v>
      </c>
      <c r="Q75" s="839" t="s">
        <v>1796</v>
      </c>
      <c r="R75" s="816" t="s">
        <v>1787</v>
      </c>
    </row>
    <row r="76" spans="1:18" ht="168.75">
      <c r="A76" s="741" t="s">
        <v>1743</v>
      </c>
      <c r="B76" s="726" t="s">
        <v>1724</v>
      </c>
      <c r="C76" s="16">
        <v>10</v>
      </c>
      <c r="D76" s="30" t="s">
        <v>280</v>
      </c>
      <c r="E76" s="151">
        <v>26</v>
      </c>
      <c r="F76" s="58" t="s">
        <v>336</v>
      </c>
      <c r="G76" s="208" t="s">
        <v>583</v>
      </c>
      <c r="H76" s="46" t="s">
        <v>337</v>
      </c>
      <c r="I76" s="212" t="s">
        <v>100</v>
      </c>
      <c r="J76" s="88" t="s">
        <v>338</v>
      </c>
      <c r="K76" s="88" t="s">
        <v>339</v>
      </c>
      <c r="L76" s="185">
        <v>1</v>
      </c>
      <c r="M76" s="185">
        <v>1</v>
      </c>
      <c r="N76" s="185">
        <v>1</v>
      </c>
      <c r="O76" s="185">
        <v>1</v>
      </c>
      <c r="P76" s="787">
        <v>1</v>
      </c>
      <c r="Q76" s="823" t="s">
        <v>1793</v>
      </c>
      <c r="R76" s="808" t="s">
        <v>1787</v>
      </c>
    </row>
    <row r="77" spans="1:18" ht="232.5">
      <c r="A77" s="741" t="s">
        <v>1743</v>
      </c>
      <c r="B77" s="726" t="s">
        <v>1724</v>
      </c>
      <c r="C77" s="16">
        <v>10</v>
      </c>
      <c r="D77" s="30" t="s">
        <v>280</v>
      </c>
      <c r="E77" s="16">
        <v>26</v>
      </c>
      <c r="F77" s="18" t="s">
        <v>336</v>
      </c>
      <c r="G77" s="208" t="s">
        <v>584</v>
      </c>
      <c r="H77" s="46" t="s">
        <v>342</v>
      </c>
      <c r="I77" s="212" t="s">
        <v>100</v>
      </c>
      <c r="J77" s="86" t="s">
        <v>343</v>
      </c>
      <c r="K77" s="88" t="s">
        <v>339</v>
      </c>
      <c r="L77" s="185">
        <v>1</v>
      </c>
      <c r="M77" s="185">
        <v>1</v>
      </c>
      <c r="N77" s="185">
        <v>1</v>
      </c>
      <c r="O77" s="185">
        <v>1</v>
      </c>
      <c r="P77" s="787">
        <v>1</v>
      </c>
      <c r="Q77" s="823" t="s">
        <v>1801</v>
      </c>
      <c r="R77" s="808" t="s">
        <v>1787</v>
      </c>
    </row>
    <row r="78" spans="1:18" ht="76.5">
      <c r="A78" s="741" t="s">
        <v>1743</v>
      </c>
      <c r="B78" s="726" t="s">
        <v>1724</v>
      </c>
      <c r="C78" s="16">
        <v>10</v>
      </c>
      <c r="D78" s="30" t="s">
        <v>280</v>
      </c>
      <c r="E78" s="16">
        <v>26</v>
      </c>
      <c r="F78" s="18" t="s">
        <v>336</v>
      </c>
      <c r="G78" s="208" t="s">
        <v>585</v>
      </c>
      <c r="H78" s="46" t="s">
        <v>345</v>
      </c>
      <c r="I78" s="770" t="s">
        <v>100</v>
      </c>
      <c r="J78" s="87" t="s">
        <v>346</v>
      </c>
      <c r="K78" s="87" t="s">
        <v>347</v>
      </c>
      <c r="L78" s="214">
        <v>0.03</v>
      </c>
      <c r="M78" s="214">
        <v>7.4999999999999997E-3</v>
      </c>
      <c r="N78" s="214">
        <v>1.4999999999999999E-2</v>
      </c>
      <c r="O78" s="214">
        <v>2.2499999999999999E-2</v>
      </c>
      <c r="P78" s="798">
        <v>0.03</v>
      </c>
      <c r="Q78" s="837" t="s">
        <v>1799</v>
      </c>
      <c r="R78" s="817" t="s">
        <v>1787</v>
      </c>
    </row>
    <row r="79" spans="1:18" ht="309" customHeight="1">
      <c r="A79" s="741" t="s">
        <v>1743</v>
      </c>
      <c r="B79" s="726" t="s">
        <v>1724</v>
      </c>
      <c r="C79" s="18">
        <v>10</v>
      </c>
      <c r="D79" s="30" t="s">
        <v>280</v>
      </c>
      <c r="E79" s="18">
        <v>26</v>
      </c>
      <c r="F79" s="18" t="s">
        <v>336</v>
      </c>
      <c r="G79" s="208" t="s">
        <v>586</v>
      </c>
      <c r="H79" s="47" t="s">
        <v>350</v>
      </c>
      <c r="I79" s="212" t="s">
        <v>127</v>
      </c>
      <c r="J79" s="250" t="s">
        <v>351</v>
      </c>
      <c r="K79" s="250" t="s">
        <v>352</v>
      </c>
      <c r="L79" s="185">
        <v>1</v>
      </c>
      <c r="M79" s="185">
        <v>1</v>
      </c>
      <c r="N79" s="185">
        <v>1</v>
      </c>
      <c r="O79" s="185">
        <v>1</v>
      </c>
      <c r="P79" s="787">
        <v>1</v>
      </c>
      <c r="Q79" s="823" t="s">
        <v>1801</v>
      </c>
      <c r="R79" s="808" t="s">
        <v>1787</v>
      </c>
    </row>
    <row r="80" spans="1:18" ht="76.5">
      <c r="A80" s="741" t="s">
        <v>1743</v>
      </c>
      <c r="B80" s="726" t="s">
        <v>1724</v>
      </c>
      <c r="C80" s="18">
        <v>10</v>
      </c>
      <c r="D80" s="30" t="s">
        <v>280</v>
      </c>
      <c r="E80" s="18">
        <v>26</v>
      </c>
      <c r="F80" s="18" t="s">
        <v>336</v>
      </c>
      <c r="G80" s="208" t="s">
        <v>587</v>
      </c>
      <c r="H80" s="47" t="s">
        <v>579</v>
      </c>
      <c r="I80" s="773" t="s">
        <v>107</v>
      </c>
      <c r="J80" s="251" t="s">
        <v>145</v>
      </c>
      <c r="K80" s="251" t="s">
        <v>581</v>
      </c>
      <c r="L80" s="185">
        <v>0.15</v>
      </c>
      <c r="M80" s="185"/>
      <c r="N80" s="185"/>
      <c r="O80" s="185"/>
      <c r="P80" s="787">
        <v>0.15</v>
      </c>
      <c r="Q80" s="823" t="s">
        <v>1793</v>
      </c>
      <c r="R80" s="808" t="s">
        <v>1787</v>
      </c>
    </row>
    <row r="81" spans="1:18" ht="102">
      <c r="A81" s="741" t="s">
        <v>1743</v>
      </c>
      <c r="B81" s="726" t="s">
        <v>1724</v>
      </c>
      <c r="C81" s="18">
        <v>10</v>
      </c>
      <c r="D81" s="18" t="s">
        <v>280</v>
      </c>
      <c r="E81" s="19">
        <v>26</v>
      </c>
      <c r="F81" s="19" t="s">
        <v>336</v>
      </c>
      <c r="G81" s="208" t="s">
        <v>588</v>
      </c>
      <c r="H81" s="47" t="s">
        <v>580</v>
      </c>
      <c r="I81" s="773" t="s">
        <v>107</v>
      </c>
      <c r="J81" s="251" t="s">
        <v>145</v>
      </c>
      <c r="K81" s="251" t="s">
        <v>582</v>
      </c>
      <c r="L81" s="185">
        <v>0.15</v>
      </c>
      <c r="M81" s="185"/>
      <c r="N81" s="185"/>
      <c r="O81" s="185"/>
      <c r="P81" s="787">
        <v>0.15</v>
      </c>
      <c r="Q81" s="823" t="s">
        <v>1793</v>
      </c>
      <c r="R81" s="808" t="s">
        <v>1787</v>
      </c>
    </row>
    <row r="82" spans="1:18" ht="76.5">
      <c r="A82" s="741" t="s">
        <v>1743</v>
      </c>
      <c r="B82" s="726" t="s">
        <v>1724</v>
      </c>
      <c r="C82" s="16">
        <v>10</v>
      </c>
      <c r="D82" s="18" t="s">
        <v>280</v>
      </c>
      <c r="E82" s="145">
        <v>27</v>
      </c>
      <c r="F82" s="31" t="s">
        <v>1780</v>
      </c>
      <c r="G82" s="208" t="s">
        <v>589</v>
      </c>
      <c r="H82" s="66" t="s">
        <v>355</v>
      </c>
      <c r="I82" s="774" t="s">
        <v>100</v>
      </c>
      <c r="J82" s="108">
        <v>0.504</v>
      </c>
      <c r="K82" s="109">
        <v>1</v>
      </c>
      <c r="L82" s="185">
        <v>0.66933333333333334</v>
      </c>
      <c r="M82" s="185">
        <v>0.54649999999999999</v>
      </c>
      <c r="N82" s="185">
        <v>0.58899999999999997</v>
      </c>
      <c r="O82" s="185">
        <v>0.63149999999999995</v>
      </c>
      <c r="P82" s="787">
        <v>0.67400000000000004</v>
      </c>
      <c r="Q82" s="823" t="s">
        <v>1796</v>
      </c>
      <c r="R82" s="808" t="s">
        <v>1787</v>
      </c>
    </row>
    <row r="83" spans="1:18" ht="76.5">
      <c r="A83" s="741" t="s">
        <v>1743</v>
      </c>
      <c r="B83" s="726" t="s">
        <v>1724</v>
      </c>
      <c r="C83" s="16">
        <v>10</v>
      </c>
      <c r="D83" s="18" t="s">
        <v>280</v>
      </c>
      <c r="E83" s="145">
        <v>27</v>
      </c>
      <c r="F83" s="21" t="s">
        <v>1780</v>
      </c>
      <c r="G83" s="208" t="s">
        <v>590</v>
      </c>
      <c r="H83" s="66" t="s">
        <v>359</v>
      </c>
      <c r="I83" s="774" t="s">
        <v>107</v>
      </c>
      <c r="J83" s="108">
        <v>1</v>
      </c>
      <c r="K83" s="109">
        <v>1</v>
      </c>
      <c r="L83" s="185">
        <v>1</v>
      </c>
      <c r="M83" s="185">
        <v>1</v>
      </c>
      <c r="N83" s="185">
        <v>1</v>
      </c>
      <c r="O83" s="185">
        <v>1</v>
      </c>
      <c r="P83" s="787">
        <v>1</v>
      </c>
      <c r="Q83" s="823" t="s">
        <v>1796</v>
      </c>
      <c r="R83" s="808" t="s">
        <v>1787</v>
      </c>
    </row>
    <row r="84" spans="1:18" ht="204">
      <c r="A84" s="741" t="s">
        <v>1743</v>
      </c>
      <c r="B84" s="726" t="s">
        <v>1724</v>
      </c>
      <c r="C84" s="16">
        <v>10</v>
      </c>
      <c r="D84" s="18" t="s">
        <v>280</v>
      </c>
      <c r="E84" s="145">
        <v>27</v>
      </c>
      <c r="F84" s="21" t="s">
        <v>1780</v>
      </c>
      <c r="G84" s="208" t="s">
        <v>591</v>
      </c>
      <c r="H84" s="66" t="s">
        <v>360</v>
      </c>
      <c r="I84" s="774" t="s">
        <v>107</v>
      </c>
      <c r="J84" s="114" t="s">
        <v>361</v>
      </c>
      <c r="K84" s="108">
        <v>0.3</v>
      </c>
      <c r="L84" s="213">
        <v>9.9999999999999992E-2</v>
      </c>
      <c r="M84" s="213">
        <v>2.5000000000000001E-2</v>
      </c>
      <c r="N84" s="213">
        <v>0.05</v>
      </c>
      <c r="O84" s="213">
        <v>7.5000000000000011E-2</v>
      </c>
      <c r="P84" s="797">
        <v>0.1</v>
      </c>
      <c r="Q84" s="823" t="s">
        <v>1796</v>
      </c>
      <c r="R84" s="816" t="s">
        <v>1787</v>
      </c>
    </row>
    <row r="85" spans="1:18" ht="76.5">
      <c r="A85" s="741" t="s">
        <v>1743</v>
      </c>
      <c r="B85" s="726" t="s">
        <v>1724</v>
      </c>
      <c r="C85" s="70">
        <v>11</v>
      </c>
      <c r="D85" s="60" t="s">
        <v>362</v>
      </c>
      <c r="E85" s="70">
        <v>28</v>
      </c>
      <c r="F85" s="60" t="s">
        <v>363</v>
      </c>
      <c r="G85" s="202" t="s">
        <v>592</v>
      </c>
      <c r="H85" s="20" t="s">
        <v>364</v>
      </c>
      <c r="I85" s="212" t="s">
        <v>100</v>
      </c>
      <c r="J85" s="82" t="s">
        <v>365</v>
      </c>
      <c r="K85" s="82" t="s">
        <v>366</v>
      </c>
      <c r="L85" s="213">
        <v>0.06</v>
      </c>
      <c r="M85" s="213">
        <v>1.4999999999999999E-2</v>
      </c>
      <c r="N85" s="213">
        <v>0.03</v>
      </c>
      <c r="O85" s="213">
        <v>4.4999999999999998E-2</v>
      </c>
      <c r="P85" s="797">
        <v>0.06</v>
      </c>
      <c r="Q85" s="836" t="s">
        <v>1803</v>
      </c>
      <c r="R85" s="816" t="s">
        <v>1787</v>
      </c>
    </row>
    <row r="86" spans="1:18" ht="76.5">
      <c r="A86" s="741" t="s">
        <v>1743</v>
      </c>
      <c r="B86" s="726" t="s">
        <v>1724</v>
      </c>
      <c r="C86" s="16">
        <v>11</v>
      </c>
      <c r="D86" s="268" t="s">
        <v>362</v>
      </c>
      <c r="E86" s="16">
        <v>28</v>
      </c>
      <c r="F86" s="18" t="s">
        <v>363</v>
      </c>
      <c r="G86" s="208" t="s">
        <v>593</v>
      </c>
      <c r="H86" s="46" t="s">
        <v>369</v>
      </c>
      <c r="I86" s="212"/>
      <c r="J86" s="110" t="s">
        <v>370</v>
      </c>
      <c r="K86" s="88">
        <v>1</v>
      </c>
      <c r="L86" s="185">
        <v>0.33</v>
      </c>
      <c r="M86" s="185">
        <v>8.3333333333333329E-2</v>
      </c>
      <c r="N86" s="185">
        <v>0.16666666666666666</v>
      </c>
      <c r="O86" s="185">
        <v>0.25</v>
      </c>
      <c r="P86" s="787">
        <v>0.33333333333333331</v>
      </c>
      <c r="Q86" s="823" t="s">
        <v>1801</v>
      </c>
      <c r="R86" s="808" t="s">
        <v>1787</v>
      </c>
    </row>
    <row r="87" spans="1:18" ht="76.5">
      <c r="A87" s="741" t="s">
        <v>1743</v>
      </c>
      <c r="B87" s="726" t="s">
        <v>1724</v>
      </c>
      <c r="C87" s="16">
        <v>11</v>
      </c>
      <c r="D87" s="268" t="s">
        <v>362</v>
      </c>
      <c r="E87" s="16">
        <v>28</v>
      </c>
      <c r="F87" s="18" t="s">
        <v>363</v>
      </c>
      <c r="G87" s="208" t="s">
        <v>594</v>
      </c>
      <c r="H87" s="46" t="s">
        <v>371</v>
      </c>
      <c r="I87" s="212"/>
      <c r="J87" s="110" t="s">
        <v>145</v>
      </c>
      <c r="K87" s="111">
        <v>1</v>
      </c>
      <c r="L87" s="10">
        <v>1</v>
      </c>
      <c r="M87" s="10"/>
      <c r="N87" s="10">
        <v>1</v>
      </c>
      <c r="O87" s="10"/>
      <c r="P87" s="12"/>
      <c r="Q87" s="825" t="s">
        <v>1801</v>
      </c>
      <c r="R87" s="805" t="s">
        <v>1787</v>
      </c>
    </row>
    <row r="88" spans="1:18" ht="331.5">
      <c r="A88" s="741" t="s">
        <v>1743</v>
      </c>
      <c r="B88" s="726" t="s">
        <v>1724</v>
      </c>
      <c r="C88" s="61">
        <v>11</v>
      </c>
      <c r="D88" s="62" t="s">
        <v>362</v>
      </c>
      <c r="E88" s="61">
        <v>28</v>
      </c>
      <c r="F88" s="62" t="s">
        <v>363</v>
      </c>
      <c r="G88" s="208" t="s">
        <v>595</v>
      </c>
      <c r="H88" s="46" t="s">
        <v>733</v>
      </c>
      <c r="I88" s="212" t="s">
        <v>127</v>
      </c>
      <c r="J88" s="90" t="s">
        <v>351</v>
      </c>
      <c r="K88" s="90" t="s">
        <v>352</v>
      </c>
      <c r="L88" s="49">
        <f>L79</f>
        <v>1</v>
      </c>
      <c r="M88" s="49">
        <f t="shared" ref="M88:P88" si="0">M79</f>
        <v>1</v>
      </c>
      <c r="N88" s="49">
        <f t="shared" si="0"/>
        <v>1</v>
      </c>
      <c r="O88" s="49">
        <f t="shared" si="0"/>
        <v>1</v>
      </c>
      <c r="P88" s="800">
        <f t="shared" si="0"/>
        <v>1</v>
      </c>
      <c r="Q88" s="838" t="s">
        <v>1801</v>
      </c>
      <c r="R88" s="818" t="s">
        <v>1787</v>
      </c>
    </row>
    <row r="89" spans="1:18" ht="77.25" thickBot="1">
      <c r="A89" s="742" t="s">
        <v>1743</v>
      </c>
      <c r="B89" s="725" t="s">
        <v>1724</v>
      </c>
      <c r="C89" s="721">
        <v>12</v>
      </c>
      <c r="D89" s="717" t="s">
        <v>372</v>
      </c>
      <c r="E89" s="721">
        <v>29</v>
      </c>
      <c r="F89" s="717" t="s">
        <v>654</v>
      </c>
      <c r="G89" s="722" t="s">
        <v>596</v>
      </c>
      <c r="H89" s="717" t="s">
        <v>373</v>
      </c>
      <c r="I89" s="722" t="s">
        <v>107</v>
      </c>
      <c r="J89" s="721" t="s">
        <v>145</v>
      </c>
      <c r="K89" s="723" t="s">
        <v>374</v>
      </c>
      <c r="L89" s="720">
        <v>0.13</v>
      </c>
      <c r="M89" s="720">
        <v>0</v>
      </c>
      <c r="N89" s="720">
        <v>0</v>
      </c>
      <c r="O89" s="720">
        <v>6.6666666666666666E-2</v>
      </c>
      <c r="P89" s="799">
        <v>0.13333333333333333</v>
      </c>
      <c r="Q89" s="823" t="s">
        <v>1803</v>
      </c>
      <c r="R89" s="808" t="s">
        <v>1787</v>
      </c>
    </row>
    <row r="90" spans="1:18" ht="127.5">
      <c r="A90" s="745" t="s">
        <v>1745</v>
      </c>
      <c r="B90" s="727" t="s">
        <v>1725</v>
      </c>
      <c r="C90" s="22">
        <v>13</v>
      </c>
      <c r="D90" s="121" t="s">
        <v>376</v>
      </c>
      <c r="E90" s="148">
        <v>30</v>
      </c>
      <c r="F90" s="121" t="s">
        <v>377</v>
      </c>
      <c r="G90" s="222" t="s">
        <v>601</v>
      </c>
      <c r="H90" s="46" t="s">
        <v>600</v>
      </c>
      <c r="I90" s="212" t="s">
        <v>379</v>
      </c>
      <c r="J90" s="88">
        <v>0.94</v>
      </c>
      <c r="K90" s="87" t="s">
        <v>378</v>
      </c>
      <c r="L90" s="184">
        <v>0.94</v>
      </c>
      <c r="M90" s="184">
        <v>0.94</v>
      </c>
      <c r="N90" s="184">
        <v>0.94</v>
      </c>
      <c r="O90" s="184">
        <v>0.94</v>
      </c>
      <c r="P90" s="786">
        <v>0.94</v>
      </c>
      <c r="Q90" s="823" t="s">
        <v>1806</v>
      </c>
      <c r="R90" s="808" t="s">
        <v>1789</v>
      </c>
    </row>
    <row r="91" spans="1:18" ht="102">
      <c r="A91" s="743" t="s">
        <v>1744</v>
      </c>
      <c r="B91" s="726" t="s">
        <v>1726</v>
      </c>
      <c r="C91" s="24">
        <v>13</v>
      </c>
      <c r="D91" s="123" t="s">
        <v>376</v>
      </c>
      <c r="E91" s="26">
        <v>30</v>
      </c>
      <c r="F91" s="123" t="s">
        <v>377</v>
      </c>
      <c r="G91" s="202" t="s">
        <v>602</v>
      </c>
      <c r="H91" s="46" t="s">
        <v>383</v>
      </c>
      <c r="I91" s="212" t="s">
        <v>107</v>
      </c>
      <c r="J91" s="87" t="s">
        <v>143</v>
      </c>
      <c r="K91" s="87">
        <v>70</v>
      </c>
      <c r="L91" s="10">
        <v>7</v>
      </c>
      <c r="M91" s="10"/>
      <c r="N91" s="10"/>
      <c r="O91" s="10">
        <v>3</v>
      </c>
      <c r="P91" s="12">
        <v>4</v>
      </c>
      <c r="Q91" s="825" t="s">
        <v>1806</v>
      </c>
      <c r="R91" s="805" t="s">
        <v>1787</v>
      </c>
    </row>
    <row r="92" spans="1:18" ht="102">
      <c r="A92" s="743" t="s">
        <v>1744</v>
      </c>
      <c r="B92" s="726" t="s">
        <v>1726</v>
      </c>
      <c r="C92" s="24">
        <v>13</v>
      </c>
      <c r="D92" s="123" t="s">
        <v>376</v>
      </c>
      <c r="E92" s="26">
        <v>30</v>
      </c>
      <c r="F92" s="123" t="s">
        <v>377</v>
      </c>
      <c r="G92" s="253" t="s">
        <v>603</v>
      </c>
      <c r="H92" s="35" t="s">
        <v>597</v>
      </c>
      <c r="I92" s="212" t="s">
        <v>107</v>
      </c>
      <c r="J92" s="82" t="s">
        <v>143</v>
      </c>
      <c r="K92" s="92">
        <v>0.9</v>
      </c>
      <c r="L92" s="185">
        <v>0.7</v>
      </c>
      <c r="M92" s="185"/>
      <c r="N92" s="185"/>
      <c r="O92" s="185"/>
      <c r="P92" s="787">
        <v>0.7</v>
      </c>
      <c r="Q92" s="823" t="s">
        <v>1806</v>
      </c>
      <c r="R92" s="808" t="s">
        <v>1787</v>
      </c>
    </row>
    <row r="93" spans="1:18" ht="102">
      <c r="A93" s="743" t="s">
        <v>1744</v>
      </c>
      <c r="B93" s="726" t="s">
        <v>1726</v>
      </c>
      <c r="C93" s="24">
        <v>13</v>
      </c>
      <c r="D93" s="123" t="s">
        <v>376</v>
      </c>
      <c r="E93" s="26">
        <v>30</v>
      </c>
      <c r="F93" s="123" t="s">
        <v>377</v>
      </c>
      <c r="G93" s="254" t="s">
        <v>604</v>
      </c>
      <c r="H93" s="63" t="s">
        <v>598</v>
      </c>
      <c r="I93" s="212" t="s">
        <v>107</v>
      </c>
      <c r="J93" s="93" t="s">
        <v>143</v>
      </c>
      <c r="K93" s="92">
        <v>0.9</v>
      </c>
      <c r="L93" s="185">
        <v>0.7</v>
      </c>
      <c r="M93" s="185"/>
      <c r="N93" s="185"/>
      <c r="O93" s="185"/>
      <c r="P93" s="787">
        <v>0.7</v>
      </c>
      <c r="Q93" s="823" t="s">
        <v>1800</v>
      </c>
      <c r="R93" s="808" t="s">
        <v>1787</v>
      </c>
    </row>
    <row r="94" spans="1:18" ht="102">
      <c r="A94" s="743" t="s">
        <v>1744</v>
      </c>
      <c r="B94" s="726" t="s">
        <v>1726</v>
      </c>
      <c r="C94" s="17">
        <v>13</v>
      </c>
      <c r="D94" s="125" t="s">
        <v>376</v>
      </c>
      <c r="E94" s="26">
        <v>30</v>
      </c>
      <c r="F94" s="123" t="s">
        <v>377</v>
      </c>
      <c r="G94" s="208" t="s">
        <v>605</v>
      </c>
      <c r="H94" s="35" t="s">
        <v>599</v>
      </c>
      <c r="I94" s="212" t="s">
        <v>107</v>
      </c>
      <c r="J94" s="82" t="s">
        <v>143</v>
      </c>
      <c r="K94" s="92">
        <v>0.9</v>
      </c>
      <c r="L94" s="185">
        <v>0.7</v>
      </c>
      <c r="M94" s="185"/>
      <c r="N94" s="185"/>
      <c r="O94" s="185"/>
      <c r="P94" s="787">
        <v>0.7</v>
      </c>
      <c r="Q94" s="823" t="s">
        <v>1800</v>
      </c>
      <c r="R94" s="808" t="s">
        <v>1787</v>
      </c>
    </row>
    <row r="95" spans="1:18" ht="102">
      <c r="A95" s="743" t="s">
        <v>1744</v>
      </c>
      <c r="B95" s="726" t="s">
        <v>1726</v>
      </c>
      <c r="C95" s="56">
        <v>14</v>
      </c>
      <c r="D95" s="315" t="s">
        <v>386</v>
      </c>
      <c r="E95" s="36">
        <v>31</v>
      </c>
      <c r="F95" s="120" t="s">
        <v>387</v>
      </c>
      <c r="G95" s="256" t="s">
        <v>607</v>
      </c>
      <c r="H95" s="46" t="s">
        <v>606</v>
      </c>
      <c r="I95" s="212" t="s">
        <v>107</v>
      </c>
      <c r="J95" s="80" t="s">
        <v>145</v>
      </c>
      <c r="K95" s="85">
        <v>1</v>
      </c>
      <c r="L95" s="185">
        <v>1</v>
      </c>
      <c r="M95" s="185">
        <v>0.25</v>
      </c>
      <c r="N95" s="185">
        <v>0.5</v>
      </c>
      <c r="O95" s="185">
        <v>0.75</v>
      </c>
      <c r="P95" s="787">
        <v>1</v>
      </c>
      <c r="Q95" s="823" t="s">
        <v>1807</v>
      </c>
      <c r="R95" s="811" t="s">
        <v>1785</v>
      </c>
    </row>
    <row r="96" spans="1:18" ht="102">
      <c r="A96" s="743" t="s">
        <v>1744</v>
      </c>
      <c r="B96" s="726" t="s">
        <v>1726</v>
      </c>
      <c r="C96" s="24">
        <v>14</v>
      </c>
      <c r="D96" s="123" t="s">
        <v>386</v>
      </c>
      <c r="E96" s="36">
        <v>32</v>
      </c>
      <c r="F96" s="120" t="s">
        <v>391</v>
      </c>
      <c r="G96" s="256" t="s">
        <v>609</v>
      </c>
      <c r="H96" s="46" t="s">
        <v>608</v>
      </c>
      <c r="I96" s="212" t="s">
        <v>107</v>
      </c>
      <c r="J96" s="87" t="s">
        <v>145</v>
      </c>
      <c r="K96" s="88">
        <v>1</v>
      </c>
      <c r="L96" s="185">
        <v>1</v>
      </c>
      <c r="M96" s="185">
        <v>0.125</v>
      </c>
      <c r="N96" s="185">
        <v>0.375</v>
      </c>
      <c r="O96" s="185">
        <v>0.625</v>
      </c>
      <c r="P96" s="787">
        <v>1</v>
      </c>
      <c r="Q96" s="823" t="s">
        <v>1807</v>
      </c>
      <c r="R96" s="811" t="s">
        <v>1785</v>
      </c>
    </row>
    <row r="97" spans="1:18" ht="102">
      <c r="A97" s="743" t="s">
        <v>1744</v>
      </c>
      <c r="B97" s="726" t="s">
        <v>1726</v>
      </c>
      <c r="C97" s="24">
        <v>14</v>
      </c>
      <c r="D97" s="123" t="s">
        <v>386</v>
      </c>
      <c r="E97" s="151">
        <v>33</v>
      </c>
      <c r="F97" s="314" t="s">
        <v>393</v>
      </c>
      <c r="G97" s="208" t="s">
        <v>611</v>
      </c>
      <c r="H97" s="46" t="s">
        <v>394</v>
      </c>
      <c r="I97" s="212" t="s">
        <v>107</v>
      </c>
      <c r="J97" s="87" t="s">
        <v>143</v>
      </c>
      <c r="K97" s="86" t="s">
        <v>395</v>
      </c>
      <c r="L97" s="185">
        <v>0.6</v>
      </c>
      <c r="M97" s="185">
        <v>0.1</v>
      </c>
      <c r="N97" s="185">
        <v>0.3</v>
      </c>
      <c r="O97" s="185">
        <v>0.5</v>
      </c>
      <c r="P97" s="787">
        <v>0.6</v>
      </c>
      <c r="Q97" s="823" t="s">
        <v>1807</v>
      </c>
      <c r="R97" s="811" t="s">
        <v>1785</v>
      </c>
    </row>
    <row r="98" spans="1:18" ht="102">
      <c r="A98" s="743" t="s">
        <v>1744</v>
      </c>
      <c r="B98" s="726" t="s">
        <v>1726</v>
      </c>
      <c r="C98" s="24">
        <v>14</v>
      </c>
      <c r="D98" s="123" t="s">
        <v>386</v>
      </c>
      <c r="E98" s="17">
        <v>33</v>
      </c>
      <c r="F98" s="125" t="s">
        <v>393</v>
      </c>
      <c r="G98" s="208" t="s">
        <v>612</v>
      </c>
      <c r="H98" s="46" t="s">
        <v>610</v>
      </c>
      <c r="I98" s="212" t="s">
        <v>107</v>
      </c>
      <c r="J98" s="87" t="s">
        <v>143</v>
      </c>
      <c r="K98" s="88" t="s">
        <v>398</v>
      </c>
      <c r="L98" s="185">
        <v>0.7</v>
      </c>
      <c r="M98" s="185"/>
      <c r="N98" s="185"/>
      <c r="O98" s="185"/>
      <c r="P98" s="787">
        <v>0.7</v>
      </c>
      <c r="Q98" s="823" t="s">
        <v>1807</v>
      </c>
      <c r="R98" s="808" t="s">
        <v>1789</v>
      </c>
    </row>
    <row r="99" spans="1:18" ht="102">
      <c r="A99" s="743" t="s">
        <v>1744</v>
      </c>
      <c r="B99" s="726" t="s">
        <v>1726</v>
      </c>
      <c r="C99" s="53">
        <v>14</v>
      </c>
      <c r="D99" s="125" t="s">
        <v>386</v>
      </c>
      <c r="E99" s="146">
        <v>34</v>
      </c>
      <c r="F99" s="316" t="s">
        <v>400</v>
      </c>
      <c r="G99" s="228" t="s">
        <v>613</v>
      </c>
      <c r="H99" s="46" t="s">
        <v>739</v>
      </c>
      <c r="I99" s="212" t="s">
        <v>107</v>
      </c>
      <c r="J99" s="87">
        <v>0</v>
      </c>
      <c r="K99" s="82" t="s">
        <v>1730</v>
      </c>
      <c r="L99" s="10">
        <v>3</v>
      </c>
      <c r="M99" s="10">
        <v>3</v>
      </c>
      <c r="N99" s="10">
        <v>3</v>
      </c>
      <c r="O99" s="10">
        <v>3</v>
      </c>
      <c r="P99" s="12">
        <v>3</v>
      </c>
      <c r="Q99" s="825" t="s">
        <v>1807</v>
      </c>
      <c r="R99" s="805" t="s">
        <v>1787</v>
      </c>
    </row>
    <row r="100" spans="1:18" ht="102">
      <c r="A100" s="743" t="s">
        <v>1744</v>
      </c>
      <c r="B100" s="726" t="s">
        <v>1726</v>
      </c>
      <c r="C100" s="56">
        <v>15</v>
      </c>
      <c r="D100" s="315" t="s">
        <v>464</v>
      </c>
      <c r="E100" s="145">
        <v>35</v>
      </c>
      <c r="F100" s="315" t="s">
        <v>403</v>
      </c>
      <c r="G100" s="208" t="s">
        <v>614</v>
      </c>
      <c r="H100" s="47" t="s">
        <v>404</v>
      </c>
      <c r="I100" s="208" t="s">
        <v>100</v>
      </c>
      <c r="J100" s="90">
        <v>0.58099999999999996</v>
      </c>
      <c r="K100" s="90">
        <v>1</v>
      </c>
      <c r="L100" s="257">
        <v>0.6</v>
      </c>
      <c r="M100" s="257">
        <v>0.58099999999999996</v>
      </c>
      <c r="N100" s="257">
        <v>0.58099999999999996</v>
      </c>
      <c r="O100" s="257">
        <v>0.58499999999999996</v>
      </c>
      <c r="P100" s="801">
        <v>0.6</v>
      </c>
      <c r="Q100" s="840" t="s">
        <v>1806</v>
      </c>
      <c r="R100" s="819" t="s">
        <v>1786</v>
      </c>
    </row>
    <row r="101" spans="1:18" ht="102">
      <c r="A101" s="743" t="s">
        <v>1744</v>
      </c>
      <c r="B101" s="726" t="s">
        <v>1726</v>
      </c>
      <c r="C101" s="24">
        <v>15</v>
      </c>
      <c r="D101" s="123" t="s">
        <v>402</v>
      </c>
      <c r="E101" s="16">
        <v>35</v>
      </c>
      <c r="F101" s="123" t="s">
        <v>403</v>
      </c>
      <c r="G101" s="208" t="s">
        <v>615</v>
      </c>
      <c r="H101" s="46" t="s">
        <v>408</v>
      </c>
      <c r="I101" s="212" t="s">
        <v>107</v>
      </c>
      <c r="J101" s="87" t="s">
        <v>145</v>
      </c>
      <c r="K101" s="82" t="s">
        <v>409</v>
      </c>
      <c r="L101" s="185">
        <v>0.05</v>
      </c>
      <c r="M101" s="185"/>
      <c r="N101" s="185"/>
      <c r="O101" s="185"/>
      <c r="P101" s="787">
        <v>0.05</v>
      </c>
      <c r="Q101" s="823" t="s">
        <v>1806</v>
      </c>
      <c r="R101" s="808" t="s">
        <v>1786</v>
      </c>
    </row>
    <row r="102" spans="1:18" ht="102">
      <c r="A102" s="743" t="s">
        <v>1744</v>
      </c>
      <c r="B102" s="726" t="s">
        <v>1726</v>
      </c>
      <c r="C102" s="24">
        <v>15</v>
      </c>
      <c r="D102" s="123" t="s">
        <v>402</v>
      </c>
      <c r="E102" s="17">
        <v>35</v>
      </c>
      <c r="F102" s="125" t="s">
        <v>403</v>
      </c>
      <c r="G102" s="208" t="s">
        <v>616</v>
      </c>
      <c r="H102" s="46" t="s">
        <v>411</v>
      </c>
      <c r="I102" s="212" t="s">
        <v>107</v>
      </c>
      <c r="J102" s="87" t="s">
        <v>145</v>
      </c>
      <c r="K102" s="82" t="s">
        <v>412</v>
      </c>
      <c r="L102" s="185">
        <v>0.2</v>
      </c>
      <c r="M102" s="185"/>
      <c r="N102" s="185"/>
      <c r="O102" s="185"/>
      <c r="P102" s="787">
        <v>0.2</v>
      </c>
      <c r="Q102" s="823" t="s">
        <v>1807</v>
      </c>
      <c r="R102" s="808" t="s">
        <v>1786</v>
      </c>
    </row>
    <row r="103" spans="1:18" ht="102">
      <c r="A103" s="743" t="s">
        <v>1744</v>
      </c>
      <c r="B103" s="726" t="s">
        <v>1726</v>
      </c>
      <c r="C103" s="24">
        <v>15</v>
      </c>
      <c r="D103" s="123" t="s">
        <v>402</v>
      </c>
      <c r="E103" s="146">
        <v>36</v>
      </c>
      <c r="F103" s="316" t="s">
        <v>1760</v>
      </c>
      <c r="G103" s="228" t="s">
        <v>617</v>
      </c>
      <c r="H103" s="46" t="s">
        <v>1761</v>
      </c>
      <c r="I103" s="212" t="s">
        <v>107</v>
      </c>
      <c r="J103" s="87">
        <v>0</v>
      </c>
      <c r="K103" s="87">
        <v>50</v>
      </c>
      <c r="L103" s="10">
        <v>20</v>
      </c>
      <c r="M103" s="10">
        <v>0</v>
      </c>
      <c r="N103" s="10">
        <v>6</v>
      </c>
      <c r="O103" s="10">
        <v>12</v>
      </c>
      <c r="P103" s="12">
        <v>20</v>
      </c>
      <c r="Q103" s="825" t="s">
        <v>1799</v>
      </c>
      <c r="R103" s="805" t="s">
        <v>1787</v>
      </c>
    </row>
    <row r="104" spans="1:18" ht="102">
      <c r="A104" s="743" t="s">
        <v>1744</v>
      </c>
      <c r="B104" s="726" t="s">
        <v>1726</v>
      </c>
      <c r="C104" s="24">
        <v>15</v>
      </c>
      <c r="D104" s="123" t="s">
        <v>402</v>
      </c>
      <c r="E104" s="145">
        <v>37</v>
      </c>
      <c r="F104" s="315" t="s">
        <v>650</v>
      </c>
      <c r="G104" s="208" t="s">
        <v>619</v>
      </c>
      <c r="H104" s="47" t="s">
        <v>418</v>
      </c>
      <c r="I104" s="212" t="s">
        <v>107</v>
      </c>
      <c r="J104" s="87">
        <v>0</v>
      </c>
      <c r="K104" s="90">
        <v>0.7</v>
      </c>
      <c r="L104" s="185">
        <v>0.2</v>
      </c>
      <c r="M104" s="185">
        <v>0</v>
      </c>
      <c r="N104" s="185">
        <v>0.1</v>
      </c>
      <c r="O104" s="185">
        <v>0.1</v>
      </c>
      <c r="P104" s="787">
        <v>0.2</v>
      </c>
      <c r="Q104" s="823" t="s">
        <v>1799</v>
      </c>
      <c r="R104" s="808" t="s">
        <v>1786</v>
      </c>
    </row>
    <row r="105" spans="1:18" ht="102">
      <c r="A105" s="743" t="s">
        <v>1744</v>
      </c>
      <c r="B105" s="726" t="s">
        <v>1726</v>
      </c>
      <c r="C105" s="24">
        <v>15</v>
      </c>
      <c r="D105" s="161" t="s">
        <v>402</v>
      </c>
      <c r="E105" s="16">
        <v>37</v>
      </c>
      <c r="F105" s="123" t="s">
        <v>417</v>
      </c>
      <c r="G105" s="208" t="s">
        <v>620</v>
      </c>
      <c r="H105" s="47" t="s">
        <v>618</v>
      </c>
      <c r="I105" s="212" t="s">
        <v>107</v>
      </c>
      <c r="J105" s="87">
        <v>0</v>
      </c>
      <c r="K105" s="87">
        <v>10</v>
      </c>
      <c r="L105" s="10">
        <v>0</v>
      </c>
      <c r="M105" s="10">
        <v>0</v>
      </c>
      <c r="N105" s="10">
        <v>0</v>
      </c>
      <c r="O105" s="10">
        <v>1</v>
      </c>
      <c r="P105" s="12">
        <v>2</v>
      </c>
      <c r="Q105" s="825" t="s">
        <v>1799</v>
      </c>
      <c r="R105" s="805" t="s">
        <v>1786</v>
      </c>
    </row>
    <row r="106" spans="1:18" ht="102">
      <c r="A106" s="743" t="s">
        <v>1744</v>
      </c>
      <c r="B106" s="726" t="s">
        <v>1726</v>
      </c>
      <c r="C106" s="151">
        <v>16</v>
      </c>
      <c r="D106" s="314" t="s">
        <v>419</v>
      </c>
      <c r="E106" s="151">
        <v>38</v>
      </c>
      <c r="F106" s="314" t="s">
        <v>420</v>
      </c>
      <c r="G106" s="208">
        <v>38.1</v>
      </c>
      <c r="H106" s="35" t="s">
        <v>421</v>
      </c>
      <c r="I106" s="212" t="s">
        <v>379</v>
      </c>
      <c r="J106" s="92">
        <v>0.97</v>
      </c>
      <c r="K106" s="92">
        <v>0.97</v>
      </c>
      <c r="L106" s="185">
        <v>0.97</v>
      </c>
      <c r="M106" s="185">
        <v>0.97</v>
      </c>
      <c r="N106" s="185">
        <v>0.97</v>
      </c>
      <c r="O106" s="185">
        <v>0.97</v>
      </c>
      <c r="P106" s="787">
        <v>0.97</v>
      </c>
      <c r="Q106" s="823" t="s">
        <v>1806</v>
      </c>
      <c r="R106" s="808" t="s">
        <v>1790</v>
      </c>
    </row>
    <row r="107" spans="1:18" ht="102">
      <c r="A107" s="743" t="s">
        <v>1744</v>
      </c>
      <c r="B107" s="726" t="s">
        <v>1726</v>
      </c>
      <c r="C107" s="16">
        <v>16</v>
      </c>
      <c r="D107" s="123" t="s">
        <v>419</v>
      </c>
      <c r="E107" s="16">
        <v>38</v>
      </c>
      <c r="F107" s="123" t="s">
        <v>420</v>
      </c>
      <c r="G107" s="208">
        <v>38.200000000000003</v>
      </c>
      <c r="H107" s="48" t="s">
        <v>425</v>
      </c>
      <c r="I107" s="212" t="s">
        <v>107</v>
      </c>
      <c r="J107" s="87">
        <v>0</v>
      </c>
      <c r="K107" s="94">
        <v>1</v>
      </c>
      <c r="L107" s="185">
        <v>0.8</v>
      </c>
      <c r="M107" s="185"/>
      <c r="N107" s="185"/>
      <c r="O107" s="185"/>
      <c r="P107" s="787">
        <v>0.8</v>
      </c>
      <c r="Q107" s="823" t="s">
        <v>1806</v>
      </c>
      <c r="R107" s="808" t="s">
        <v>1789</v>
      </c>
    </row>
    <row r="108" spans="1:18" ht="102">
      <c r="A108" s="743" t="s">
        <v>1744</v>
      </c>
      <c r="B108" s="726" t="s">
        <v>1726</v>
      </c>
      <c r="C108" s="16">
        <v>16</v>
      </c>
      <c r="D108" s="123" t="s">
        <v>419</v>
      </c>
      <c r="E108" s="17">
        <v>38</v>
      </c>
      <c r="F108" s="125" t="s">
        <v>420</v>
      </c>
      <c r="G108" s="208">
        <v>38.299999999999997</v>
      </c>
      <c r="H108" s="35" t="s">
        <v>427</v>
      </c>
      <c r="I108" s="212" t="s">
        <v>107</v>
      </c>
      <c r="J108" s="87" t="s">
        <v>143</v>
      </c>
      <c r="K108" s="82">
        <v>1</v>
      </c>
      <c r="L108" s="10">
        <v>1</v>
      </c>
      <c r="M108" s="10">
        <v>0.5</v>
      </c>
      <c r="N108" s="10">
        <v>0.7</v>
      </c>
      <c r="O108" s="10">
        <v>0.9</v>
      </c>
      <c r="P108" s="12">
        <v>1</v>
      </c>
      <c r="Q108" s="825" t="s">
        <v>1807</v>
      </c>
      <c r="R108" s="805" t="s">
        <v>1787</v>
      </c>
    </row>
    <row r="109" spans="1:18" ht="102">
      <c r="A109" s="743" t="s">
        <v>1744</v>
      </c>
      <c r="B109" s="726" t="s">
        <v>1726</v>
      </c>
      <c r="C109" s="16">
        <v>16</v>
      </c>
      <c r="D109" s="123" t="s">
        <v>419</v>
      </c>
      <c r="E109" s="145">
        <v>39</v>
      </c>
      <c r="F109" s="315" t="s">
        <v>429</v>
      </c>
      <c r="G109" s="254" t="s">
        <v>622</v>
      </c>
      <c r="H109" s="35" t="s">
        <v>621</v>
      </c>
      <c r="I109" s="212" t="s">
        <v>107</v>
      </c>
      <c r="J109" s="82" t="s">
        <v>143</v>
      </c>
      <c r="K109" s="92">
        <v>1</v>
      </c>
      <c r="L109" s="185">
        <v>0.25</v>
      </c>
      <c r="M109" s="185">
        <v>0.05</v>
      </c>
      <c r="N109" s="185">
        <v>0.1</v>
      </c>
      <c r="O109" s="185">
        <v>0.15</v>
      </c>
      <c r="P109" s="787">
        <v>0.25</v>
      </c>
      <c r="Q109" s="823" t="s">
        <v>1806</v>
      </c>
      <c r="R109" s="808" t="s">
        <v>1787</v>
      </c>
    </row>
    <row r="110" spans="1:18" ht="242.25">
      <c r="A110" s="743" t="s">
        <v>1744</v>
      </c>
      <c r="B110" s="726" t="s">
        <v>1726</v>
      </c>
      <c r="C110" s="16">
        <v>16</v>
      </c>
      <c r="D110" s="123" t="s">
        <v>419</v>
      </c>
      <c r="E110" s="77">
        <v>40</v>
      </c>
      <c r="F110" s="119" t="s">
        <v>432</v>
      </c>
      <c r="G110" s="205" t="s">
        <v>623</v>
      </c>
      <c r="H110" s="46" t="s">
        <v>734</v>
      </c>
      <c r="I110" s="212" t="s">
        <v>107</v>
      </c>
      <c r="J110" s="87" t="s">
        <v>467</v>
      </c>
      <c r="K110" s="88">
        <v>1</v>
      </c>
      <c r="L110" s="185">
        <v>1</v>
      </c>
      <c r="M110" s="185">
        <v>0.2</v>
      </c>
      <c r="N110" s="185">
        <v>0.4</v>
      </c>
      <c r="O110" s="185">
        <v>0.60000000000000009</v>
      </c>
      <c r="P110" s="787">
        <v>1</v>
      </c>
      <c r="Q110" s="823" t="s">
        <v>1807</v>
      </c>
      <c r="R110" s="808" t="s">
        <v>1787</v>
      </c>
    </row>
    <row r="111" spans="1:18" ht="102">
      <c r="A111" s="743" t="s">
        <v>1744</v>
      </c>
      <c r="B111" s="726" t="s">
        <v>1726</v>
      </c>
      <c r="C111" s="17">
        <v>16</v>
      </c>
      <c r="D111" s="125" t="s">
        <v>419</v>
      </c>
      <c r="E111" s="56">
        <v>41</v>
      </c>
      <c r="F111" s="119" t="s">
        <v>435</v>
      </c>
      <c r="G111" s="210" t="s">
        <v>624</v>
      </c>
      <c r="H111" s="46" t="s">
        <v>436</v>
      </c>
      <c r="I111" s="212" t="s">
        <v>107</v>
      </c>
      <c r="J111" s="87">
        <v>0</v>
      </c>
      <c r="K111" s="87" t="s">
        <v>437</v>
      </c>
      <c r="L111" s="212" t="s">
        <v>437</v>
      </c>
      <c r="M111" s="10"/>
      <c r="N111" s="10"/>
      <c r="O111" s="10"/>
      <c r="P111" s="773" t="s">
        <v>437</v>
      </c>
      <c r="Q111" s="825" t="s">
        <v>1806</v>
      </c>
      <c r="R111" s="820" t="s">
        <v>1790</v>
      </c>
    </row>
    <row r="112" spans="1:18" ht="102">
      <c r="A112" s="743" t="s">
        <v>1744</v>
      </c>
      <c r="B112" s="726" t="s">
        <v>1726</v>
      </c>
      <c r="C112" s="145">
        <v>17</v>
      </c>
      <c r="D112" s="315" t="s">
        <v>440</v>
      </c>
      <c r="E112" s="77">
        <v>42</v>
      </c>
      <c r="F112" s="120" t="s">
        <v>441</v>
      </c>
      <c r="G112" s="256" t="s">
        <v>625</v>
      </c>
      <c r="H112" s="46" t="s">
        <v>442</v>
      </c>
      <c r="I112" s="212" t="s">
        <v>107</v>
      </c>
      <c r="J112" s="87" t="s">
        <v>143</v>
      </c>
      <c r="K112" s="88">
        <v>1</v>
      </c>
      <c r="L112" s="185">
        <v>1</v>
      </c>
      <c r="M112" s="185">
        <v>0</v>
      </c>
      <c r="N112" s="185">
        <v>1</v>
      </c>
      <c r="O112" s="185">
        <v>1</v>
      </c>
      <c r="P112" s="787">
        <v>1</v>
      </c>
      <c r="Q112" s="823" t="s">
        <v>1807</v>
      </c>
      <c r="R112" s="808" t="s">
        <v>1787</v>
      </c>
    </row>
    <row r="113" spans="1:18" ht="102">
      <c r="A113" s="743" t="s">
        <v>1744</v>
      </c>
      <c r="B113" s="726" t="s">
        <v>1726</v>
      </c>
      <c r="C113" s="17">
        <v>17</v>
      </c>
      <c r="D113" s="125" t="s">
        <v>440</v>
      </c>
      <c r="E113" s="141">
        <v>43</v>
      </c>
      <c r="F113" s="127" t="s">
        <v>444</v>
      </c>
      <c r="G113" s="223" t="s">
        <v>626</v>
      </c>
      <c r="H113" s="46" t="s">
        <v>445</v>
      </c>
      <c r="I113" s="212" t="s">
        <v>107</v>
      </c>
      <c r="J113" s="87" t="s">
        <v>143</v>
      </c>
      <c r="K113" s="46" t="s">
        <v>446</v>
      </c>
      <c r="L113" s="212" t="s">
        <v>437</v>
      </c>
      <c r="M113" s="212"/>
      <c r="N113" s="212"/>
      <c r="O113" s="212"/>
      <c r="P113" s="773" t="s">
        <v>437</v>
      </c>
      <c r="Q113" s="825" t="s">
        <v>1807</v>
      </c>
      <c r="R113" s="820" t="s">
        <v>1788</v>
      </c>
    </row>
    <row r="114" spans="1:18" ht="102">
      <c r="A114" s="743" t="s">
        <v>1744</v>
      </c>
      <c r="B114" s="726" t="s">
        <v>1726</v>
      </c>
      <c r="C114" s="151">
        <v>18</v>
      </c>
      <c r="D114" s="169" t="s">
        <v>676</v>
      </c>
      <c r="E114" s="77">
        <v>44</v>
      </c>
      <c r="F114" s="128" t="s">
        <v>449</v>
      </c>
      <c r="G114" s="212" t="s">
        <v>628</v>
      </c>
      <c r="H114" s="258" t="s">
        <v>627</v>
      </c>
      <c r="I114" s="256" t="s">
        <v>107</v>
      </c>
      <c r="J114" s="182" t="s">
        <v>143</v>
      </c>
      <c r="K114" s="182">
        <v>1</v>
      </c>
      <c r="L114" s="20">
        <v>1</v>
      </c>
      <c r="M114" s="20">
        <v>1</v>
      </c>
      <c r="N114" s="20">
        <v>0</v>
      </c>
      <c r="O114" s="20">
        <v>0</v>
      </c>
      <c r="P114" s="802">
        <v>0</v>
      </c>
      <c r="Q114" s="825" t="s">
        <v>1806</v>
      </c>
      <c r="R114" s="805" t="s">
        <v>1787</v>
      </c>
    </row>
    <row r="115" spans="1:18" ht="102">
      <c r="A115" s="743" t="s">
        <v>1744</v>
      </c>
      <c r="B115" s="726" t="s">
        <v>1726</v>
      </c>
      <c r="C115" s="16">
        <v>18</v>
      </c>
      <c r="D115" s="162" t="s">
        <v>448</v>
      </c>
      <c r="E115" s="141">
        <v>45</v>
      </c>
      <c r="F115" s="128" t="s">
        <v>452</v>
      </c>
      <c r="G115" s="212" t="s">
        <v>629</v>
      </c>
      <c r="H115" s="258" t="s">
        <v>1809</v>
      </c>
      <c r="I115" s="256" t="s">
        <v>107</v>
      </c>
      <c r="J115" s="182" t="s">
        <v>143</v>
      </c>
      <c r="K115" s="182" t="s">
        <v>451</v>
      </c>
      <c r="L115" s="20">
        <v>2</v>
      </c>
      <c r="M115" s="20">
        <v>0.5</v>
      </c>
      <c r="N115" s="20">
        <v>1</v>
      </c>
      <c r="O115" s="20">
        <v>1.5</v>
      </c>
      <c r="P115" s="802">
        <v>2</v>
      </c>
      <c r="Q115" s="825" t="s">
        <v>1807</v>
      </c>
      <c r="R115" s="805" t="s">
        <v>1787</v>
      </c>
    </row>
    <row r="116" spans="1:18" ht="102">
      <c r="A116" s="743" t="s">
        <v>1744</v>
      </c>
      <c r="B116" s="726" t="s">
        <v>1726</v>
      </c>
      <c r="C116" s="16">
        <v>18</v>
      </c>
      <c r="D116" s="162" t="s">
        <v>448</v>
      </c>
      <c r="E116" s="77">
        <v>46</v>
      </c>
      <c r="F116" s="128" t="s">
        <v>453</v>
      </c>
      <c r="G116" s="212" t="s">
        <v>630</v>
      </c>
      <c r="H116" s="112" t="s">
        <v>454</v>
      </c>
      <c r="I116" s="256" t="s">
        <v>107</v>
      </c>
      <c r="J116" s="182" t="s">
        <v>143</v>
      </c>
      <c r="K116" s="182" t="s">
        <v>455</v>
      </c>
      <c r="L116" s="20">
        <v>0</v>
      </c>
      <c r="M116" s="20">
        <v>1</v>
      </c>
      <c r="N116" s="20">
        <v>1</v>
      </c>
      <c r="O116" s="20">
        <v>1</v>
      </c>
      <c r="P116" s="802">
        <v>1</v>
      </c>
      <c r="Q116" s="825" t="s">
        <v>1807</v>
      </c>
      <c r="R116" s="820" t="s">
        <v>1785</v>
      </c>
    </row>
    <row r="117" spans="1:18" ht="102">
      <c r="A117" s="743" t="s">
        <v>1744</v>
      </c>
      <c r="B117" s="726" t="s">
        <v>1726</v>
      </c>
      <c r="C117" s="16">
        <v>18</v>
      </c>
      <c r="D117" s="162" t="s">
        <v>448</v>
      </c>
      <c r="E117" s="141">
        <v>47</v>
      </c>
      <c r="F117" s="128" t="s">
        <v>456</v>
      </c>
      <c r="G117" s="212" t="s">
        <v>631</v>
      </c>
      <c r="H117" s="112" t="s">
        <v>632</v>
      </c>
      <c r="I117" s="203" t="s">
        <v>107</v>
      </c>
      <c r="J117" s="259" t="s">
        <v>143</v>
      </c>
      <c r="K117" s="260">
        <v>0.7</v>
      </c>
      <c r="L117" s="249">
        <v>0.5</v>
      </c>
      <c r="M117" s="249">
        <v>0.2</v>
      </c>
      <c r="N117" s="249">
        <v>0.3</v>
      </c>
      <c r="O117" s="249">
        <v>0.4</v>
      </c>
      <c r="P117" s="803">
        <v>0.5</v>
      </c>
      <c r="Q117" s="823" t="s">
        <v>1807</v>
      </c>
      <c r="R117" s="808" t="s">
        <v>1787</v>
      </c>
    </row>
    <row r="118" spans="1:18" ht="102">
      <c r="A118" s="743" t="s">
        <v>1744</v>
      </c>
      <c r="B118" s="726" t="s">
        <v>1726</v>
      </c>
      <c r="C118" s="16">
        <v>18</v>
      </c>
      <c r="D118" s="162" t="s">
        <v>448</v>
      </c>
      <c r="E118" s="77">
        <v>48</v>
      </c>
      <c r="F118" s="128" t="s">
        <v>457</v>
      </c>
      <c r="G118" s="212" t="s">
        <v>634</v>
      </c>
      <c r="H118" s="112" t="s">
        <v>633</v>
      </c>
      <c r="I118" s="212" t="s">
        <v>107</v>
      </c>
      <c r="J118" s="82" t="s">
        <v>143</v>
      </c>
      <c r="K118" s="82" t="s">
        <v>458</v>
      </c>
      <c r="L118" s="212">
        <v>2</v>
      </c>
      <c r="M118" s="212">
        <v>0.5</v>
      </c>
      <c r="N118" s="212">
        <v>1</v>
      </c>
      <c r="O118" s="212">
        <v>1.5</v>
      </c>
      <c r="P118" s="773">
        <v>2</v>
      </c>
      <c r="Q118" s="825" t="s">
        <v>1801</v>
      </c>
      <c r="R118" s="820" t="s">
        <v>1788</v>
      </c>
    </row>
    <row r="119" spans="1:18" ht="102">
      <c r="A119" s="743" t="s">
        <v>1744</v>
      </c>
      <c r="B119" s="726" t="s">
        <v>1726</v>
      </c>
      <c r="C119" s="16">
        <v>18</v>
      </c>
      <c r="D119" s="162" t="s">
        <v>448</v>
      </c>
      <c r="E119" s="141">
        <v>49</v>
      </c>
      <c r="F119" s="128" t="s">
        <v>459</v>
      </c>
      <c r="G119" s="212" t="s">
        <v>635</v>
      </c>
      <c r="H119" s="112" t="s">
        <v>636</v>
      </c>
      <c r="I119" s="212" t="s">
        <v>107</v>
      </c>
      <c r="J119" s="82" t="s">
        <v>143</v>
      </c>
      <c r="K119" s="82" t="s">
        <v>458</v>
      </c>
      <c r="L119" s="212">
        <v>2</v>
      </c>
      <c r="M119" s="212">
        <v>0</v>
      </c>
      <c r="N119" s="212">
        <v>2</v>
      </c>
      <c r="O119" s="212">
        <v>0</v>
      </c>
      <c r="P119" s="773">
        <v>0</v>
      </c>
      <c r="Q119" s="825" t="s">
        <v>1806</v>
      </c>
      <c r="R119" s="820" t="s">
        <v>1788</v>
      </c>
    </row>
    <row r="120" spans="1:18" ht="102.75" thickBot="1">
      <c r="A120" s="744" t="s">
        <v>1744</v>
      </c>
      <c r="B120" s="725" t="s">
        <v>1726</v>
      </c>
      <c r="C120" s="711">
        <v>18</v>
      </c>
      <c r="D120" s="728" t="s">
        <v>448</v>
      </c>
      <c r="E120" s="729">
        <v>50</v>
      </c>
      <c r="F120" s="730" t="s">
        <v>460</v>
      </c>
      <c r="G120" s="722" t="s">
        <v>638</v>
      </c>
      <c r="H120" s="716" t="s">
        <v>637</v>
      </c>
      <c r="I120" s="722" t="s">
        <v>107</v>
      </c>
      <c r="J120" s="707" t="s">
        <v>143</v>
      </c>
      <c r="K120" s="707" t="s">
        <v>458</v>
      </c>
      <c r="L120" s="722">
        <v>2</v>
      </c>
      <c r="M120" s="722">
        <v>2</v>
      </c>
      <c r="N120" s="722">
        <v>2</v>
      </c>
      <c r="O120" s="722">
        <v>2</v>
      </c>
      <c r="P120" s="804">
        <v>2</v>
      </c>
      <c r="Q120" s="826" t="s">
        <v>1794</v>
      </c>
      <c r="R120" s="821" t="s">
        <v>1788</v>
      </c>
    </row>
  </sheetData>
  <sheetProtection autoFilter="0" pivotTables="0"/>
  <autoFilter ref="A3:R120" xr:uid="{00000000-0009-0000-0000-000001000000}"/>
  <mergeCells count="1">
    <mergeCell ref="U19:U20"/>
  </mergeCells>
  <conditionalFormatting sqref="S24:T28 S4:T6 S10:T10 T23 S16:T17 S12:T14 S19:T19">
    <cfRule type="cellIs" dxfId="124" priority="30" operator="equal">
      <formula>""</formula>
    </cfRule>
  </conditionalFormatting>
  <conditionalFormatting sqref="K19">
    <cfRule type="cellIs" dxfId="123" priority="26" operator="equal">
      <formula>""</formula>
    </cfRule>
  </conditionalFormatting>
  <conditionalFormatting sqref="J19">
    <cfRule type="cellIs" dxfId="122" priority="24" operator="equal">
      <formula>""</formula>
    </cfRule>
  </conditionalFormatting>
  <conditionalFormatting sqref="J9">
    <cfRule type="cellIs" dxfId="121" priority="18" operator="equal">
      <formula>""</formula>
    </cfRule>
  </conditionalFormatting>
  <conditionalFormatting sqref="J7">
    <cfRule type="cellIs" dxfId="120" priority="17" operator="equal">
      <formula>""</formula>
    </cfRule>
  </conditionalFormatting>
  <conditionalFormatting sqref="S9">
    <cfRule type="cellIs" dxfId="119" priority="13" operator="equal">
      <formula>""</formula>
    </cfRule>
  </conditionalFormatting>
  <conditionalFormatting sqref="S7">
    <cfRule type="cellIs" dxfId="118" priority="11" operator="equal">
      <formula>""</formula>
    </cfRule>
  </conditionalFormatting>
  <conditionalFormatting sqref="S15:T15">
    <cfRule type="cellIs" dxfId="117" priority="10" operator="equal">
      <formula>""</formula>
    </cfRule>
  </conditionalFormatting>
  <conditionalFormatting sqref="S18">
    <cfRule type="cellIs" dxfId="116" priority="7" operator="equal">
      <formula>""</formula>
    </cfRule>
  </conditionalFormatting>
  <conditionalFormatting sqref="J18">
    <cfRule type="cellIs" dxfId="115" priority="8" operator="equal">
      <formula>""</formula>
    </cfRule>
  </conditionalFormatting>
  <conditionalFormatting sqref="J31">
    <cfRule type="cellIs" dxfId="114" priority="6" operator="equal">
      <formula>""</formula>
    </cfRule>
  </conditionalFormatting>
  <conditionalFormatting sqref="J32">
    <cfRule type="cellIs" dxfId="113" priority="5" operator="equal">
      <formula>""</formula>
    </cfRule>
  </conditionalFormatting>
  <conditionalFormatting sqref="J85">
    <cfRule type="cellIs" dxfId="112" priority="4" operator="equal">
      <formula>""</formula>
    </cfRule>
  </conditionalFormatting>
  <conditionalFormatting sqref="K85">
    <cfRule type="cellIs" dxfId="111" priority="3" operator="equal">
      <formula>""</formula>
    </cfRule>
  </conditionalFormatting>
  <conditionalFormatting sqref="K101:K102">
    <cfRule type="cellIs" dxfId="110" priority="2" operator="equal">
      <formula>""</formula>
    </cfRule>
  </conditionalFormatting>
  <conditionalFormatting sqref="K99">
    <cfRule type="cellIs" dxfId="109" priority="1" operator="equal">
      <formula>""</formula>
    </cfRule>
  </conditionalFormatting>
  <printOptions horizontalCentered="1"/>
  <pageMargins left="0.19685039370078741" right="0.19685039370078741" top="0.59055118110236227" bottom="0.59055118110236227" header="0.19685039370078741" footer="0.19685039370078741"/>
  <pageSetup scale="56" fitToHeight="0" orientation="landscape" horizontalDpi="4294967294" verticalDpi="4294967294" r:id="rId1"/>
  <headerFooter>
    <oddHeader>&amp;CPGAR 2020-2031</oddHeader>
    <oddFooter>&amp;LPágina &amp;P de &amp;N</oddFooter>
  </headerFooter>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Parámetros!$C$2:$C$18</xm:f>
          </x14:formula1>
          <xm:sqref>Q4:Q120</xm:sqref>
        </x14:dataValidation>
        <x14:dataValidation type="list" allowBlank="1" showInputMessage="1" showErrorMessage="1" xr:uid="{00000000-0002-0000-0100-000001000000}">
          <x14:formula1>
            <xm:f>Parámetros!$B$2:$B$7</xm:f>
          </x14:formula1>
          <xm:sqref>R4:R120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7" tint="0.39997558519241921"/>
    <pageSetUpPr fitToPage="1"/>
  </sheetPr>
  <dimension ref="A1:T25"/>
  <sheetViews>
    <sheetView showGridLines="0" zoomScaleNormal="100" workbookViewId="0">
      <pane xSplit="3" ySplit="3" topLeftCell="D4" activePane="bottomRight" state="frozen"/>
      <selection activeCell="Q19" sqref="Q19"/>
      <selection pane="topRight" activeCell="Q19" sqref="Q19"/>
      <selection pane="bottomLeft" activeCell="Q19" sqref="Q19"/>
      <selection pane="bottomRight" activeCell="A2" sqref="A2"/>
    </sheetView>
  </sheetViews>
  <sheetFormatPr baseColWidth="10" defaultColWidth="11" defaultRowHeight="12.75"/>
  <cols>
    <col min="1" max="1" width="3.125" style="6" bestFit="1" customWidth="1"/>
    <col min="2" max="2" width="24" style="5" bestFit="1" customWidth="1"/>
    <col min="3" max="3" width="3.125" style="6" bestFit="1" customWidth="1"/>
    <col min="4" max="4" width="30.625" style="129" bestFit="1" customWidth="1"/>
    <col min="5" max="5" width="7.125" style="207" customWidth="1"/>
    <col min="6" max="6" width="25.375" style="5" customWidth="1"/>
    <col min="7" max="7" width="15.125" style="5" customWidth="1"/>
    <col min="8" max="9" width="22.125" style="6" customWidth="1"/>
    <col min="10" max="14" width="15.125" style="5" customWidth="1"/>
    <col min="15" max="15" width="20.5" style="5" hidden="1" customWidth="1"/>
    <col min="16" max="16" width="20.625" style="5" hidden="1" customWidth="1"/>
    <col min="17" max="17" width="26.625" style="5" hidden="1" customWidth="1"/>
    <col min="18" max="16384" width="11" style="5"/>
  </cols>
  <sheetData>
    <row r="1" spans="1:19">
      <c r="A1" s="100" t="s">
        <v>196</v>
      </c>
      <c r="B1" s="100"/>
      <c r="C1" s="100"/>
      <c r="D1" s="100"/>
      <c r="E1" s="100"/>
      <c r="F1" s="100"/>
      <c r="G1" s="97"/>
      <c r="H1" s="100"/>
      <c r="I1" s="100"/>
      <c r="J1" s="98"/>
      <c r="K1" s="98"/>
      <c r="L1" s="98"/>
      <c r="M1" s="98"/>
      <c r="N1" s="98"/>
      <c r="O1" s="95"/>
      <c r="P1" s="95"/>
      <c r="Q1" s="96"/>
    </row>
    <row r="2" spans="1:19" ht="13.5" thickBot="1">
      <c r="A2" s="100" t="s">
        <v>558</v>
      </c>
      <c r="B2" s="100"/>
      <c r="C2" s="100"/>
      <c r="D2" s="100"/>
      <c r="E2" s="221"/>
      <c r="F2" s="100"/>
      <c r="G2" s="97"/>
      <c r="H2" s="100"/>
      <c r="I2" s="100"/>
      <c r="J2" s="172"/>
      <c r="K2" s="172"/>
      <c r="L2" s="172"/>
      <c r="M2" s="172"/>
      <c r="N2" s="172"/>
      <c r="O2" s="95"/>
      <c r="P2" s="95"/>
      <c r="Q2" s="96"/>
    </row>
    <row r="3" spans="1:19" ht="26.25" thickBot="1">
      <c r="A3" s="7" t="s">
        <v>86</v>
      </c>
      <c r="B3" s="7" t="s">
        <v>87</v>
      </c>
      <c r="C3" s="7" t="s">
        <v>86</v>
      </c>
      <c r="D3" s="154" t="s">
        <v>88</v>
      </c>
      <c r="E3" s="200" t="s">
        <v>477</v>
      </c>
      <c r="F3" s="7" t="s">
        <v>89</v>
      </c>
      <c r="G3" s="7" t="s">
        <v>91</v>
      </c>
      <c r="H3" s="42" t="s">
        <v>90</v>
      </c>
      <c r="I3" s="175" t="s">
        <v>476</v>
      </c>
      <c r="J3" s="176" t="s">
        <v>471</v>
      </c>
      <c r="K3" s="177" t="s">
        <v>472</v>
      </c>
      <c r="L3" s="177" t="s">
        <v>473</v>
      </c>
      <c r="M3" s="177" t="s">
        <v>474</v>
      </c>
      <c r="N3" s="178" t="s">
        <v>475</v>
      </c>
      <c r="O3" s="23" t="s">
        <v>92</v>
      </c>
      <c r="P3" s="7" t="s">
        <v>93</v>
      </c>
      <c r="Q3" s="7" t="s">
        <v>94</v>
      </c>
    </row>
    <row r="4" spans="1:19" ht="57.75" customHeight="1">
      <c r="A4" s="22">
        <v>4</v>
      </c>
      <c r="B4" s="8" t="s">
        <v>197</v>
      </c>
      <c r="C4" s="148">
        <v>12</v>
      </c>
      <c r="D4" s="121" t="s">
        <v>198</v>
      </c>
      <c r="E4" s="222" t="s">
        <v>515</v>
      </c>
      <c r="F4" s="47" t="s">
        <v>512</v>
      </c>
      <c r="G4" s="82" t="s">
        <v>107</v>
      </c>
      <c r="H4" s="82" t="s">
        <v>199</v>
      </c>
      <c r="I4" s="80" t="s">
        <v>200</v>
      </c>
      <c r="J4" s="93" t="s">
        <v>518</v>
      </c>
      <c r="K4" s="93" t="s">
        <v>518</v>
      </c>
      <c r="L4" s="93" t="s">
        <v>518</v>
      </c>
      <c r="M4" s="93" t="s">
        <v>518</v>
      </c>
      <c r="N4" s="93" t="s">
        <v>518</v>
      </c>
      <c r="O4" s="35" t="s">
        <v>201</v>
      </c>
      <c r="P4" s="116" t="s">
        <v>200</v>
      </c>
      <c r="Q4" s="74"/>
    </row>
    <row r="5" spans="1:19" ht="65.25" customHeight="1">
      <c r="A5" s="24">
        <v>4</v>
      </c>
      <c r="B5" s="18" t="s">
        <v>197</v>
      </c>
      <c r="C5" s="16">
        <v>12</v>
      </c>
      <c r="D5" s="123" t="s">
        <v>198</v>
      </c>
      <c r="E5" s="202" t="s">
        <v>517</v>
      </c>
      <c r="F5" s="47" t="s">
        <v>513</v>
      </c>
      <c r="G5" s="82" t="s">
        <v>107</v>
      </c>
      <c r="H5" s="82" t="s">
        <v>202</v>
      </c>
      <c r="I5" s="80" t="s">
        <v>203</v>
      </c>
      <c r="J5" s="82" t="s">
        <v>514</v>
      </c>
      <c r="K5" s="201">
        <v>9613.5</v>
      </c>
      <c r="L5" s="201">
        <v>9367</v>
      </c>
      <c r="M5" s="201">
        <v>9120.5</v>
      </c>
      <c r="N5" s="201">
        <v>8874</v>
      </c>
      <c r="O5" s="35" t="s">
        <v>204</v>
      </c>
      <c r="P5" s="117" t="s">
        <v>205</v>
      </c>
      <c r="Q5" s="74"/>
    </row>
    <row r="6" spans="1:19" ht="29.25" customHeight="1">
      <c r="A6" s="24">
        <v>4</v>
      </c>
      <c r="B6" s="18" t="s">
        <v>197</v>
      </c>
      <c r="C6" s="26">
        <v>12</v>
      </c>
      <c r="D6" s="123" t="s">
        <v>198</v>
      </c>
      <c r="E6" s="202" t="s">
        <v>516</v>
      </c>
      <c r="F6" s="47" t="s">
        <v>206</v>
      </c>
      <c r="G6" s="10" t="s">
        <v>107</v>
      </c>
      <c r="H6" s="86" t="s">
        <v>145</v>
      </c>
      <c r="I6" s="86" t="s">
        <v>207</v>
      </c>
      <c r="J6" s="10">
        <v>2</v>
      </c>
      <c r="K6" s="10">
        <v>0</v>
      </c>
      <c r="L6" s="10">
        <v>1</v>
      </c>
      <c r="M6" s="10">
        <v>0</v>
      </c>
      <c r="N6" s="10">
        <v>1</v>
      </c>
      <c r="O6" s="10" t="s">
        <v>208</v>
      </c>
      <c r="P6" s="10" t="s">
        <v>209</v>
      </c>
      <c r="Q6" s="37"/>
    </row>
    <row r="7" spans="1:19" ht="42" customHeight="1">
      <c r="A7" s="16">
        <v>4</v>
      </c>
      <c r="B7" s="9" t="s">
        <v>197</v>
      </c>
      <c r="C7" s="139">
        <v>13</v>
      </c>
      <c r="D7" s="121" t="s">
        <v>210</v>
      </c>
      <c r="E7" s="203" t="s">
        <v>520</v>
      </c>
      <c r="F7" s="46" t="s">
        <v>519</v>
      </c>
      <c r="G7" s="10" t="s">
        <v>107</v>
      </c>
      <c r="H7" s="87" t="s">
        <v>211</v>
      </c>
      <c r="I7" s="88">
        <v>0.5</v>
      </c>
      <c r="J7" s="185">
        <v>0.16666666666666666</v>
      </c>
      <c r="K7" s="185">
        <v>7.0000000000000007E-2</v>
      </c>
      <c r="L7" s="185">
        <v>0.12</v>
      </c>
      <c r="M7" s="185">
        <v>0.17</v>
      </c>
      <c r="N7" s="185">
        <v>0.17</v>
      </c>
      <c r="O7" s="10" t="s">
        <v>145</v>
      </c>
      <c r="P7" s="49">
        <v>0.5</v>
      </c>
      <c r="Q7" s="10" t="s">
        <v>212</v>
      </c>
    </row>
    <row r="8" spans="1:19" ht="36.75" customHeight="1">
      <c r="A8" s="16">
        <v>4</v>
      </c>
      <c r="B8" s="9" t="s">
        <v>197</v>
      </c>
      <c r="C8" s="16">
        <v>13</v>
      </c>
      <c r="D8" s="125" t="s">
        <v>210</v>
      </c>
      <c r="E8" s="208" t="s">
        <v>521</v>
      </c>
      <c r="F8" s="46" t="s">
        <v>213</v>
      </c>
      <c r="G8" s="10" t="s">
        <v>107</v>
      </c>
      <c r="H8" s="87" t="s">
        <v>211</v>
      </c>
      <c r="I8" s="88">
        <v>0.5</v>
      </c>
      <c r="J8" s="185">
        <v>0.16666666666666666</v>
      </c>
      <c r="K8" s="185">
        <v>7.0000000000000007E-2</v>
      </c>
      <c r="L8" s="185">
        <v>0.12</v>
      </c>
      <c r="M8" s="185">
        <v>0.17</v>
      </c>
      <c r="N8" s="185">
        <v>0.17</v>
      </c>
      <c r="O8" s="10" t="s">
        <v>145</v>
      </c>
      <c r="P8" s="49">
        <v>0.5</v>
      </c>
      <c r="Q8" s="10" t="s">
        <v>214</v>
      </c>
    </row>
    <row r="9" spans="1:19" ht="69.75" customHeight="1">
      <c r="A9" s="16">
        <v>4</v>
      </c>
      <c r="B9" s="18" t="s">
        <v>197</v>
      </c>
      <c r="C9" s="144">
        <v>14</v>
      </c>
      <c r="D9" s="122" t="s">
        <v>215</v>
      </c>
      <c r="E9" s="208" t="s">
        <v>522</v>
      </c>
      <c r="F9" s="46" t="s">
        <v>729</v>
      </c>
      <c r="G9" s="10" t="s">
        <v>100</v>
      </c>
      <c r="H9" s="89">
        <f>255369/956843</f>
        <v>0.26688704416503023</v>
      </c>
      <c r="I9" s="88">
        <v>0.35</v>
      </c>
      <c r="J9" s="185">
        <v>0.29459136277668679</v>
      </c>
      <c r="K9" s="185">
        <v>0.27381312381794437</v>
      </c>
      <c r="L9" s="185">
        <v>0.28073920347085851</v>
      </c>
      <c r="M9" s="185">
        <v>0.28766528312377265</v>
      </c>
      <c r="N9" s="185">
        <v>0.29459136277668679</v>
      </c>
      <c r="O9" s="10" t="s">
        <v>216</v>
      </c>
      <c r="P9" s="10" t="s">
        <v>217</v>
      </c>
      <c r="Q9" s="8" t="s">
        <v>218</v>
      </c>
    </row>
    <row r="10" spans="1:19" ht="30" customHeight="1">
      <c r="A10" s="16">
        <v>4</v>
      </c>
      <c r="B10" s="18" t="s">
        <v>197</v>
      </c>
      <c r="C10" s="16">
        <v>14</v>
      </c>
      <c r="D10" s="123" t="s">
        <v>215</v>
      </c>
      <c r="E10" s="208" t="s">
        <v>523</v>
      </c>
      <c r="F10" s="46" t="s">
        <v>525</v>
      </c>
      <c r="G10" s="10" t="s">
        <v>107</v>
      </c>
      <c r="H10" s="87" t="s">
        <v>145</v>
      </c>
      <c r="I10" s="88" t="s">
        <v>219</v>
      </c>
      <c r="J10" s="96" t="s">
        <v>526</v>
      </c>
      <c r="K10" s="96" t="s">
        <v>526</v>
      </c>
      <c r="L10" s="96" t="s">
        <v>526</v>
      </c>
      <c r="M10" s="96" t="s">
        <v>526</v>
      </c>
      <c r="N10" s="96" t="s">
        <v>526</v>
      </c>
      <c r="O10" s="50" t="s">
        <v>145</v>
      </c>
      <c r="P10" s="51" t="s">
        <v>219</v>
      </c>
      <c r="Q10" s="13"/>
    </row>
    <row r="11" spans="1:19" ht="27.75" customHeight="1">
      <c r="A11" s="16">
        <v>4</v>
      </c>
      <c r="B11" s="18" t="s">
        <v>197</v>
      </c>
      <c r="C11" s="16">
        <v>14</v>
      </c>
      <c r="D11" s="123" t="s">
        <v>215</v>
      </c>
      <c r="E11" s="208" t="s">
        <v>524</v>
      </c>
      <c r="F11" s="209" t="s">
        <v>537</v>
      </c>
      <c r="G11" s="10" t="s">
        <v>107</v>
      </c>
      <c r="H11" s="134">
        <f>7428/586458</f>
        <v>1.2665868655555896E-2</v>
      </c>
      <c r="I11" s="90">
        <v>0.9</v>
      </c>
      <c r="J11" s="185">
        <v>0.3</v>
      </c>
      <c r="K11" s="185">
        <v>7.4999999999999997E-2</v>
      </c>
      <c r="L11" s="185">
        <v>0.15</v>
      </c>
      <c r="M11" s="185">
        <v>0.22499999999999998</v>
      </c>
      <c r="N11" s="185">
        <v>0.3</v>
      </c>
      <c r="O11" s="35" t="s">
        <v>220</v>
      </c>
      <c r="P11" s="49">
        <v>0.9</v>
      </c>
      <c r="Q11" s="13"/>
    </row>
    <row r="12" spans="1:19" ht="30.75" customHeight="1">
      <c r="A12" s="144">
        <v>5</v>
      </c>
      <c r="B12" s="28" t="s">
        <v>221</v>
      </c>
      <c r="C12" s="144">
        <v>15</v>
      </c>
      <c r="D12" s="165" t="s">
        <v>222</v>
      </c>
      <c r="E12" s="208" t="s">
        <v>532</v>
      </c>
      <c r="F12" s="46" t="s">
        <v>527</v>
      </c>
      <c r="G12" s="10" t="s">
        <v>107</v>
      </c>
      <c r="H12" s="87" t="s">
        <v>145</v>
      </c>
      <c r="I12" s="87" t="s">
        <v>223</v>
      </c>
      <c r="J12" s="211">
        <v>3.3333333333333335</v>
      </c>
      <c r="K12" s="10">
        <v>0</v>
      </c>
      <c r="L12" s="10">
        <v>1</v>
      </c>
      <c r="M12" s="10">
        <v>2</v>
      </c>
      <c r="N12" s="10">
        <v>3</v>
      </c>
      <c r="O12" s="10" t="s">
        <v>145</v>
      </c>
      <c r="P12" s="12" t="s">
        <v>223</v>
      </c>
      <c r="Q12" s="13" t="s">
        <v>224</v>
      </c>
    </row>
    <row r="13" spans="1:19" ht="83.25" customHeight="1">
      <c r="A13" s="16">
        <v>5</v>
      </c>
      <c r="B13" s="9" t="s">
        <v>221</v>
      </c>
      <c r="C13" s="16">
        <v>15</v>
      </c>
      <c r="D13" s="162" t="s">
        <v>222</v>
      </c>
      <c r="E13" s="208" t="s">
        <v>533</v>
      </c>
      <c r="F13" s="32" t="s">
        <v>530</v>
      </c>
      <c r="G13" s="10" t="s">
        <v>107</v>
      </c>
      <c r="H13" s="115" t="s">
        <v>225</v>
      </c>
      <c r="I13" s="118" t="s">
        <v>528</v>
      </c>
      <c r="J13" s="211">
        <v>1059.5666666666668</v>
      </c>
      <c r="K13" s="10">
        <v>100</v>
      </c>
      <c r="L13" s="10">
        <v>420</v>
      </c>
      <c r="M13" s="10">
        <v>740</v>
      </c>
      <c r="N13" s="10">
        <v>1060</v>
      </c>
      <c r="O13" s="115" t="s">
        <v>225</v>
      </c>
      <c r="P13" s="160" t="s">
        <v>226</v>
      </c>
      <c r="Q13" s="10"/>
      <c r="R13" s="5">
        <f>31787*0.1</f>
        <v>3178.7000000000003</v>
      </c>
      <c r="S13" s="5">
        <f>558393*0.1</f>
        <v>55839.3</v>
      </c>
    </row>
    <row r="14" spans="1:19" ht="77.25" customHeight="1">
      <c r="A14" s="16">
        <v>5</v>
      </c>
      <c r="B14" s="9" t="s">
        <v>221</v>
      </c>
      <c r="C14" s="16">
        <v>15</v>
      </c>
      <c r="D14" s="162" t="s">
        <v>222</v>
      </c>
      <c r="E14" s="208" t="s">
        <v>534</v>
      </c>
      <c r="F14" s="32" t="s">
        <v>530</v>
      </c>
      <c r="G14" s="10" t="s">
        <v>107</v>
      </c>
      <c r="H14" s="115" t="s">
        <v>225</v>
      </c>
      <c r="I14" s="118" t="s">
        <v>529</v>
      </c>
      <c r="J14" s="211">
        <v>18613.100000000002</v>
      </c>
      <c r="K14" s="211">
        <v>2653.25</v>
      </c>
      <c r="L14" s="211">
        <v>7806.5</v>
      </c>
      <c r="M14" s="211">
        <v>13209.75</v>
      </c>
      <c r="N14" s="211">
        <v>18613</v>
      </c>
      <c r="O14" s="115" t="s">
        <v>225</v>
      </c>
      <c r="P14" s="160" t="s">
        <v>226</v>
      </c>
      <c r="Q14" s="10"/>
      <c r="R14" s="5">
        <f>31787*0.1</f>
        <v>3178.7000000000003</v>
      </c>
      <c r="S14" s="5">
        <f>558393*0.1</f>
        <v>55839.3</v>
      </c>
    </row>
    <row r="15" spans="1:19" ht="45" customHeight="1">
      <c r="A15" s="17">
        <v>5</v>
      </c>
      <c r="B15" s="52" t="s">
        <v>221</v>
      </c>
      <c r="C15" s="17">
        <v>15</v>
      </c>
      <c r="D15" s="125" t="s">
        <v>222</v>
      </c>
      <c r="E15" s="208" t="s">
        <v>535</v>
      </c>
      <c r="F15" s="46" t="s">
        <v>531</v>
      </c>
      <c r="G15" s="35" t="s">
        <v>107</v>
      </c>
      <c r="H15" s="87">
        <v>0</v>
      </c>
      <c r="I15" s="87" t="s">
        <v>536</v>
      </c>
      <c r="J15" s="8">
        <v>3</v>
      </c>
      <c r="K15" s="8">
        <v>0</v>
      </c>
      <c r="L15" s="8">
        <v>1</v>
      </c>
      <c r="M15" s="8">
        <v>1</v>
      </c>
      <c r="N15" s="8">
        <v>1</v>
      </c>
      <c r="O15" s="8"/>
      <c r="P15" s="159"/>
      <c r="Q15" s="13"/>
    </row>
    <row r="16" spans="1:19" ht="63.75" customHeight="1">
      <c r="A16" s="145">
        <v>6</v>
      </c>
      <c r="B16" s="136" t="s">
        <v>227</v>
      </c>
      <c r="C16" s="179">
        <v>16</v>
      </c>
      <c r="D16" s="122" t="s">
        <v>228</v>
      </c>
      <c r="E16" s="208" t="s">
        <v>539</v>
      </c>
      <c r="F16" s="46" t="s">
        <v>730</v>
      </c>
      <c r="G16" s="10" t="s">
        <v>100</v>
      </c>
      <c r="H16" s="88">
        <f>18408/370384</f>
        <v>4.969977104842542E-2</v>
      </c>
      <c r="I16" s="102">
        <v>0.35</v>
      </c>
      <c r="J16" s="213">
        <v>0.15</v>
      </c>
      <c r="K16" s="213">
        <v>7.4999999999999997E-2</v>
      </c>
      <c r="L16" s="213">
        <v>0.1</v>
      </c>
      <c r="M16" s="213">
        <v>0.125</v>
      </c>
      <c r="N16" s="213">
        <v>0.15</v>
      </c>
      <c r="O16" s="113" t="s">
        <v>229</v>
      </c>
      <c r="P16" s="137" t="s">
        <v>230</v>
      </c>
      <c r="Q16" s="10" t="s">
        <v>231</v>
      </c>
    </row>
    <row r="17" spans="1:20" ht="63" customHeight="1">
      <c r="A17" s="16">
        <v>6</v>
      </c>
      <c r="B17" s="164" t="s">
        <v>227</v>
      </c>
      <c r="C17" s="16">
        <v>16</v>
      </c>
      <c r="D17" s="123" t="s">
        <v>228</v>
      </c>
      <c r="E17" s="208" t="s">
        <v>540</v>
      </c>
      <c r="F17" s="46" t="s">
        <v>232</v>
      </c>
      <c r="G17" s="10" t="s">
        <v>107</v>
      </c>
      <c r="H17" s="87">
        <v>0</v>
      </c>
      <c r="I17" s="88">
        <v>1</v>
      </c>
      <c r="J17" s="185">
        <v>0.33</v>
      </c>
      <c r="K17" s="185">
        <v>0.08</v>
      </c>
      <c r="L17" s="185">
        <v>0.17</v>
      </c>
      <c r="M17" s="185">
        <v>0.25</v>
      </c>
      <c r="N17" s="185">
        <v>0.33</v>
      </c>
      <c r="O17" s="10" t="s">
        <v>145</v>
      </c>
      <c r="P17" s="49">
        <v>1</v>
      </c>
      <c r="Q17" s="10"/>
    </row>
    <row r="18" spans="1:20" ht="25.5">
      <c r="A18" s="16">
        <v>6</v>
      </c>
      <c r="B18" s="164" t="s">
        <v>227</v>
      </c>
      <c r="C18" s="16">
        <v>16</v>
      </c>
      <c r="D18" s="123" t="s">
        <v>228</v>
      </c>
      <c r="E18" s="208" t="s">
        <v>541</v>
      </c>
      <c r="F18" s="46" t="s">
        <v>233</v>
      </c>
      <c r="G18" s="10" t="s">
        <v>107</v>
      </c>
      <c r="H18" s="86">
        <v>0</v>
      </c>
      <c r="I18" s="88" t="s">
        <v>234</v>
      </c>
      <c r="J18" s="185">
        <v>0.1</v>
      </c>
      <c r="K18" s="185">
        <v>0.05</v>
      </c>
      <c r="L18" s="185">
        <v>8.3333333333333329E-2</v>
      </c>
      <c r="M18" s="185">
        <v>8.3333333333333329E-2</v>
      </c>
      <c r="N18" s="185">
        <v>0.1</v>
      </c>
      <c r="O18" s="10" t="s">
        <v>145</v>
      </c>
      <c r="P18" s="10" t="s">
        <v>234</v>
      </c>
      <c r="Q18" s="10"/>
    </row>
    <row r="19" spans="1:20" ht="38.25">
      <c r="A19" s="16">
        <v>6</v>
      </c>
      <c r="B19" s="164" t="s">
        <v>227</v>
      </c>
      <c r="C19" s="16">
        <v>16</v>
      </c>
      <c r="D19" s="123" t="s">
        <v>228</v>
      </c>
      <c r="E19" s="208" t="s">
        <v>542</v>
      </c>
      <c r="F19" s="46" t="s">
        <v>538</v>
      </c>
      <c r="G19" s="10" t="s">
        <v>138</v>
      </c>
      <c r="H19" s="86">
        <v>0</v>
      </c>
      <c r="I19" s="88">
        <v>0.1</v>
      </c>
      <c r="J19" s="185">
        <v>0.02</v>
      </c>
      <c r="K19" s="185">
        <v>5.0000000000000001E-3</v>
      </c>
      <c r="L19" s="185">
        <v>0.01</v>
      </c>
      <c r="M19" s="185">
        <v>1.4999999999999999E-2</v>
      </c>
      <c r="N19" s="185">
        <v>0.02</v>
      </c>
      <c r="O19" s="10" t="s">
        <v>235</v>
      </c>
      <c r="P19" s="10" t="s">
        <v>236</v>
      </c>
      <c r="Q19" s="10"/>
    </row>
    <row r="20" spans="1:20" ht="38.25">
      <c r="A20" s="17">
        <v>6</v>
      </c>
      <c r="B20" s="164" t="s">
        <v>227</v>
      </c>
      <c r="C20" s="17">
        <v>16</v>
      </c>
      <c r="D20" s="125" t="s">
        <v>228</v>
      </c>
      <c r="E20" s="208" t="s">
        <v>543</v>
      </c>
      <c r="F20" s="46" t="s">
        <v>237</v>
      </c>
      <c r="G20" s="10" t="s">
        <v>107</v>
      </c>
      <c r="H20" s="86">
        <v>0</v>
      </c>
      <c r="I20" s="87">
        <v>10</v>
      </c>
      <c r="J20" s="10">
        <v>2</v>
      </c>
      <c r="K20" s="10">
        <v>0</v>
      </c>
      <c r="L20" s="10">
        <v>1</v>
      </c>
      <c r="M20" s="10">
        <v>0</v>
      </c>
      <c r="N20" s="10">
        <v>1</v>
      </c>
      <c r="O20" s="10" t="s">
        <v>145</v>
      </c>
      <c r="P20" s="10" t="s">
        <v>238</v>
      </c>
      <c r="Q20" s="10"/>
    </row>
    <row r="21" spans="1:20" ht="51">
      <c r="A21" s="144">
        <v>7</v>
      </c>
      <c r="B21" s="29" t="s">
        <v>239</v>
      </c>
      <c r="C21" s="145">
        <v>17</v>
      </c>
      <c r="D21" s="166" t="s">
        <v>240</v>
      </c>
      <c r="E21" s="204" t="s">
        <v>544</v>
      </c>
      <c r="F21" s="35" t="s">
        <v>241</v>
      </c>
      <c r="G21" s="35" t="s">
        <v>107</v>
      </c>
      <c r="H21" s="86" t="s">
        <v>143</v>
      </c>
      <c r="I21" s="87" t="s">
        <v>242</v>
      </c>
      <c r="J21" s="214">
        <v>0.1</v>
      </c>
      <c r="K21" s="214">
        <v>0</v>
      </c>
      <c r="L21" s="214">
        <v>0</v>
      </c>
      <c r="M21" s="214">
        <v>0.1</v>
      </c>
      <c r="N21" s="214"/>
      <c r="O21" s="35" t="s">
        <v>145</v>
      </c>
      <c r="P21" s="35" t="s">
        <v>243</v>
      </c>
      <c r="Q21" s="35" t="s">
        <v>244</v>
      </c>
      <c r="R21" s="73"/>
    </row>
    <row r="22" spans="1:20" ht="34.5" customHeight="1">
      <c r="A22" s="17">
        <v>7</v>
      </c>
      <c r="B22" s="19" t="s">
        <v>239</v>
      </c>
      <c r="C22" s="36">
        <v>18</v>
      </c>
      <c r="D22" s="119" t="s">
        <v>246</v>
      </c>
      <c r="E22" s="205" t="s">
        <v>545</v>
      </c>
      <c r="F22" s="46" t="s">
        <v>247</v>
      </c>
      <c r="G22" s="10" t="s">
        <v>100</v>
      </c>
      <c r="H22" s="87" t="s">
        <v>248</v>
      </c>
      <c r="I22" s="87" t="s">
        <v>249</v>
      </c>
      <c r="J22" s="10">
        <v>2000</v>
      </c>
      <c r="K22" s="10">
        <v>0</v>
      </c>
      <c r="L22" s="10">
        <v>1000</v>
      </c>
      <c r="M22" s="10">
        <v>500</v>
      </c>
      <c r="N22" s="10">
        <v>500</v>
      </c>
      <c r="O22" s="10" t="s">
        <v>250</v>
      </c>
      <c r="P22" s="10" t="s">
        <v>251</v>
      </c>
      <c r="Q22" s="10" t="s">
        <v>252</v>
      </c>
    </row>
    <row r="23" spans="1:20" ht="72.75" customHeight="1">
      <c r="A23" s="139">
        <v>8</v>
      </c>
      <c r="B23" s="76" t="s">
        <v>644</v>
      </c>
      <c r="C23" s="140">
        <v>19</v>
      </c>
      <c r="D23" s="152" t="s">
        <v>652</v>
      </c>
      <c r="E23" s="206" t="s">
        <v>546</v>
      </c>
      <c r="F23" s="71" t="s">
        <v>253</v>
      </c>
      <c r="G23" s="10" t="s">
        <v>107</v>
      </c>
      <c r="H23" s="86">
        <v>0</v>
      </c>
      <c r="I23" s="140" t="s">
        <v>254</v>
      </c>
      <c r="J23" s="10">
        <v>2</v>
      </c>
      <c r="K23" s="10">
        <v>0</v>
      </c>
      <c r="L23" s="10">
        <v>0</v>
      </c>
      <c r="M23" s="10">
        <v>1</v>
      </c>
      <c r="N23" s="10">
        <v>1</v>
      </c>
      <c r="O23" s="10"/>
      <c r="P23" s="10"/>
      <c r="Q23" s="10"/>
      <c r="S23" s="38"/>
      <c r="T23" s="38"/>
    </row>
    <row r="24" spans="1:20" ht="43.5" customHeight="1">
      <c r="A24" s="16">
        <v>8</v>
      </c>
      <c r="B24" s="216" t="s">
        <v>644</v>
      </c>
      <c r="C24" s="149">
        <v>20</v>
      </c>
      <c r="D24" s="220" t="s">
        <v>651</v>
      </c>
      <c r="E24" s="215" t="s">
        <v>547</v>
      </c>
      <c r="F24" s="71" t="s">
        <v>550</v>
      </c>
      <c r="G24" s="10" t="s">
        <v>107</v>
      </c>
      <c r="H24" s="86">
        <v>0</v>
      </c>
      <c r="I24" s="140" t="s">
        <v>256</v>
      </c>
      <c r="J24" s="10">
        <v>4</v>
      </c>
      <c r="K24" s="10">
        <v>0</v>
      </c>
      <c r="L24" s="10">
        <v>2</v>
      </c>
      <c r="M24" s="10">
        <v>0</v>
      </c>
      <c r="N24" s="10">
        <v>2</v>
      </c>
      <c r="O24" s="10"/>
      <c r="P24" s="10"/>
      <c r="Q24" s="10"/>
      <c r="S24" s="40"/>
      <c r="T24" s="40"/>
    </row>
    <row r="25" spans="1:20" ht="41.25" customHeight="1">
      <c r="A25" s="17">
        <v>8</v>
      </c>
      <c r="B25" s="217" t="s">
        <v>644</v>
      </c>
      <c r="C25" s="218">
        <v>2</v>
      </c>
      <c r="D25" s="219" t="s">
        <v>255</v>
      </c>
      <c r="E25" s="208" t="s">
        <v>548</v>
      </c>
      <c r="F25" s="112" t="s">
        <v>549</v>
      </c>
      <c r="G25" s="10" t="s">
        <v>107</v>
      </c>
      <c r="H25" s="86">
        <v>0</v>
      </c>
      <c r="I25" s="72">
        <v>0.5</v>
      </c>
      <c r="J25" s="185">
        <v>0.16666666666666666</v>
      </c>
      <c r="K25" s="185">
        <v>7.0000000000000007E-2</v>
      </c>
      <c r="L25" s="185">
        <v>0.12</v>
      </c>
      <c r="M25" s="185">
        <v>0.17</v>
      </c>
      <c r="N25" s="185">
        <v>0.17</v>
      </c>
      <c r="O25" s="10"/>
      <c r="P25" s="10"/>
      <c r="Q25" s="10"/>
    </row>
  </sheetData>
  <autoFilter ref="A3:Q25" xr:uid="{00000000-0009-0000-0000-000002000000}"/>
  <conditionalFormatting sqref="O6:P6 O11:P12 P9 O17:P21 O15:P15">
    <cfRule type="cellIs" dxfId="108" priority="34" operator="equal">
      <formula>""</formula>
    </cfRule>
  </conditionalFormatting>
  <conditionalFormatting sqref="O7:P8">
    <cfRule type="cellIs" dxfId="107" priority="33" operator="equal">
      <formula>""</formula>
    </cfRule>
  </conditionalFormatting>
  <conditionalFormatting sqref="O22:P22">
    <cfRule type="cellIs" dxfId="106" priority="20" operator="equal">
      <formula>""</formula>
    </cfRule>
  </conditionalFormatting>
  <conditionalFormatting sqref="O4:O5">
    <cfRule type="cellIs" dxfId="105" priority="6" operator="equal">
      <formula>""</formula>
    </cfRule>
  </conditionalFormatting>
  <conditionalFormatting sqref="H4">
    <cfRule type="cellIs" dxfId="104" priority="5" operator="equal">
      <formula>""</formula>
    </cfRule>
  </conditionalFormatting>
  <conditionalFormatting sqref="H5">
    <cfRule type="cellIs" dxfId="103" priority="4" operator="equal">
      <formula>""</formula>
    </cfRule>
  </conditionalFormatting>
  <conditionalFormatting sqref="O9">
    <cfRule type="cellIs" dxfId="102" priority="3" operator="equal">
      <formula>""</formula>
    </cfRule>
  </conditionalFormatting>
  <conditionalFormatting sqref="O16">
    <cfRule type="cellIs" dxfId="101" priority="2" operator="equal">
      <formula>""</formula>
    </cfRule>
  </conditionalFormatting>
  <conditionalFormatting sqref="P16">
    <cfRule type="cellIs" dxfId="100" priority="1" operator="equal">
      <formula>""</formula>
    </cfRule>
  </conditionalFormatting>
  <printOptions horizontalCentered="1"/>
  <pageMargins left="0.19685039370078741" right="0.19685039370078741" top="0.59055118110236227" bottom="0.59055118110236227" header="0.19685039370078741" footer="0.19685039370078741"/>
  <pageSetup scale="54" fitToHeight="0" orientation="landscape" horizontalDpi="4294967294" verticalDpi="4294967294" r:id="rId1"/>
  <headerFooter>
    <oddHeader>&amp;CPGAR 2020-2031</oddHeader>
    <oddFooter>&amp;LPágina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39997558519241921"/>
    <pageSetUpPr fitToPage="1"/>
  </sheetPr>
  <dimension ref="A1:S40"/>
  <sheetViews>
    <sheetView showGridLines="0" zoomScaleNormal="100" workbookViewId="0">
      <pane xSplit="3" ySplit="3" topLeftCell="D4" activePane="bottomRight" state="frozen"/>
      <selection activeCell="Q19" sqref="Q19"/>
      <selection pane="topRight" activeCell="Q19" sqref="Q19"/>
      <selection pane="bottomLeft" activeCell="Q19" sqref="Q19"/>
      <selection pane="bottomRight" sqref="A1:A2"/>
    </sheetView>
  </sheetViews>
  <sheetFormatPr baseColWidth="10" defaultColWidth="11" defaultRowHeight="12.75"/>
  <cols>
    <col min="1" max="1" width="3.125" style="6" bestFit="1" customWidth="1"/>
    <col min="2" max="2" width="24" style="5" bestFit="1" customWidth="1"/>
    <col min="3" max="3" width="3.125" style="6" bestFit="1" customWidth="1"/>
    <col min="4" max="4" width="30.625" style="5" bestFit="1" customWidth="1"/>
    <col min="5" max="5" width="7.125" style="207" customWidth="1"/>
    <col min="6" max="6" width="22.125" style="5" bestFit="1" customWidth="1"/>
    <col min="7" max="7" width="15.125" style="5" customWidth="1"/>
    <col min="8" max="9" width="22.125" style="6" customWidth="1"/>
    <col min="10" max="14" width="15.125" style="5" customWidth="1"/>
    <col min="15" max="15" width="20.5" style="5" hidden="1" customWidth="1"/>
    <col min="16" max="16" width="20.625" style="5" hidden="1" customWidth="1"/>
    <col min="17" max="17" width="26.625" style="5" hidden="1" customWidth="1"/>
    <col min="18" max="16384" width="11" style="5"/>
  </cols>
  <sheetData>
    <row r="1" spans="1:19">
      <c r="A1" s="100" t="s">
        <v>257</v>
      </c>
      <c r="B1" s="100"/>
      <c r="C1" s="100"/>
      <c r="D1" s="100"/>
      <c r="E1" s="100"/>
      <c r="F1" s="100"/>
      <c r="G1" s="97"/>
      <c r="H1" s="100"/>
      <c r="I1" s="100"/>
      <c r="J1" s="98"/>
      <c r="K1" s="98"/>
      <c r="L1" s="98"/>
      <c r="M1" s="98"/>
      <c r="N1" s="98"/>
      <c r="O1" s="95"/>
      <c r="P1" s="95"/>
      <c r="Q1" s="96"/>
    </row>
    <row r="2" spans="1:19" ht="13.5" thickBot="1">
      <c r="A2" s="100" t="s">
        <v>559</v>
      </c>
      <c r="B2" s="100"/>
      <c r="C2" s="100"/>
      <c r="D2" s="100"/>
      <c r="E2" s="221"/>
      <c r="F2" s="100"/>
      <c r="G2" s="97"/>
      <c r="H2" s="100"/>
      <c r="I2" s="100"/>
      <c r="J2" s="172"/>
      <c r="K2" s="172"/>
      <c r="L2" s="172"/>
      <c r="M2" s="172"/>
      <c r="N2" s="172"/>
      <c r="O2" s="95"/>
      <c r="P2" s="95"/>
      <c r="Q2" s="96"/>
    </row>
    <row r="3" spans="1:19" ht="39" thickBot="1">
      <c r="A3" s="7" t="s">
        <v>86</v>
      </c>
      <c r="B3" s="7" t="s">
        <v>87</v>
      </c>
      <c r="C3" s="7" t="s">
        <v>86</v>
      </c>
      <c r="D3" s="7" t="s">
        <v>88</v>
      </c>
      <c r="E3" s="224" t="s">
        <v>477</v>
      </c>
      <c r="F3" s="23" t="s">
        <v>89</v>
      </c>
      <c r="G3" s="7" t="s">
        <v>91</v>
      </c>
      <c r="H3" s="42" t="s">
        <v>90</v>
      </c>
      <c r="I3" s="175" t="s">
        <v>476</v>
      </c>
      <c r="J3" s="176" t="s">
        <v>471</v>
      </c>
      <c r="K3" s="177" t="s">
        <v>472</v>
      </c>
      <c r="L3" s="177" t="s">
        <v>473</v>
      </c>
      <c r="M3" s="177" t="s">
        <v>474</v>
      </c>
      <c r="N3" s="178" t="s">
        <v>475</v>
      </c>
      <c r="O3" s="23" t="s">
        <v>92</v>
      </c>
      <c r="P3" s="7" t="s">
        <v>93</v>
      </c>
      <c r="Q3" s="7" t="s">
        <v>94</v>
      </c>
    </row>
    <row r="4" spans="1:19" ht="44.25" customHeight="1">
      <c r="A4" s="22">
        <v>9</v>
      </c>
      <c r="B4" s="8" t="s">
        <v>258</v>
      </c>
      <c r="C4" s="148">
        <v>21</v>
      </c>
      <c r="D4" s="8" t="s">
        <v>259</v>
      </c>
      <c r="E4" s="225" t="s">
        <v>552</v>
      </c>
      <c r="F4" s="46" t="s">
        <v>551</v>
      </c>
      <c r="G4" s="10" t="s">
        <v>100</v>
      </c>
      <c r="H4" s="87" t="s">
        <v>143</v>
      </c>
      <c r="I4" s="87" t="s">
        <v>260</v>
      </c>
      <c r="J4" s="14">
        <v>47</v>
      </c>
      <c r="K4" s="14">
        <v>47</v>
      </c>
      <c r="L4" s="14">
        <v>47</v>
      </c>
      <c r="M4" s="14">
        <v>47</v>
      </c>
      <c r="N4" s="14">
        <v>47</v>
      </c>
      <c r="O4" s="10" t="s">
        <v>145</v>
      </c>
      <c r="P4" s="10" t="s">
        <v>261</v>
      </c>
      <c r="Q4" s="8" t="s">
        <v>262</v>
      </c>
    </row>
    <row r="5" spans="1:19" ht="25.5">
      <c r="A5" s="24">
        <v>9</v>
      </c>
      <c r="B5" s="18" t="s">
        <v>258</v>
      </c>
      <c r="C5" s="16">
        <v>21</v>
      </c>
      <c r="D5" s="18"/>
      <c r="E5" s="226" t="s">
        <v>553</v>
      </c>
      <c r="F5" s="46" t="s">
        <v>263</v>
      </c>
      <c r="G5" s="10" t="s">
        <v>100</v>
      </c>
      <c r="H5" s="87" t="s">
        <v>143</v>
      </c>
      <c r="I5" s="87" t="s">
        <v>264</v>
      </c>
      <c r="J5" s="10">
        <v>0</v>
      </c>
      <c r="K5" s="10">
        <v>0</v>
      </c>
      <c r="L5" s="10">
        <v>0</v>
      </c>
      <c r="M5" s="10">
        <v>0</v>
      </c>
      <c r="N5" s="10">
        <v>0</v>
      </c>
      <c r="O5" s="10" t="s">
        <v>145</v>
      </c>
      <c r="P5" s="32" t="s">
        <v>265</v>
      </c>
      <c r="Q5" s="18"/>
    </row>
    <row r="6" spans="1:19" ht="38.25">
      <c r="A6" s="54">
        <v>9</v>
      </c>
      <c r="B6" s="44" t="s">
        <v>258</v>
      </c>
      <c r="C6" s="17">
        <v>21</v>
      </c>
      <c r="D6" s="19"/>
      <c r="E6" s="227" t="s">
        <v>554</v>
      </c>
      <c r="F6" s="35" t="s">
        <v>266</v>
      </c>
      <c r="G6" s="10" t="s">
        <v>268</v>
      </c>
      <c r="H6" s="87" t="s">
        <v>145</v>
      </c>
      <c r="I6" s="87" t="s">
        <v>267</v>
      </c>
      <c r="J6" s="10">
        <v>16</v>
      </c>
      <c r="K6" s="10">
        <v>2</v>
      </c>
      <c r="L6" s="10">
        <v>4</v>
      </c>
      <c r="M6" s="10">
        <v>5</v>
      </c>
      <c r="N6" s="10">
        <v>5</v>
      </c>
      <c r="O6" s="10" t="s">
        <v>145</v>
      </c>
      <c r="P6" s="10" t="s">
        <v>269</v>
      </c>
      <c r="Q6" s="18"/>
    </row>
    <row r="7" spans="1:19" ht="51">
      <c r="A7" s="24">
        <v>9</v>
      </c>
      <c r="B7" s="18" t="s">
        <v>258</v>
      </c>
      <c r="C7" s="145">
        <v>22</v>
      </c>
      <c r="D7" s="64" t="s">
        <v>270</v>
      </c>
      <c r="E7" s="202" t="s">
        <v>555</v>
      </c>
      <c r="F7" s="46" t="s">
        <v>271</v>
      </c>
      <c r="G7" s="10" t="s">
        <v>107</v>
      </c>
      <c r="H7" s="87" t="s">
        <v>272</v>
      </c>
      <c r="I7" s="87" t="s">
        <v>273</v>
      </c>
      <c r="J7" s="185">
        <v>0.01</v>
      </c>
      <c r="K7" s="185"/>
      <c r="L7" s="185"/>
      <c r="M7" s="185"/>
      <c r="N7" s="185">
        <v>0.01</v>
      </c>
      <c r="O7" s="10" t="s">
        <v>274</v>
      </c>
      <c r="P7" s="10" t="s">
        <v>274</v>
      </c>
      <c r="Q7" s="8" t="s">
        <v>275</v>
      </c>
      <c r="R7" s="5">
        <v>7495</v>
      </c>
      <c r="S7" s="38">
        <f>(R7-7300)/R7</f>
        <v>2.6017344896597731E-2</v>
      </c>
    </row>
    <row r="8" spans="1:19" ht="63.75">
      <c r="A8" s="24">
        <v>9</v>
      </c>
      <c r="B8" s="18" t="s">
        <v>258</v>
      </c>
      <c r="C8" s="16">
        <v>22</v>
      </c>
      <c r="D8" s="18"/>
      <c r="E8" s="208" t="s">
        <v>556</v>
      </c>
      <c r="F8" s="46" t="s">
        <v>276</v>
      </c>
      <c r="G8" s="10" t="s">
        <v>107</v>
      </c>
      <c r="H8" s="85">
        <f>2/80</f>
        <v>2.5000000000000001E-2</v>
      </c>
      <c r="I8" s="88">
        <v>1</v>
      </c>
      <c r="J8" s="185">
        <v>0.17</v>
      </c>
      <c r="K8" s="185">
        <v>0.03</v>
      </c>
      <c r="L8" s="185">
        <v>7.0000000000000007E-2</v>
      </c>
      <c r="M8" s="185">
        <v>0.12</v>
      </c>
      <c r="N8" s="185">
        <v>0.17</v>
      </c>
      <c r="O8" s="10" t="s">
        <v>277</v>
      </c>
      <c r="P8" s="10" t="s">
        <v>278</v>
      </c>
      <c r="Q8" s="13"/>
    </row>
    <row r="9" spans="1:19" ht="76.5">
      <c r="A9" s="53">
        <v>9</v>
      </c>
      <c r="B9" s="19" t="s">
        <v>258</v>
      </c>
      <c r="C9" s="17">
        <v>22</v>
      </c>
      <c r="D9" s="19"/>
      <c r="E9" s="208" t="s">
        <v>557</v>
      </c>
      <c r="F9" s="46" t="s">
        <v>279</v>
      </c>
      <c r="G9" s="10" t="s">
        <v>107</v>
      </c>
      <c r="H9" s="85">
        <f>2/80</f>
        <v>2.5000000000000001E-2</v>
      </c>
      <c r="I9" s="88">
        <v>1</v>
      </c>
      <c r="J9" s="185">
        <v>0.25</v>
      </c>
      <c r="K9" s="185">
        <v>0.125</v>
      </c>
      <c r="L9" s="185">
        <v>0.125</v>
      </c>
      <c r="M9" s="185">
        <v>0.25</v>
      </c>
      <c r="N9" s="185">
        <v>0.25</v>
      </c>
      <c r="O9" s="10" t="s">
        <v>277</v>
      </c>
      <c r="P9" s="10" t="s">
        <v>278</v>
      </c>
      <c r="Q9" s="14"/>
    </row>
    <row r="10" spans="1:19" ht="53.25" customHeight="1">
      <c r="A10" s="145">
        <v>10</v>
      </c>
      <c r="B10" s="27" t="s">
        <v>280</v>
      </c>
      <c r="C10" s="145">
        <v>23</v>
      </c>
      <c r="D10" s="64" t="s">
        <v>281</v>
      </c>
      <c r="E10" s="202" t="s">
        <v>562</v>
      </c>
      <c r="F10" s="47" t="s">
        <v>462</v>
      </c>
      <c r="G10" s="10" t="s">
        <v>100</v>
      </c>
      <c r="H10" s="103">
        <f>1395865/100425</f>
        <v>13.899576798605924</v>
      </c>
      <c r="I10" s="86">
        <v>8</v>
      </c>
      <c r="J10" s="10">
        <v>11.9</v>
      </c>
      <c r="K10" s="10">
        <v>13.4</v>
      </c>
      <c r="L10" s="10">
        <v>12.9</v>
      </c>
      <c r="M10" s="10">
        <v>12.4</v>
      </c>
      <c r="N10" s="10">
        <v>11.9</v>
      </c>
      <c r="O10" s="39" t="s">
        <v>282</v>
      </c>
      <c r="P10" s="10" t="s">
        <v>283</v>
      </c>
      <c r="Q10" s="13" t="s">
        <v>284</v>
      </c>
      <c r="R10" s="55">
        <v>100425</v>
      </c>
      <c r="S10" s="69">
        <f>1395865/R10</f>
        <v>13.899576798605924</v>
      </c>
    </row>
    <row r="11" spans="1:19" ht="75.75" customHeight="1">
      <c r="A11" s="16">
        <v>10</v>
      </c>
      <c r="B11" s="18" t="s">
        <v>280</v>
      </c>
      <c r="C11" s="16">
        <v>23</v>
      </c>
      <c r="D11" s="18"/>
      <c r="E11" s="202" t="s">
        <v>563</v>
      </c>
      <c r="F11" s="47" t="s">
        <v>731</v>
      </c>
      <c r="G11" s="10" t="s">
        <v>100</v>
      </c>
      <c r="H11" s="90">
        <f>255369/956843</f>
        <v>0.26688704416503023</v>
      </c>
      <c r="I11" s="90">
        <v>0.35</v>
      </c>
      <c r="J11" s="49">
        <f>'Línea 2 PGAR Económica'!J9</f>
        <v>0.29459136277668679</v>
      </c>
      <c r="K11" s="49">
        <f>'Línea 2 PGAR Económica'!K9</f>
        <v>0.27381312381794437</v>
      </c>
      <c r="L11" s="49">
        <f>'Línea 2 PGAR Económica'!L9</f>
        <v>0.28073920347085851</v>
      </c>
      <c r="M11" s="49">
        <f>'Línea 2 PGAR Económica'!M9</f>
        <v>0.28766528312377265</v>
      </c>
      <c r="N11" s="49">
        <f>'Línea 2 PGAR Económica'!N9</f>
        <v>0.29459136277668679</v>
      </c>
      <c r="O11" s="135" t="s">
        <v>285</v>
      </c>
      <c r="P11" s="10" t="s">
        <v>286</v>
      </c>
      <c r="Q11" s="13"/>
    </row>
    <row r="12" spans="1:19" ht="25.5">
      <c r="A12" s="16">
        <v>10</v>
      </c>
      <c r="B12" s="18" t="s">
        <v>280</v>
      </c>
      <c r="C12" s="16">
        <v>23</v>
      </c>
      <c r="D12" s="18"/>
      <c r="E12" s="202" t="s">
        <v>564</v>
      </c>
      <c r="F12" s="47" t="s">
        <v>287</v>
      </c>
      <c r="G12" s="10" t="s">
        <v>100</v>
      </c>
      <c r="H12" s="86" t="s">
        <v>288</v>
      </c>
      <c r="I12" s="86" t="s">
        <v>289</v>
      </c>
      <c r="J12" s="211">
        <v>54855.26666666667</v>
      </c>
      <c r="K12" s="211">
        <v>54180.816666666666</v>
      </c>
      <c r="L12" s="211">
        <v>54405.633333333331</v>
      </c>
      <c r="M12" s="211">
        <v>54630.45</v>
      </c>
      <c r="N12" s="211">
        <v>54855.26666666667</v>
      </c>
      <c r="O12" s="10" t="s">
        <v>290</v>
      </c>
      <c r="P12" s="10" t="s">
        <v>291</v>
      </c>
      <c r="Q12" s="13"/>
    </row>
    <row r="13" spans="1:19" ht="38.25">
      <c r="A13" s="16">
        <v>10</v>
      </c>
      <c r="B13" s="18" t="s">
        <v>280</v>
      </c>
      <c r="C13" s="16">
        <v>23</v>
      </c>
      <c r="D13" s="18"/>
      <c r="E13" s="202" t="s">
        <v>565</v>
      </c>
      <c r="F13" s="47" t="s">
        <v>292</v>
      </c>
      <c r="G13" s="10" t="s">
        <v>100</v>
      </c>
      <c r="H13" s="90">
        <v>0</v>
      </c>
      <c r="I13" s="90">
        <v>1</v>
      </c>
      <c r="J13" s="185">
        <v>0.33333333333333331</v>
      </c>
      <c r="K13" s="185">
        <v>0</v>
      </c>
      <c r="L13" s="185">
        <v>0</v>
      </c>
      <c r="M13" s="185">
        <v>0</v>
      </c>
      <c r="N13" s="185">
        <v>0.33</v>
      </c>
      <c r="O13" s="10" t="s">
        <v>293</v>
      </c>
      <c r="P13" s="32" t="s">
        <v>294</v>
      </c>
      <c r="Q13" s="13"/>
    </row>
    <row r="14" spans="1:19" ht="79.5" customHeight="1">
      <c r="A14" s="16">
        <v>10</v>
      </c>
      <c r="B14" s="18" t="s">
        <v>280</v>
      </c>
      <c r="C14" s="16">
        <v>23</v>
      </c>
      <c r="D14" s="18"/>
      <c r="E14" s="202" t="s">
        <v>566</v>
      </c>
      <c r="F14" s="48" t="s">
        <v>732</v>
      </c>
      <c r="G14" s="10" t="s">
        <v>100</v>
      </c>
      <c r="H14" s="94">
        <f>18408/370384</f>
        <v>4.969977104842542E-2</v>
      </c>
      <c r="I14" s="104">
        <v>0.35</v>
      </c>
      <c r="J14" s="213">
        <f>'Línea 2 PGAR Económica'!J16</f>
        <v>0.15</v>
      </c>
      <c r="K14" s="213">
        <f>'Línea 2 PGAR Económica'!K16</f>
        <v>7.4999999999999997E-2</v>
      </c>
      <c r="L14" s="213">
        <f>'Línea 2 PGAR Económica'!L16</f>
        <v>0.1</v>
      </c>
      <c r="M14" s="213">
        <f>'Línea 2 PGAR Económica'!M16</f>
        <v>0.125</v>
      </c>
      <c r="N14" s="213">
        <f>'Línea 2 PGAR Económica'!N16</f>
        <v>0.15</v>
      </c>
      <c r="O14" s="113" t="s">
        <v>229</v>
      </c>
      <c r="P14" s="32" t="s">
        <v>295</v>
      </c>
      <c r="Q14" s="13"/>
    </row>
    <row r="15" spans="1:19" ht="27" customHeight="1">
      <c r="A15" s="16">
        <v>10</v>
      </c>
      <c r="B15" s="18" t="s">
        <v>280</v>
      </c>
      <c r="C15" s="16">
        <v>23</v>
      </c>
      <c r="D15" s="18"/>
      <c r="E15" s="202" t="s">
        <v>567</v>
      </c>
      <c r="F15" s="48" t="s">
        <v>296</v>
      </c>
      <c r="G15" s="10" t="s">
        <v>127</v>
      </c>
      <c r="H15" s="104">
        <f>1147687/1150970</f>
        <v>0.99714762330903495</v>
      </c>
      <c r="I15" s="94">
        <v>1</v>
      </c>
      <c r="J15" s="185">
        <v>1</v>
      </c>
      <c r="K15" s="185">
        <v>0.99709999999999999</v>
      </c>
      <c r="L15" s="185">
        <v>1</v>
      </c>
      <c r="M15" s="185">
        <v>1</v>
      </c>
      <c r="N15" s="185">
        <v>1</v>
      </c>
      <c r="O15" s="10" t="s">
        <v>297</v>
      </c>
      <c r="P15" s="10" t="s">
        <v>298</v>
      </c>
      <c r="Q15" s="13"/>
    </row>
    <row r="16" spans="1:19" ht="21.75" customHeight="1">
      <c r="A16" s="16">
        <v>10</v>
      </c>
      <c r="B16" s="18" t="s">
        <v>280</v>
      </c>
      <c r="C16" s="16">
        <v>23</v>
      </c>
      <c r="D16" s="18"/>
      <c r="E16" s="202" t="s">
        <v>568</v>
      </c>
      <c r="F16" s="48" t="s">
        <v>299</v>
      </c>
      <c r="G16" s="10" t="s">
        <v>127</v>
      </c>
      <c r="H16" s="104">
        <f>255369/1395865</f>
        <v>0.18294677493883721</v>
      </c>
      <c r="I16" s="94">
        <v>0.5</v>
      </c>
      <c r="J16" s="185">
        <v>0.28859999999999997</v>
      </c>
      <c r="K16" s="185">
        <v>0.20932499999999998</v>
      </c>
      <c r="L16" s="185">
        <v>0.23574999999999999</v>
      </c>
      <c r="M16" s="185">
        <v>0.26217499999999999</v>
      </c>
      <c r="N16" s="185">
        <v>0.28859999999999997</v>
      </c>
      <c r="O16" s="32" t="s">
        <v>300</v>
      </c>
      <c r="P16" s="32" t="s">
        <v>301</v>
      </c>
      <c r="Q16" s="13"/>
    </row>
    <row r="17" spans="1:18" ht="35.25" customHeight="1">
      <c r="A17" s="16">
        <v>10</v>
      </c>
      <c r="B17" s="18" t="s">
        <v>280</v>
      </c>
      <c r="C17" s="16">
        <v>23</v>
      </c>
      <c r="D17" s="18"/>
      <c r="E17" s="202" t="s">
        <v>569</v>
      </c>
      <c r="F17" s="46" t="s">
        <v>537</v>
      </c>
      <c r="G17" s="10" t="s">
        <v>107</v>
      </c>
      <c r="H17" s="134">
        <f>7428/586458</f>
        <v>1.2665868655555896E-2</v>
      </c>
      <c r="I17" s="90">
        <v>0.9</v>
      </c>
      <c r="J17" s="185">
        <v>0.3</v>
      </c>
      <c r="K17" s="185">
        <v>0.08</v>
      </c>
      <c r="L17" s="185">
        <v>0.15</v>
      </c>
      <c r="M17" s="185">
        <v>0.23</v>
      </c>
      <c r="N17" s="185">
        <v>0.3</v>
      </c>
      <c r="O17" s="35" t="s">
        <v>220</v>
      </c>
      <c r="P17" s="49">
        <v>0.9</v>
      </c>
      <c r="Q17" s="13"/>
    </row>
    <row r="18" spans="1:18" ht="51" customHeight="1">
      <c r="A18" s="16">
        <v>10</v>
      </c>
      <c r="B18" s="18" t="s">
        <v>280</v>
      </c>
      <c r="C18" s="17">
        <v>23</v>
      </c>
      <c r="D18" s="19"/>
      <c r="E18" s="202" t="s">
        <v>570</v>
      </c>
      <c r="F18" s="48" t="s">
        <v>561</v>
      </c>
      <c r="G18" s="10" t="s">
        <v>302</v>
      </c>
      <c r="H18" s="94">
        <f>0/54895</f>
        <v>0</v>
      </c>
      <c r="I18" s="94">
        <v>0.4</v>
      </c>
      <c r="J18" s="213">
        <v>0.1</v>
      </c>
      <c r="K18" s="213">
        <v>2.5000000000000001E-2</v>
      </c>
      <c r="L18" s="213">
        <v>0.05</v>
      </c>
      <c r="M18" s="213">
        <v>7.5000000000000011E-2</v>
      </c>
      <c r="N18" s="213">
        <v>0.1</v>
      </c>
      <c r="O18" s="32" t="s">
        <v>303</v>
      </c>
      <c r="P18" s="10" t="s">
        <v>304</v>
      </c>
      <c r="Q18" s="13"/>
    </row>
    <row r="19" spans="1:18" ht="39" customHeight="1">
      <c r="A19" s="16">
        <v>10</v>
      </c>
      <c r="B19" s="18" t="s">
        <v>280</v>
      </c>
      <c r="C19" s="56">
        <v>24</v>
      </c>
      <c r="D19" s="31" t="s">
        <v>738</v>
      </c>
      <c r="E19" s="208" t="s">
        <v>571</v>
      </c>
      <c r="F19" s="46" t="s">
        <v>305</v>
      </c>
      <c r="G19" s="10" t="s">
        <v>100</v>
      </c>
      <c r="H19" s="105">
        <f>657391/1417208</f>
        <v>0.46386345547019209</v>
      </c>
      <c r="I19" s="102" t="s">
        <v>306</v>
      </c>
      <c r="J19" s="195">
        <v>0.59233333333333338</v>
      </c>
      <c r="K19" s="195">
        <v>0.49308333333333337</v>
      </c>
      <c r="L19" s="195">
        <v>0.52616666666666667</v>
      </c>
      <c r="M19" s="195">
        <v>0.55925000000000002</v>
      </c>
      <c r="N19" s="195">
        <v>0.59233333333333338</v>
      </c>
      <c r="O19" s="68" t="s">
        <v>307</v>
      </c>
      <c r="P19" s="10" t="s">
        <v>308</v>
      </c>
      <c r="Q19" s="13" t="s">
        <v>309</v>
      </c>
    </row>
    <row r="20" spans="1:18" ht="39" customHeight="1">
      <c r="A20" s="16">
        <v>10</v>
      </c>
      <c r="B20" s="18" t="s">
        <v>280</v>
      </c>
      <c r="C20" s="24">
        <v>24</v>
      </c>
      <c r="D20" s="21"/>
      <c r="E20" s="208" t="s">
        <v>572</v>
      </c>
      <c r="F20" s="46" t="s">
        <v>310</v>
      </c>
      <c r="G20" s="10" t="s">
        <v>100</v>
      </c>
      <c r="H20" s="90">
        <f>238224/622438</f>
        <v>0.38272727564833764</v>
      </c>
      <c r="I20" s="102">
        <v>0.85299999999999998</v>
      </c>
      <c r="J20" s="185">
        <v>0.53948485043222505</v>
      </c>
      <c r="K20" s="185">
        <v>0.42111342816473285</v>
      </c>
      <c r="L20" s="185">
        <v>0.45949958068112806</v>
      </c>
      <c r="M20" s="185">
        <v>0.49788573319752327</v>
      </c>
      <c r="N20" s="185">
        <v>0.53627188571391848</v>
      </c>
      <c r="O20" s="10" t="s">
        <v>311</v>
      </c>
      <c r="P20" s="10" t="s">
        <v>312</v>
      </c>
      <c r="Q20" s="13"/>
    </row>
    <row r="21" spans="1:18" ht="28.5" customHeight="1">
      <c r="A21" s="16">
        <v>10</v>
      </c>
      <c r="B21" s="18" t="s">
        <v>280</v>
      </c>
      <c r="C21" s="24">
        <v>24</v>
      </c>
      <c r="D21" s="21"/>
      <c r="E21" s="208" t="s">
        <v>573</v>
      </c>
      <c r="F21" s="46" t="s">
        <v>313</v>
      </c>
      <c r="G21" s="10" t="s">
        <v>100</v>
      </c>
      <c r="H21" s="106">
        <f>230/293</f>
        <v>0.78498293515358364</v>
      </c>
      <c r="I21" s="88">
        <v>0.92</v>
      </c>
      <c r="J21" s="185">
        <v>0.83048919226393636</v>
      </c>
      <c r="K21" s="185">
        <v>0.79635949943117179</v>
      </c>
      <c r="L21" s="185">
        <v>0.80773606370875994</v>
      </c>
      <c r="M21" s="185">
        <v>0.8191126279863481</v>
      </c>
      <c r="N21" s="185">
        <v>0.83048919226393636</v>
      </c>
      <c r="O21" s="10" t="s">
        <v>314</v>
      </c>
      <c r="P21" s="32" t="s">
        <v>315</v>
      </c>
      <c r="Q21" s="13"/>
    </row>
    <row r="22" spans="1:18" ht="44.25" customHeight="1">
      <c r="A22" s="16">
        <v>10</v>
      </c>
      <c r="B22" s="18" t="s">
        <v>280</v>
      </c>
      <c r="C22" s="53">
        <v>24</v>
      </c>
      <c r="D22" s="25"/>
      <c r="E22" s="208" t="s">
        <v>574</v>
      </c>
      <c r="F22" s="64" t="s">
        <v>316</v>
      </c>
      <c r="G22" s="10" t="s">
        <v>127</v>
      </c>
      <c r="H22" s="107" t="s">
        <v>317</v>
      </c>
      <c r="I22" s="107" t="s">
        <v>318</v>
      </c>
      <c r="J22" s="10">
        <v>610546</v>
      </c>
      <c r="K22" s="10">
        <v>574546</v>
      </c>
      <c r="L22" s="10">
        <v>586546</v>
      </c>
      <c r="M22" s="10">
        <v>598546</v>
      </c>
      <c r="N22" s="10">
        <v>610546</v>
      </c>
      <c r="O22" s="10" t="s">
        <v>319</v>
      </c>
      <c r="P22" s="32" t="s">
        <v>320</v>
      </c>
      <c r="Q22" s="14"/>
    </row>
    <row r="23" spans="1:18" ht="45" customHeight="1">
      <c r="A23" s="16">
        <v>10</v>
      </c>
      <c r="B23" s="18" t="s">
        <v>280</v>
      </c>
      <c r="C23" s="144">
        <v>25</v>
      </c>
      <c r="D23" s="15" t="s">
        <v>321</v>
      </c>
      <c r="E23" s="208" t="s">
        <v>575</v>
      </c>
      <c r="F23" s="46" t="s">
        <v>322</v>
      </c>
      <c r="G23" s="10" t="s">
        <v>100</v>
      </c>
      <c r="H23" s="88">
        <f>1-(69/80)</f>
        <v>0.13749999999999996</v>
      </c>
      <c r="I23" s="88">
        <f>1-(76/80)</f>
        <v>5.0000000000000044E-2</v>
      </c>
      <c r="J23" s="213">
        <v>0.10833333333333332</v>
      </c>
      <c r="K23" s="213"/>
      <c r="L23" s="213"/>
      <c r="M23" s="213">
        <v>0.1125</v>
      </c>
      <c r="N23" s="213">
        <v>0.10833333333333332</v>
      </c>
      <c r="O23" s="10" t="s">
        <v>323</v>
      </c>
      <c r="P23" s="10" t="s">
        <v>324</v>
      </c>
      <c r="Q23" s="13" t="s">
        <v>325</v>
      </c>
    </row>
    <row r="24" spans="1:18" ht="29.25" customHeight="1">
      <c r="A24" s="16">
        <v>10</v>
      </c>
      <c r="B24" s="18" t="s">
        <v>280</v>
      </c>
      <c r="C24" s="16">
        <v>25</v>
      </c>
      <c r="D24" s="21"/>
      <c r="E24" s="208" t="s">
        <v>576</v>
      </c>
      <c r="F24" s="46" t="s">
        <v>326</v>
      </c>
      <c r="G24" s="10" t="s">
        <v>100</v>
      </c>
      <c r="H24" s="88">
        <f>72/80</f>
        <v>0.9</v>
      </c>
      <c r="I24" s="88">
        <v>0.85</v>
      </c>
      <c r="J24" s="185">
        <v>0.88333333333333341</v>
      </c>
      <c r="K24" s="185"/>
      <c r="L24" s="185"/>
      <c r="M24" s="185"/>
      <c r="N24" s="185">
        <v>0.88333333333333341</v>
      </c>
      <c r="O24" s="10" t="s">
        <v>327</v>
      </c>
      <c r="P24" s="10" t="s">
        <v>328</v>
      </c>
      <c r="Q24" s="153"/>
    </row>
    <row r="25" spans="1:18" ht="48" customHeight="1">
      <c r="A25" s="16">
        <v>10</v>
      </c>
      <c r="B25" s="18" t="s">
        <v>280</v>
      </c>
      <c r="C25" s="16">
        <v>25</v>
      </c>
      <c r="D25" s="21"/>
      <c r="E25" s="208" t="s">
        <v>577</v>
      </c>
      <c r="F25" s="46" t="s">
        <v>329</v>
      </c>
      <c r="G25" s="10" t="s">
        <v>100</v>
      </c>
      <c r="H25" s="102" t="s">
        <v>330</v>
      </c>
      <c r="I25" s="102" t="s">
        <v>330</v>
      </c>
      <c r="J25" s="195">
        <v>0.76470000000000005</v>
      </c>
      <c r="K25" s="195">
        <v>0.76470000000000005</v>
      </c>
      <c r="L25" s="195">
        <v>0.76470000000000005</v>
      </c>
      <c r="M25" s="195">
        <v>0.76470000000000005</v>
      </c>
      <c r="N25" s="195">
        <v>0.76470000000000005</v>
      </c>
      <c r="O25" s="10" t="s">
        <v>331</v>
      </c>
      <c r="P25" s="10" t="s">
        <v>332</v>
      </c>
      <c r="Q25" s="13"/>
    </row>
    <row r="26" spans="1:18" ht="26.25" customHeight="1">
      <c r="A26" s="16">
        <v>10</v>
      </c>
      <c r="B26" s="18" t="s">
        <v>280</v>
      </c>
      <c r="C26" s="16">
        <v>25</v>
      </c>
      <c r="D26" s="21"/>
      <c r="E26" s="208" t="s">
        <v>578</v>
      </c>
      <c r="F26" s="46" t="s">
        <v>333</v>
      </c>
      <c r="G26" s="10" t="s">
        <v>127</v>
      </c>
      <c r="H26" s="88">
        <v>0.9</v>
      </c>
      <c r="I26" s="88">
        <v>1</v>
      </c>
      <c r="J26" s="213">
        <v>0.9</v>
      </c>
      <c r="K26" s="213">
        <v>0.9</v>
      </c>
      <c r="L26" s="213">
        <v>0.9</v>
      </c>
      <c r="M26" s="213">
        <v>0.9</v>
      </c>
      <c r="N26" s="213">
        <v>0.9</v>
      </c>
      <c r="O26" s="10" t="s">
        <v>334</v>
      </c>
      <c r="P26" s="10" t="s">
        <v>335</v>
      </c>
      <c r="Q26" s="14"/>
    </row>
    <row r="27" spans="1:18" ht="131.25" customHeight="1">
      <c r="A27" s="16">
        <v>10</v>
      </c>
      <c r="B27" s="30" t="s">
        <v>280</v>
      </c>
      <c r="C27" s="144">
        <v>26</v>
      </c>
      <c r="D27" s="58" t="s">
        <v>336</v>
      </c>
      <c r="E27" s="208" t="s">
        <v>583</v>
      </c>
      <c r="F27" s="46" t="s">
        <v>337</v>
      </c>
      <c r="G27" s="10" t="s">
        <v>100</v>
      </c>
      <c r="H27" s="88" t="s">
        <v>338</v>
      </c>
      <c r="I27" s="88" t="s">
        <v>339</v>
      </c>
      <c r="J27" s="185">
        <v>1</v>
      </c>
      <c r="K27" s="185">
        <v>1</v>
      </c>
      <c r="L27" s="185">
        <v>1</v>
      </c>
      <c r="M27" s="185">
        <v>1</v>
      </c>
      <c r="N27" s="185">
        <v>1</v>
      </c>
      <c r="O27" s="10" t="s">
        <v>145</v>
      </c>
      <c r="P27" s="10" t="s">
        <v>340</v>
      </c>
      <c r="Q27" s="13" t="s">
        <v>341</v>
      </c>
    </row>
    <row r="28" spans="1:18" ht="195.75" customHeight="1">
      <c r="A28" s="16">
        <v>10</v>
      </c>
      <c r="B28" s="30" t="s">
        <v>280</v>
      </c>
      <c r="C28" s="16">
        <v>26</v>
      </c>
      <c r="D28" s="18"/>
      <c r="E28" s="208" t="s">
        <v>584</v>
      </c>
      <c r="F28" s="46" t="s">
        <v>342</v>
      </c>
      <c r="G28" s="10" t="s">
        <v>100</v>
      </c>
      <c r="H28" s="86" t="s">
        <v>343</v>
      </c>
      <c r="I28" s="88" t="s">
        <v>339</v>
      </c>
      <c r="J28" s="185">
        <v>1</v>
      </c>
      <c r="K28" s="185">
        <v>1</v>
      </c>
      <c r="L28" s="185">
        <v>1</v>
      </c>
      <c r="M28" s="185">
        <v>1</v>
      </c>
      <c r="N28" s="185">
        <v>1</v>
      </c>
      <c r="O28" s="10" t="s">
        <v>145</v>
      </c>
      <c r="P28" s="10" t="s">
        <v>344</v>
      </c>
      <c r="Q28" s="13"/>
    </row>
    <row r="29" spans="1:18" ht="57">
      <c r="A29" s="16">
        <v>10</v>
      </c>
      <c r="B29" s="30" t="s">
        <v>280</v>
      </c>
      <c r="C29" s="16">
        <v>26</v>
      </c>
      <c r="D29" s="18"/>
      <c r="E29" s="208" t="s">
        <v>585</v>
      </c>
      <c r="F29" s="46" t="s">
        <v>345</v>
      </c>
      <c r="G29" s="35" t="s">
        <v>100</v>
      </c>
      <c r="H29" s="87" t="s">
        <v>346</v>
      </c>
      <c r="I29" s="87" t="s">
        <v>347</v>
      </c>
      <c r="J29" s="214">
        <v>0.03</v>
      </c>
      <c r="K29" s="214">
        <v>7.4999999999999997E-3</v>
      </c>
      <c r="L29" s="214">
        <v>1.4999999999999999E-2</v>
      </c>
      <c r="M29" s="214">
        <v>2.2499999999999999E-2</v>
      </c>
      <c r="N29" s="214">
        <v>0.03</v>
      </c>
      <c r="O29" s="10" t="s">
        <v>145</v>
      </c>
      <c r="P29" s="113" t="s">
        <v>348</v>
      </c>
      <c r="Q29" s="57" t="s">
        <v>349</v>
      </c>
      <c r="R29" s="5">
        <f>873.4*(1-0.1)</f>
        <v>786.06</v>
      </c>
    </row>
    <row r="30" spans="1:18" ht="271.5" customHeight="1">
      <c r="A30" s="18">
        <v>10</v>
      </c>
      <c r="B30" s="30" t="s">
        <v>280</v>
      </c>
      <c r="C30" s="18">
        <v>26</v>
      </c>
      <c r="D30" s="13"/>
      <c r="E30" s="208" t="s">
        <v>586</v>
      </c>
      <c r="F30" s="47" t="s">
        <v>350</v>
      </c>
      <c r="G30" s="10" t="s">
        <v>127</v>
      </c>
      <c r="H30" s="250" t="s">
        <v>351</v>
      </c>
      <c r="I30" s="250" t="s">
        <v>352</v>
      </c>
      <c r="J30" s="185">
        <v>1</v>
      </c>
      <c r="K30" s="185">
        <v>1</v>
      </c>
      <c r="L30" s="185">
        <v>1</v>
      </c>
      <c r="M30" s="185">
        <v>1</v>
      </c>
      <c r="N30" s="185">
        <v>1</v>
      </c>
      <c r="O30" s="10" t="s">
        <v>351</v>
      </c>
      <c r="P30" s="10" t="s">
        <v>353</v>
      </c>
      <c r="Q30" s="14"/>
    </row>
    <row r="31" spans="1:18" ht="45" customHeight="1">
      <c r="A31" s="18">
        <v>10</v>
      </c>
      <c r="B31" s="30" t="s">
        <v>280</v>
      </c>
      <c r="C31" s="18">
        <v>26</v>
      </c>
      <c r="D31" s="13"/>
      <c r="E31" s="208" t="s">
        <v>587</v>
      </c>
      <c r="F31" s="47" t="s">
        <v>579</v>
      </c>
      <c r="G31" s="12" t="s">
        <v>107</v>
      </c>
      <c r="H31" s="251" t="s">
        <v>145</v>
      </c>
      <c r="I31" s="251" t="s">
        <v>581</v>
      </c>
      <c r="J31" s="185">
        <v>0.15</v>
      </c>
      <c r="K31" s="185"/>
      <c r="L31" s="185"/>
      <c r="M31" s="185"/>
      <c r="N31" s="185">
        <v>0.15</v>
      </c>
      <c r="O31" s="10" t="s">
        <v>351</v>
      </c>
      <c r="P31" s="10" t="s">
        <v>353</v>
      </c>
      <c r="Q31" s="14"/>
    </row>
    <row r="32" spans="1:18" ht="105.75" customHeight="1">
      <c r="A32" s="18">
        <v>10</v>
      </c>
      <c r="B32" s="18" t="s">
        <v>280</v>
      </c>
      <c r="C32" s="19">
        <v>26</v>
      </c>
      <c r="D32" s="14"/>
      <c r="E32" s="208" t="s">
        <v>588</v>
      </c>
      <c r="F32" s="47" t="s">
        <v>580</v>
      </c>
      <c r="G32" s="12" t="s">
        <v>107</v>
      </c>
      <c r="H32" s="251" t="s">
        <v>145</v>
      </c>
      <c r="I32" s="251" t="s">
        <v>582</v>
      </c>
      <c r="J32" s="185">
        <v>0.15</v>
      </c>
      <c r="K32" s="185"/>
      <c r="L32" s="185"/>
      <c r="M32" s="185"/>
      <c r="N32" s="185">
        <v>0.15</v>
      </c>
      <c r="O32" s="10" t="s">
        <v>351</v>
      </c>
      <c r="P32" s="10" t="s">
        <v>353</v>
      </c>
      <c r="Q32" s="14"/>
    </row>
    <row r="33" spans="1:17" ht="40.5" customHeight="1">
      <c r="A33" s="16">
        <v>10</v>
      </c>
      <c r="B33" s="18" t="s">
        <v>280</v>
      </c>
      <c r="C33" s="145">
        <v>27</v>
      </c>
      <c r="D33" s="31" t="s">
        <v>354</v>
      </c>
      <c r="E33" s="208" t="s">
        <v>589</v>
      </c>
      <c r="F33" s="66" t="s">
        <v>355</v>
      </c>
      <c r="G33" s="14" t="s">
        <v>100</v>
      </c>
      <c r="H33" s="108">
        <v>0.504</v>
      </c>
      <c r="I33" s="109">
        <v>1</v>
      </c>
      <c r="J33" s="185">
        <v>0.66933333333333334</v>
      </c>
      <c r="K33" s="185">
        <v>0.54649999999999999</v>
      </c>
      <c r="L33" s="185">
        <v>0.58899999999999997</v>
      </c>
      <c r="M33" s="185">
        <v>0.63149999999999995</v>
      </c>
      <c r="N33" s="185">
        <v>0.67400000000000004</v>
      </c>
      <c r="O33" s="14" t="s">
        <v>356</v>
      </c>
      <c r="P33" s="14" t="s">
        <v>357</v>
      </c>
      <c r="Q33" s="13" t="s">
        <v>358</v>
      </c>
    </row>
    <row r="34" spans="1:17" ht="25.5" customHeight="1">
      <c r="A34" s="16">
        <v>10</v>
      </c>
      <c r="B34" s="18" t="s">
        <v>280</v>
      </c>
      <c r="C34" s="145">
        <v>27</v>
      </c>
      <c r="D34" s="31"/>
      <c r="E34" s="208" t="s">
        <v>590</v>
      </c>
      <c r="F34" s="66" t="s">
        <v>359</v>
      </c>
      <c r="G34" s="14" t="s">
        <v>107</v>
      </c>
      <c r="H34" s="108">
        <v>1</v>
      </c>
      <c r="I34" s="109">
        <v>1</v>
      </c>
      <c r="J34" s="185">
        <v>1</v>
      </c>
      <c r="K34" s="185">
        <v>1</v>
      </c>
      <c r="L34" s="185">
        <v>1</v>
      </c>
      <c r="M34" s="185">
        <v>1</v>
      </c>
      <c r="N34" s="185">
        <v>1</v>
      </c>
      <c r="O34" s="65" t="s">
        <v>463</v>
      </c>
      <c r="P34" s="65">
        <v>1</v>
      </c>
      <c r="Q34" s="13"/>
    </row>
    <row r="35" spans="1:17" ht="165.75">
      <c r="A35" s="16">
        <v>10</v>
      </c>
      <c r="B35" s="18" t="s">
        <v>280</v>
      </c>
      <c r="C35" s="145">
        <v>27</v>
      </c>
      <c r="D35" s="31"/>
      <c r="E35" s="208" t="s">
        <v>591</v>
      </c>
      <c r="F35" s="66" t="s">
        <v>360</v>
      </c>
      <c r="G35" s="14" t="s">
        <v>107</v>
      </c>
      <c r="H35" s="114" t="s">
        <v>361</v>
      </c>
      <c r="I35" s="108">
        <v>0.3</v>
      </c>
      <c r="J35" s="213">
        <v>9.9999999999999992E-2</v>
      </c>
      <c r="K35" s="213">
        <v>2.5000000000000001E-2</v>
      </c>
      <c r="L35" s="213">
        <v>0.05</v>
      </c>
      <c r="M35" s="213">
        <v>7.5000000000000011E-2</v>
      </c>
      <c r="N35" s="213">
        <v>0.1</v>
      </c>
      <c r="O35" s="65">
        <v>0</v>
      </c>
      <c r="P35" s="65">
        <v>0.3</v>
      </c>
      <c r="Q35" s="13"/>
    </row>
    <row r="36" spans="1:17" s="59" customFormat="1" ht="43.5" customHeight="1">
      <c r="A36" s="70">
        <v>11</v>
      </c>
      <c r="B36" s="60" t="s">
        <v>362</v>
      </c>
      <c r="C36" s="70">
        <v>28</v>
      </c>
      <c r="D36" s="60" t="s">
        <v>363</v>
      </c>
      <c r="E36" s="202" t="s">
        <v>592</v>
      </c>
      <c r="F36" s="20" t="s">
        <v>364</v>
      </c>
      <c r="G36" s="10" t="s">
        <v>100</v>
      </c>
      <c r="H36" s="82" t="s">
        <v>365</v>
      </c>
      <c r="I36" s="82" t="s">
        <v>366</v>
      </c>
      <c r="J36" s="213">
        <v>0.06</v>
      </c>
      <c r="K36" s="213">
        <v>1.4999999999999999E-2</v>
      </c>
      <c r="L36" s="213">
        <v>0.03</v>
      </c>
      <c r="M36" s="213">
        <v>4.4999999999999998E-2</v>
      </c>
      <c r="N36" s="213">
        <v>0.06</v>
      </c>
      <c r="O36" s="10" t="s">
        <v>365</v>
      </c>
      <c r="P36" s="10" t="s">
        <v>367</v>
      </c>
      <c r="Q36" s="60" t="s">
        <v>368</v>
      </c>
    </row>
    <row r="37" spans="1:17" ht="25.5">
      <c r="A37" s="16">
        <v>11</v>
      </c>
      <c r="B37" s="268" t="s">
        <v>362</v>
      </c>
      <c r="C37" s="16">
        <v>28</v>
      </c>
      <c r="D37" s="18"/>
      <c r="E37" s="208" t="s">
        <v>593</v>
      </c>
      <c r="F37" s="46" t="s">
        <v>369</v>
      </c>
      <c r="G37" s="10"/>
      <c r="H37" s="110" t="s">
        <v>370</v>
      </c>
      <c r="I37" s="88">
        <v>1</v>
      </c>
      <c r="J37" s="185">
        <v>0.33</v>
      </c>
      <c r="K37" s="185">
        <v>8.3333333333333329E-2</v>
      </c>
      <c r="L37" s="185">
        <v>0.16666666666666666</v>
      </c>
      <c r="M37" s="185">
        <v>0.25</v>
      </c>
      <c r="N37" s="185">
        <v>0.33333333333333331</v>
      </c>
      <c r="O37" s="10" t="s">
        <v>145</v>
      </c>
      <c r="P37" s="49">
        <v>1</v>
      </c>
      <c r="Q37" s="13"/>
    </row>
    <row r="38" spans="1:17" ht="25.5">
      <c r="A38" s="16">
        <v>11</v>
      </c>
      <c r="B38" s="268" t="s">
        <v>362</v>
      </c>
      <c r="C38" s="16">
        <v>28</v>
      </c>
      <c r="D38" s="18"/>
      <c r="E38" s="208" t="s">
        <v>594</v>
      </c>
      <c r="F38" s="46" t="s">
        <v>371</v>
      </c>
      <c r="G38" s="10"/>
      <c r="H38" s="110" t="s">
        <v>145</v>
      </c>
      <c r="I38" s="111">
        <v>1</v>
      </c>
      <c r="J38" s="10">
        <v>1</v>
      </c>
      <c r="K38" s="10"/>
      <c r="L38" s="10">
        <v>1</v>
      </c>
      <c r="M38" s="10"/>
      <c r="N38" s="10"/>
      <c r="O38" s="10" t="s">
        <v>145</v>
      </c>
      <c r="P38" s="10">
        <v>1</v>
      </c>
      <c r="Q38" s="13"/>
    </row>
    <row r="39" spans="1:17" s="59" customFormat="1" ht="273" customHeight="1">
      <c r="A39" s="61">
        <v>11</v>
      </c>
      <c r="B39" s="62" t="s">
        <v>362</v>
      </c>
      <c r="C39" s="61">
        <v>28</v>
      </c>
      <c r="D39" s="62"/>
      <c r="E39" s="208" t="s">
        <v>595</v>
      </c>
      <c r="F39" s="46" t="s">
        <v>733</v>
      </c>
      <c r="G39" s="10" t="s">
        <v>127</v>
      </c>
      <c r="H39" s="90" t="s">
        <v>351</v>
      </c>
      <c r="I39" s="90" t="s">
        <v>352</v>
      </c>
      <c r="J39" s="49">
        <f>J30</f>
        <v>1</v>
      </c>
      <c r="K39" s="49">
        <f t="shared" ref="K39:Q39" si="0">K30</f>
        <v>1</v>
      </c>
      <c r="L39" s="49">
        <f t="shared" si="0"/>
        <v>1</v>
      </c>
      <c r="M39" s="49">
        <f t="shared" si="0"/>
        <v>1</v>
      </c>
      <c r="N39" s="49">
        <f t="shared" si="0"/>
        <v>1</v>
      </c>
      <c r="O39" s="49" t="str">
        <f t="shared" si="0"/>
        <v xml:space="preserve">De acuerdo a los resultados del Índice de Calidad del Aire (ICA) obtenidos en el primer semestre de 2019 en las estaciones fijas, durante la mayor parte del periodo de monitoreo, la calidad del aire estuvo en las categorías “buena” y “moderada”; con excepción de la estación de Envigado que presentó algunos días con calidad del aire “dañina a grupos sensibles” durante el mes de marzo, esto debido principalmente a las condiciones meteorológicas particulares que se dan durante ese periodo, las cuales motivaron la declaratoria de la contingencia atmosférica en el Valle de Aburrá. Entre junio y septiembre de 2019, las estaciones han mantenido un índice de calidad del aire entre "buena" y "moderada". </v>
      </c>
      <c r="P39" s="49" t="str">
        <f t="shared" si="0"/>
        <v>PGAR: 70% de las estaciones fijas y móviles con un índice de calidad del aire entre buena y moderada</v>
      </c>
      <c r="Q39" s="49">
        <f t="shared" si="0"/>
        <v>0</v>
      </c>
    </row>
    <row r="40" spans="1:17" ht="51">
      <c r="A40" s="75">
        <v>12</v>
      </c>
      <c r="B40" s="10" t="s">
        <v>372</v>
      </c>
      <c r="C40" s="75">
        <v>29</v>
      </c>
      <c r="D40" s="10" t="s">
        <v>654</v>
      </c>
      <c r="E40" s="212" t="s">
        <v>596</v>
      </c>
      <c r="F40" s="10" t="s">
        <v>373</v>
      </c>
      <c r="G40" s="10" t="s">
        <v>107</v>
      </c>
      <c r="H40" s="75" t="s">
        <v>145</v>
      </c>
      <c r="I40" s="252" t="s">
        <v>374</v>
      </c>
      <c r="J40" s="185">
        <v>0.13</v>
      </c>
      <c r="K40" s="185">
        <v>0</v>
      </c>
      <c r="L40" s="185">
        <v>0</v>
      </c>
      <c r="M40" s="185">
        <v>6.6666666666666666E-2</v>
      </c>
      <c r="N40" s="185">
        <v>0.13333333333333333</v>
      </c>
      <c r="O40" s="10"/>
      <c r="P40" s="10"/>
      <c r="Q40" s="10"/>
    </row>
  </sheetData>
  <autoFilter ref="A3:Q40" xr:uid="{00000000-0009-0000-0000-000003000000}"/>
  <conditionalFormatting sqref="O4:P4 P5 P28 O20:P25 O6:P7 O33:P35 O37:P38 P19">
    <cfRule type="cellIs" dxfId="99" priority="74" operator="equal">
      <formula>""</formula>
    </cfRule>
  </conditionalFormatting>
  <conditionalFormatting sqref="O5">
    <cfRule type="cellIs" dxfId="98" priority="72" operator="equal">
      <formula>""</formula>
    </cfRule>
  </conditionalFormatting>
  <conditionalFormatting sqref="O8">
    <cfRule type="cellIs" dxfId="97" priority="69" operator="equal">
      <formula>""</formula>
    </cfRule>
  </conditionalFormatting>
  <conditionalFormatting sqref="P8">
    <cfRule type="cellIs" dxfId="96" priority="68" operator="equal">
      <formula>""</formula>
    </cfRule>
  </conditionalFormatting>
  <conditionalFormatting sqref="P9">
    <cfRule type="cellIs" dxfId="95" priority="58" operator="equal">
      <formula>""</formula>
    </cfRule>
  </conditionalFormatting>
  <conditionalFormatting sqref="O26:P26">
    <cfRule type="cellIs" dxfId="94" priority="54" operator="equal">
      <formula>""</formula>
    </cfRule>
  </conditionalFormatting>
  <conditionalFormatting sqref="O27">
    <cfRule type="cellIs" dxfId="93" priority="51" operator="equal">
      <formula>""</formula>
    </cfRule>
  </conditionalFormatting>
  <conditionalFormatting sqref="O32">
    <cfRule type="cellIs" dxfId="92" priority="49" operator="equal">
      <formula>""</formula>
    </cfRule>
  </conditionalFormatting>
  <conditionalFormatting sqref="P27">
    <cfRule type="cellIs" dxfId="91" priority="48" operator="equal">
      <formula>""</formula>
    </cfRule>
  </conditionalFormatting>
  <conditionalFormatting sqref="P32">
    <cfRule type="cellIs" dxfId="90" priority="46" operator="equal">
      <formula>""</formula>
    </cfRule>
  </conditionalFormatting>
  <conditionalFormatting sqref="P29">
    <cfRule type="cellIs" dxfId="89" priority="42" operator="equal">
      <formula>""</formula>
    </cfRule>
  </conditionalFormatting>
  <conditionalFormatting sqref="O9">
    <cfRule type="cellIs" dxfId="88" priority="32" operator="equal">
      <formula>""</formula>
    </cfRule>
  </conditionalFormatting>
  <conditionalFormatting sqref="O18:P18 O12:P13 O15:P15 P14">
    <cfRule type="cellIs" dxfId="87" priority="23" operator="equal">
      <formula>""</formula>
    </cfRule>
  </conditionalFormatting>
  <conditionalFormatting sqref="O10">
    <cfRule type="cellIs" dxfId="86" priority="22" operator="equal">
      <formula>""</formula>
    </cfRule>
  </conditionalFormatting>
  <conditionalFormatting sqref="P10">
    <cfRule type="cellIs" dxfId="85" priority="21" operator="equal">
      <formula>""</formula>
    </cfRule>
  </conditionalFormatting>
  <conditionalFormatting sqref="O16">
    <cfRule type="cellIs" dxfId="84" priority="20" operator="equal">
      <formula>""</formula>
    </cfRule>
  </conditionalFormatting>
  <conditionalFormatting sqref="P16">
    <cfRule type="cellIs" dxfId="83" priority="19" operator="equal">
      <formula>""</formula>
    </cfRule>
  </conditionalFormatting>
  <conditionalFormatting sqref="O11:P11">
    <cfRule type="cellIs" dxfId="82" priority="18" operator="equal">
      <formula>""</formula>
    </cfRule>
  </conditionalFormatting>
  <conditionalFormatting sqref="O36:P36">
    <cfRule type="cellIs" dxfId="81" priority="17" operator="equal">
      <formula>""</formula>
    </cfRule>
  </conditionalFormatting>
  <conditionalFormatting sqref="H36">
    <cfRule type="cellIs" dxfId="80" priority="16" operator="equal">
      <formula>""</formula>
    </cfRule>
  </conditionalFormatting>
  <conditionalFormatting sqref="I36">
    <cfRule type="cellIs" dxfId="79" priority="15" operator="equal">
      <formula>""</formula>
    </cfRule>
  </conditionalFormatting>
  <conditionalFormatting sqref="O28">
    <cfRule type="cellIs" dxfId="78" priority="11" operator="equal">
      <formula>""</formula>
    </cfRule>
  </conditionalFormatting>
  <conditionalFormatting sqref="O29">
    <cfRule type="cellIs" dxfId="77" priority="10" operator="equal">
      <formula>""</formula>
    </cfRule>
  </conditionalFormatting>
  <conditionalFormatting sqref="O14">
    <cfRule type="cellIs" dxfId="76" priority="6" operator="equal">
      <formula>""</formula>
    </cfRule>
  </conditionalFormatting>
  <conditionalFormatting sqref="O17:P17">
    <cfRule type="cellIs" dxfId="75" priority="5" operator="equal">
      <formula>""</formula>
    </cfRule>
  </conditionalFormatting>
  <conditionalFormatting sqref="O30">
    <cfRule type="cellIs" dxfId="74" priority="4" operator="equal">
      <formula>""</formula>
    </cfRule>
  </conditionalFormatting>
  <conditionalFormatting sqref="P30">
    <cfRule type="cellIs" dxfId="73" priority="3" operator="equal">
      <formula>""</formula>
    </cfRule>
  </conditionalFormatting>
  <conditionalFormatting sqref="O31">
    <cfRule type="cellIs" dxfId="72" priority="2" operator="equal">
      <formula>""</formula>
    </cfRule>
  </conditionalFormatting>
  <conditionalFormatting sqref="P31">
    <cfRule type="cellIs" dxfId="71" priority="1" operator="equal">
      <formula>""</formula>
    </cfRule>
  </conditionalFormatting>
  <printOptions horizontalCentered="1"/>
  <pageMargins left="0.19685039370078741" right="0.19685039370078741" top="0.59055118110236227" bottom="0.59055118110236227" header="0.19685039370078741" footer="0.19685039370078741"/>
  <pageSetup scale="56" fitToHeight="0" orientation="landscape" horizontalDpi="4294967294" verticalDpi="4294967294" r:id="rId1"/>
  <headerFooter>
    <oddHeader>&amp;CPGAR 2020-2031</oddHeader>
    <oddFooter>&amp;LPágina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theme="8" tint="-0.249977111117893"/>
    <pageSetUpPr fitToPage="1"/>
  </sheetPr>
  <dimension ref="A1:Q34"/>
  <sheetViews>
    <sheetView showGridLines="0" zoomScaleNormal="100" workbookViewId="0">
      <pane xSplit="3" ySplit="3" topLeftCell="D4" activePane="bottomRight" state="frozen"/>
      <selection activeCell="Q19" sqref="Q19"/>
      <selection pane="topRight" activeCell="Q19" sqref="Q19"/>
      <selection pane="bottomLeft" activeCell="Q19" sqref="Q19"/>
      <selection pane="bottomRight" activeCell="A4" sqref="A4:N8"/>
    </sheetView>
  </sheetViews>
  <sheetFormatPr baseColWidth="10" defaultColWidth="11" defaultRowHeight="12.75"/>
  <cols>
    <col min="1" max="1" width="3.125" style="6" bestFit="1" customWidth="1"/>
    <col min="2" max="2" width="24" style="129" bestFit="1" customWidth="1"/>
    <col min="3" max="3" width="3.125" style="6" bestFit="1" customWidth="1"/>
    <col min="4" max="4" width="30.625" style="129" bestFit="1" customWidth="1"/>
    <col min="5" max="5" width="7.125" style="207" customWidth="1"/>
    <col min="6" max="6" width="22.125" style="5" bestFit="1" customWidth="1"/>
    <col min="7" max="7" width="15.125" style="5" customWidth="1"/>
    <col min="8" max="9" width="22.125" style="6" customWidth="1"/>
    <col min="10" max="14" width="15.125" style="5" customWidth="1"/>
    <col min="15" max="15" width="20.5" style="5" hidden="1" customWidth="1"/>
    <col min="16" max="16" width="20.625" style="5" hidden="1" customWidth="1"/>
    <col min="17" max="17" width="26.625" style="129" hidden="1" customWidth="1"/>
    <col min="18" max="16384" width="11" style="5"/>
  </cols>
  <sheetData>
    <row r="1" spans="1:17">
      <c r="A1" s="99" t="s">
        <v>375</v>
      </c>
      <c r="B1" s="99"/>
      <c r="C1" s="99"/>
      <c r="D1" s="99"/>
      <c r="E1" s="99"/>
      <c r="F1" s="99"/>
      <c r="G1" s="99"/>
      <c r="H1" s="99"/>
      <c r="I1" s="99"/>
      <c r="J1" s="130"/>
      <c r="K1" s="130"/>
      <c r="L1" s="130"/>
      <c r="M1" s="130"/>
      <c r="N1" s="130"/>
      <c r="O1" s="130"/>
      <c r="P1" s="156"/>
      <c r="Q1" s="157"/>
    </row>
    <row r="2" spans="1:17" ht="13.5" thickBot="1">
      <c r="A2" s="100" t="s">
        <v>560</v>
      </c>
      <c r="B2" s="100"/>
      <c r="C2" s="100"/>
      <c r="D2" s="100"/>
      <c r="E2" s="221"/>
      <c r="F2" s="100"/>
      <c r="G2" s="100"/>
      <c r="H2" s="100"/>
      <c r="I2" s="100"/>
      <c r="J2" s="173"/>
      <c r="K2" s="173"/>
      <c r="L2" s="173"/>
      <c r="M2" s="173"/>
      <c r="N2" s="173"/>
      <c r="O2" s="101"/>
      <c r="P2" s="97"/>
      <c r="Q2" s="158"/>
    </row>
    <row r="3" spans="1:17" ht="26.25" thickBot="1">
      <c r="A3" s="7" t="s">
        <v>86</v>
      </c>
      <c r="B3" s="154" t="s">
        <v>87</v>
      </c>
      <c r="C3" s="7" t="s">
        <v>86</v>
      </c>
      <c r="D3" s="7" t="s">
        <v>88</v>
      </c>
      <c r="E3" s="255" t="s">
        <v>477</v>
      </c>
      <c r="F3" s="23" t="s">
        <v>89</v>
      </c>
      <c r="G3" s="7" t="s">
        <v>91</v>
      </c>
      <c r="H3" s="42" t="s">
        <v>90</v>
      </c>
      <c r="I3" s="175" t="s">
        <v>476</v>
      </c>
      <c r="J3" s="176" t="s">
        <v>471</v>
      </c>
      <c r="K3" s="177" t="s">
        <v>472</v>
      </c>
      <c r="L3" s="177" t="s">
        <v>473</v>
      </c>
      <c r="M3" s="177" t="s">
        <v>474</v>
      </c>
      <c r="N3" s="178" t="s">
        <v>475</v>
      </c>
      <c r="O3" s="23" t="s">
        <v>92</v>
      </c>
      <c r="P3" s="7" t="s">
        <v>93</v>
      </c>
      <c r="Q3" s="154" t="s">
        <v>94</v>
      </c>
    </row>
    <row r="4" spans="1:17" ht="37.5" customHeight="1">
      <c r="A4" s="22">
        <v>13</v>
      </c>
      <c r="B4" s="121" t="s">
        <v>376</v>
      </c>
      <c r="C4" s="148">
        <v>30</v>
      </c>
      <c r="D4" s="121" t="s">
        <v>377</v>
      </c>
      <c r="E4" s="222" t="s">
        <v>601</v>
      </c>
      <c r="F4" s="46" t="s">
        <v>600</v>
      </c>
      <c r="G4" s="10" t="s">
        <v>379</v>
      </c>
      <c r="H4" s="88">
        <v>0.94</v>
      </c>
      <c r="I4" s="87" t="s">
        <v>378</v>
      </c>
      <c r="J4" s="184">
        <v>0.94</v>
      </c>
      <c r="K4" s="184">
        <v>0.94</v>
      </c>
      <c r="L4" s="184">
        <v>0.94</v>
      </c>
      <c r="M4" s="184">
        <v>0.94</v>
      </c>
      <c r="N4" s="184">
        <v>0.94</v>
      </c>
      <c r="O4" s="10" t="s">
        <v>380</v>
      </c>
      <c r="P4" s="10" t="s">
        <v>381</v>
      </c>
      <c r="Q4" s="121" t="s">
        <v>382</v>
      </c>
    </row>
    <row r="5" spans="1:17" ht="25.5">
      <c r="A5" s="24">
        <v>13</v>
      </c>
      <c r="B5" s="123" t="s">
        <v>376</v>
      </c>
      <c r="C5" s="26">
        <v>30</v>
      </c>
      <c r="D5" s="123" t="s">
        <v>377</v>
      </c>
      <c r="E5" s="202" t="s">
        <v>602</v>
      </c>
      <c r="F5" s="46" t="s">
        <v>383</v>
      </c>
      <c r="G5" s="10" t="s">
        <v>107</v>
      </c>
      <c r="H5" s="87" t="s">
        <v>143</v>
      </c>
      <c r="I5" s="87">
        <v>70</v>
      </c>
      <c r="J5" s="10">
        <v>7</v>
      </c>
      <c r="K5" s="10"/>
      <c r="L5" s="10"/>
      <c r="M5" s="10">
        <v>3</v>
      </c>
      <c r="N5" s="10">
        <v>4</v>
      </c>
      <c r="O5" s="10" t="s">
        <v>145</v>
      </c>
      <c r="P5" s="10" t="s">
        <v>384</v>
      </c>
      <c r="Q5" s="122"/>
    </row>
    <row r="6" spans="1:17" ht="41.25" customHeight="1">
      <c r="A6" s="24">
        <v>13</v>
      </c>
      <c r="B6" s="123" t="s">
        <v>376</v>
      </c>
      <c r="C6" s="26">
        <v>30</v>
      </c>
      <c r="D6" s="123" t="s">
        <v>377</v>
      </c>
      <c r="E6" s="253" t="s">
        <v>603</v>
      </c>
      <c r="F6" s="35" t="s">
        <v>597</v>
      </c>
      <c r="G6" s="10" t="s">
        <v>107</v>
      </c>
      <c r="H6" s="82" t="s">
        <v>143</v>
      </c>
      <c r="I6" s="92">
        <v>0.9</v>
      </c>
      <c r="J6" s="185">
        <v>0.7</v>
      </c>
      <c r="K6" s="185"/>
      <c r="L6" s="185"/>
      <c r="M6" s="185"/>
      <c r="N6" s="185">
        <v>0.7</v>
      </c>
      <c r="O6" s="10" t="s">
        <v>145</v>
      </c>
      <c r="P6" s="49">
        <v>0.9</v>
      </c>
      <c r="Q6" s="122"/>
    </row>
    <row r="7" spans="1:17" ht="38.25">
      <c r="A7" s="24">
        <v>13</v>
      </c>
      <c r="B7" s="123" t="s">
        <v>376</v>
      </c>
      <c r="C7" s="26">
        <v>30</v>
      </c>
      <c r="D7" s="123" t="s">
        <v>377</v>
      </c>
      <c r="E7" s="254" t="s">
        <v>604</v>
      </c>
      <c r="F7" s="63" t="s">
        <v>598</v>
      </c>
      <c r="G7" s="10" t="s">
        <v>107</v>
      </c>
      <c r="H7" s="93" t="s">
        <v>143</v>
      </c>
      <c r="I7" s="92">
        <v>0.9</v>
      </c>
      <c r="J7" s="185">
        <v>0.7</v>
      </c>
      <c r="K7" s="185"/>
      <c r="L7" s="185"/>
      <c r="M7" s="185"/>
      <c r="N7" s="185">
        <v>0.7</v>
      </c>
      <c r="O7" s="10" t="s">
        <v>385</v>
      </c>
      <c r="P7" s="49">
        <v>0.9</v>
      </c>
      <c r="Q7" s="122"/>
    </row>
    <row r="8" spans="1:17" ht="38.25">
      <c r="A8" s="17">
        <v>13</v>
      </c>
      <c r="B8" s="125" t="s">
        <v>376</v>
      </c>
      <c r="C8" s="26">
        <v>30</v>
      </c>
      <c r="D8" s="123" t="s">
        <v>377</v>
      </c>
      <c r="E8" s="208" t="s">
        <v>605</v>
      </c>
      <c r="F8" s="35" t="s">
        <v>599</v>
      </c>
      <c r="G8" s="10" t="s">
        <v>107</v>
      </c>
      <c r="H8" s="82" t="s">
        <v>143</v>
      </c>
      <c r="I8" s="92">
        <v>0.9</v>
      </c>
      <c r="J8" s="185">
        <v>0.7</v>
      </c>
      <c r="K8" s="185"/>
      <c r="L8" s="185"/>
      <c r="M8" s="185"/>
      <c r="N8" s="185">
        <v>0.7</v>
      </c>
      <c r="O8" s="10" t="s">
        <v>385</v>
      </c>
      <c r="P8" s="49">
        <v>0.9</v>
      </c>
      <c r="Q8" s="123"/>
    </row>
    <row r="9" spans="1:17" ht="93" customHeight="1">
      <c r="A9" s="56">
        <v>14</v>
      </c>
      <c r="B9" s="181" t="s">
        <v>386</v>
      </c>
      <c r="C9" s="36">
        <v>31</v>
      </c>
      <c r="D9" s="120" t="s">
        <v>387</v>
      </c>
      <c r="E9" s="256" t="s">
        <v>607</v>
      </c>
      <c r="F9" s="46" t="s">
        <v>606</v>
      </c>
      <c r="G9" s="10" t="s">
        <v>107</v>
      </c>
      <c r="H9" s="80" t="s">
        <v>145</v>
      </c>
      <c r="I9" s="85">
        <v>1</v>
      </c>
      <c r="J9" s="185">
        <v>1</v>
      </c>
      <c r="K9" s="185">
        <v>0.25</v>
      </c>
      <c r="L9" s="185">
        <v>0.5</v>
      </c>
      <c r="M9" s="185">
        <v>0.75</v>
      </c>
      <c r="N9" s="185">
        <v>1</v>
      </c>
      <c r="O9" s="10" t="s">
        <v>388</v>
      </c>
      <c r="P9" s="10" t="s">
        <v>389</v>
      </c>
      <c r="Q9" s="120" t="s">
        <v>390</v>
      </c>
    </row>
    <row r="10" spans="1:17" ht="42.75" customHeight="1">
      <c r="A10" s="24">
        <v>14</v>
      </c>
      <c r="B10" s="123" t="s">
        <v>386</v>
      </c>
      <c r="C10" s="36">
        <v>32</v>
      </c>
      <c r="D10" s="120" t="s">
        <v>391</v>
      </c>
      <c r="E10" s="256" t="s">
        <v>609</v>
      </c>
      <c r="F10" s="46" t="s">
        <v>608</v>
      </c>
      <c r="G10" s="10" t="s">
        <v>107</v>
      </c>
      <c r="H10" s="87" t="s">
        <v>145</v>
      </c>
      <c r="I10" s="88">
        <v>1</v>
      </c>
      <c r="J10" s="185">
        <v>1</v>
      </c>
      <c r="K10" s="185">
        <v>0.125</v>
      </c>
      <c r="L10" s="185">
        <v>0.375</v>
      </c>
      <c r="M10" s="185">
        <v>0.625</v>
      </c>
      <c r="N10" s="185">
        <v>1</v>
      </c>
      <c r="O10" s="32" t="s">
        <v>145</v>
      </c>
      <c r="P10" s="49">
        <v>1</v>
      </c>
      <c r="Q10" s="121" t="s">
        <v>392</v>
      </c>
    </row>
    <row r="11" spans="1:17" ht="38.25">
      <c r="A11" s="24">
        <v>14</v>
      </c>
      <c r="B11" s="123" t="s">
        <v>386</v>
      </c>
      <c r="C11" s="144">
        <v>33</v>
      </c>
      <c r="D11" s="150" t="s">
        <v>393</v>
      </c>
      <c r="E11" s="208" t="s">
        <v>611</v>
      </c>
      <c r="F11" s="46" t="s">
        <v>394</v>
      </c>
      <c r="G11" s="10" t="s">
        <v>107</v>
      </c>
      <c r="H11" s="87" t="s">
        <v>143</v>
      </c>
      <c r="I11" s="86" t="s">
        <v>395</v>
      </c>
      <c r="J11" s="185">
        <v>0.6</v>
      </c>
      <c r="K11" s="185">
        <v>0.1</v>
      </c>
      <c r="L11" s="185">
        <v>0.3</v>
      </c>
      <c r="M11" s="185">
        <v>0.5</v>
      </c>
      <c r="N11" s="185">
        <v>0.6</v>
      </c>
      <c r="O11" s="10" t="s">
        <v>145</v>
      </c>
      <c r="P11" s="10" t="s">
        <v>396</v>
      </c>
      <c r="Q11" s="121" t="s">
        <v>397</v>
      </c>
    </row>
    <row r="12" spans="1:17" ht="28.5" customHeight="1">
      <c r="A12" s="24">
        <v>14</v>
      </c>
      <c r="B12" s="123" t="s">
        <v>386</v>
      </c>
      <c r="C12" s="17">
        <v>33</v>
      </c>
      <c r="D12" s="125" t="s">
        <v>393</v>
      </c>
      <c r="E12" s="208" t="s">
        <v>612</v>
      </c>
      <c r="F12" s="46" t="s">
        <v>610</v>
      </c>
      <c r="G12" s="10" t="s">
        <v>107</v>
      </c>
      <c r="H12" s="87" t="s">
        <v>143</v>
      </c>
      <c r="I12" s="88" t="s">
        <v>398</v>
      </c>
      <c r="J12" s="185">
        <v>0.7</v>
      </c>
      <c r="K12" s="185"/>
      <c r="L12" s="185"/>
      <c r="M12" s="185"/>
      <c r="N12" s="185">
        <v>0.7</v>
      </c>
      <c r="O12" s="10" t="s">
        <v>145</v>
      </c>
      <c r="P12" s="39" t="s">
        <v>399</v>
      </c>
      <c r="Q12" s="121"/>
    </row>
    <row r="13" spans="1:17" ht="146.25" customHeight="1">
      <c r="A13" s="53">
        <v>14</v>
      </c>
      <c r="B13" s="125" t="s">
        <v>386</v>
      </c>
      <c r="C13" s="146">
        <v>34</v>
      </c>
      <c r="D13" s="143" t="s">
        <v>400</v>
      </c>
      <c r="E13" s="228" t="s">
        <v>613</v>
      </c>
      <c r="F13" s="46" t="s">
        <v>739</v>
      </c>
      <c r="G13" s="10" t="s">
        <v>107</v>
      </c>
      <c r="H13" s="87">
        <v>0</v>
      </c>
      <c r="I13" s="82" t="s">
        <v>465</v>
      </c>
      <c r="J13" s="10">
        <v>3</v>
      </c>
      <c r="K13" s="10">
        <v>3</v>
      </c>
      <c r="L13" s="10">
        <v>3</v>
      </c>
      <c r="M13" s="10">
        <v>3</v>
      </c>
      <c r="N13" s="10">
        <v>3</v>
      </c>
      <c r="O13" s="10" t="s">
        <v>145</v>
      </c>
      <c r="P13" s="10" t="s">
        <v>466</v>
      </c>
      <c r="Q13" s="120" t="s">
        <v>401</v>
      </c>
    </row>
    <row r="14" spans="1:17" s="67" customFormat="1" ht="96.75" customHeight="1">
      <c r="A14" s="56">
        <v>15</v>
      </c>
      <c r="B14" s="124" t="s">
        <v>464</v>
      </c>
      <c r="C14" s="145">
        <v>35</v>
      </c>
      <c r="D14" s="124" t="s">
        <v>403</v>
      </c>
      <c r="E14" s="208" t="s">
        <v>614</v>
      </c>
      <c r="F14" s="47" t="s">
        <v>404</v>
      </c>
      <c r="G14" s="32" t="s">
        <v>100</v>
      </c>
      <c r="H14" s="90">
        <v>0.58099999999999996</v>
      </c>
      <c r="I14" s="90">
        <v>1</v>
      </c>
      <c r="J14" s="257">
        <v>0.6</v>
      </c>
      <c r="K14" s="257">
        <v>0.58099999999999996</v>
      </c>
      <c r="L14" s="257">
        <v>0.58099999999999996</v>
      </c>
      <c r="M14" s="257">
        <v>0.58499999999999996</v>
      </c>
      <c r="N14" s="257">
        <v>0.6</v>
      </c>
      <c r="O14" s="32" t="s">
        <v>405</v>
      </c>
      <c r="P14" s="32" t="s">
        <v>406</v>
      </c>
      <c r="Q14" s="150" t="s">
        <v>407</v>
      </c>
    </row>
    <row r="15" spans="1:17" ht="51">
      <c r="A15" s="24">
        <v>15</v>
      </c>
      <c r="B15" s="123" t="s">
        <v>402</v>
      </c>
      <c r="C15" s="16">
        <v>35</v>
      </c>
      <c r="D15" s="123" t="s">
        <v>403</v>
      </c>
      <c r="E15" s="208" t="s">
        <v>615</v>
      </c>
      <c r="F15" s="46" t="s">
        <v>408</v>
      </c>
      <c r="G15" s="10" t="s">
        <v>107</v>
      </c>
      <c r="H15" s="87" t="s">
        <v>145</v>
      </c>
      <c r="I15" s="82" t="s">
        <v>409</v>
      </c>
      <c r="J15" s="185">
        <v>0.05</v>
      </c>
      <c r="K15" s="185"/>
      <c r="L15" s="185"/>
      <c r="M15" s="185"/>
      <c r="N15" s="185">
        <v>0.05</v>
      </c>
      <c r="O15" s="10" t="s">
        <v>145</v>
      </c>
      <c r="P15" s="10" t="s">
        <v>410</v>
      </c>
      <c r="Q15" s="122"/>
    </row>
    <row r="16" spans="1:17" ht="66" customHeight="1">
      <c r="A16" s="24">
        <v>15</v>
      </c>
      <c r="B16" s="123" t="s">
        <v>402</v>
      </c>
      <c r="C16" s="17">
        <v>35</v>
      </c>
      <c r="D16" s="125" t="s">
        <v>403</v>
      </c>
      <c r="E16" s="208" t="s">
        <v>616</v>
      </c>
      <c r="F16" s="46" t="s">
        <v>411</v>
      </c>
      <c r="G16" s="10" t="s">
        <v>107</v>
      </c>
      <c r="H16" s="87" t="s">
        <v>145</v>
      </c>
      <c r="I16" s="82" t="s">
        <v>412</v>
      </c>
      <c r="J16" s="185">
        <v>0.2</v>
      </c>
      <c r="K16" s="185"/>
      <c r="L16" s="185"/>
      <c r="M16" s="185"/>
      <c r="N16" s="185">
        <v>0.2</v>
      </c>
      <c r="O16" s="10" t="s">
        <v>145</v>
      </c>
      <c r="P16" s="10" t="s">
        <v>412</v>
      </c>
      <c r="Q16" s="155"/>
    </row>
    <row r="17" spans="1:17" s="67" customFormat="1" ht="102">
      <c r="A17" s="24">
        <v>15</v>
      </c>
      <c r="B17" s="123" t="s">
        <v>402</v>
      </c>
      <c r="C17" s="146">
        <v>36</v>
      </c>
      <c r="D17" s="143" t="s">
        <v>413</v>
      </c>
      <c r="E17" s="228" t="s">
        <v>617</v>
      </c>
      <c r="F17" s="46" t="s">
        <v>414</v>
      </c>
      <c r="G17" s="10" t="s">
        <v>107</v>
      </c>
      <c r="H17" s="87">
        <v>0</v>
      </c>
      <c r="I17" s="87">
        <v>50</v>
      </c>
      <c r="J17" s="10">
        <v>20</v>
      </c>
      <c r="K17" s="10">
        <v>0</v>
      </c>
      <c r="L17" s="10">
        <v>6</v>
      </c>
      <c r="M17" s="10">
        <v>12</v>
      </c>
      <c r="N17" s="10">
        <v>20</v>
      </c>
      <c r="O17" s="10" t="s">
        <v>145</v>
      </c>
      <c r="P17" s="10" t="s">
        <v>415</v>
      </c>
      <c r="Q17" s="119" t="s">
        <v>416</v>
      </c>
    </row>
    <row r="18" spans="1:17" s="67" customFormat="1" ht="51">
      <c r="A18" s="24">
        <v>15</v>
      </c>
      <c r="B18" s="123" t="s">
        <v>402</v>
      </c>
      <c r="C18" s="145">
        <v>37</v>
      </c>
      <c r="D18" s="124" t="s">
        <v>650</v>
      </c>
      <c r="E18" s="208" t="s">
        <v>619</v>
      </c>
      <c r="F18" s="47" t="s">
        <v>418</v>
      </c>
      <c r="G18" s="10" t="s">
        <v>107</v>
      </c>
      <c r="H18" s="87">
        <v>0</v>
      </c>
      <c r="I18" s="90">
        <v>0.7</v>
      </c>
      <c r="J18" s="185">
        <v>0.2</v>
      </c>
      <c r="K18" s="185">
        <v>0</v>
      </c>
      <c r="L18" s="185">
        <v>0.1</v>
      </c>
      <c r="M18" s="185">
        <v>0.1</v>
      </c>
      <c r="N18" s="185">
        <v>0.2</v>
      </c>
      <c r="O18" s="10"/>
      <c r="P18" s="10"/>
      <c r="Q18" s="150"/>
    </row>
    <row r="19" spans="1:17" s="67" customFormat="1" ht="51">
      <c r="A19" s="24">
        <v>15</v>
      </c>
      <c r="B19" s="161" t="s">
        <v>402</v>
      </c>
      <c r="C19" s="16">
        <v>37</v>
      </c>
      <c r="D19" s="123" t="s">
        <v>417</v>
      </c>
      <c r="E19" s="208" t="s">
        <v>620</v>
      </c>
      <c r="F19" s="47" t="s">
        <v>618</v>
      </c>
      <c r="G19" s="10" t="s">
        <v>107</v>
      </c>
      <c r="H19" s="87">
        <v>0</v>
      </c>
      <c r="I19" s="87">
        <v>10</v>
      </c>
      <c r="J19" s="10">
        <v>0</v>
      </c>
      <c r="K19" s="10">
        <v>0</v>
      </c>
      <c r="L19" s="10">
        <v>0</v>
      </c>
      <c r="M19" s="10">
        <v>1</v>
      </c>
      <c r="N19" s="10">
        <v>2</v>
      </c>
      <c r="O19" s="10"/>
      <c r="P19" s="10"/>
      <c r="Q19" s="180"/>
    </row>
    <row r="20" spans="1:17" s="67" customFormat="1" ht="82.5" customHeight="1">
      <c r="A20" s="144">
        <v>16</v>
      </c>
      <c r="B20" s="150" t="s">
        <v>419</v>
      </c>
      <c r="C20" s="144">
        <v>38</v>
      </c>
      <c r="D20" s="142" t="s">
        <v>420</v>
      </c>
      <c r="E20" s="208">
        <v>38.1</v>
      </c>
      <c r="F20" s="35" t="s">
        <v>421</v>
      </c>
      <c r="G20" s="10" t="s">
        <v>379</v>
      </c>
      <c r="H20" s="92">
        <v>0.97</v>
      </c>
      <c r="I20" s="92">
        <v>0.97</v>
      </c>
      <c r="J20" s="185">
        <v>0.97</v>
      </c>
      <c r="K20" s="185">
        <v>0.97</v>
      </c>
      <c r="L20" s="185">
        <v>0.97</v>
      </c>
      <c r="M20" s="185">
        <v>0.97</v>
      </c>
      <c r="N20" s="185">
        <v>0.97</v>
      </c>
      <c r="O20" s="10" t="s">
        <v>422</v>
      </c>
      <c r="P20" s="10" t="s">
        <v>423</v>
      </c>
      <c r="Q20" s="1101" t="s">
        <v>424</v>
      </c>
    </row>
    <row r="21" spans="1:17" s="67" customFormat="1" ht="26.25" customHeight="1">
      <c r="A21" s="16">
        <v>16</v>
      </c>
      <c r="B21" s="123" t="s">
        <v>419</v>
      </c>
      <c r="C21" s="16">
        <v>38</v>
      </c>
      <c r="D21" s="123" t="s">
        <v>420</v>
      </c>
      <c r="E21" s="208">
        <v>38.200000000000003</v>
      </c>
      <c r="F21" s="48" t="s">
        <v>425</v>
      </c>
      <c r="G21" s="10" t="s">
        <v>107</v>
      </c>
      <c r="H21" s="87">
        <v>0</v>
      </c>
      <c r="I21" s="94">
        <v>1</v>
      </c>
      <c r="J21" s="185">
        <v>0.8</v>
      </c>
      <c r="K21" s="185"/>
      <c r="L21" s="185"/>
      <c r="M21" s="185"/>
      <c r="N21" s="185">
        <v>0.8</v>
      </c>
      <c r="O21" s="10"/>
      <c r="P21" s="10" t="s">
        <v>426</v>
      </c>
      <c r="Q21" s="1102"/>
    </row>
    <row r="22" spans="1:17" s="67" customFormat="1" ht="80.25" customHeight="1">
      <c r="A22" s="16">
        <v>16</v>
      </c>
      <c r="B22" s="123" t="s">
        <v>419</v>
      </c>
      <c r="C22" s="17">
        <v>38</v>
      </c>
      <c r="D22" s="125" t="s">
        <v>420</v>
      </c>
      <c r="E22" s="208">
        <v>38.299999999999997</v>
      </c>
      <c r="F22" s="35" t="s">
        <v>427</v>
      </c>
      <c r="G22" s="10" t="s">
        <v>107</v>
      </c>
      <c r="H22" s="87" t="s">
        <v>143</v>
      </c>
      <c r="I22" s="82">
        <v>1</v>
      </c>
      <c r="J22" s="10">
        <v>1</v>
      </c>
      <c r="K22" s="10">
        <v>0.5</v>
      </c>
      <c r="L22" s="10">
        <v>0.7</v>
      </c>
      <c r="M22" s="10">
        <v>0.9</v>
      </c>
      <c r="N22" s="10">
        <v>1</v>
      </c>
      <c r="O22" s="10" t="s">
        <v>145</v>
      </c>
      <c r="P22" s="10" t="s">
        <v>428</v>
      </c>
      <c r="Q22" s="1103"/>
    </row>
    <row r="23" spans="1:17" ht="30" customHeight="1">
      <c r="A23" s="16">
        <v>16</v>
      </c>
      <c r="B23" s="123" t="s">
        <v>419</v>
      </c>
      <c r="C23" s="145">
        <v>39</v>
      </c>
      <c r="D23" s="124" t="s">
        <v>429</v>
      </c>
      <c r="E23" s="254" t="s">
        <v>622</v>
      </c>
      <c r="F23" s="35" t="s">
        <v>621</v>
      </c>
      <c r="G23" s="10" t="s">
        <v>107</v>
      </c>
      <c r="H23" s="82" t="s">
        <v>143</v>
      </c>
      <c r="I23" s="92">
        <v>1</v>
      </c>
      <c r="J23" s="185">
        <v>0.25</v>
      </c>
      <c r="K23" s="185">
        <v>0.05</v>
      </c>
      <c r="L23" s="185">
        <v>0.1</v>
      </c>
      <c r="M23" s="185">
        <v>0.15</v>
      </c>
      <c r="N23" s="185">
        <v>0.25</v>
      </c>
      <c r="O23" s="10" t="s">
        <v>145</v>
      </c>
      <c r="P23" s="10" t="s">
        <v>430</v>
      </c>
      <c r="Q23" s="122" t="s">
        <v>431</v>
      </c>
    </row>
    <row r="24" spans="1:17" s="67" customFormat="1" ht="193.5" customHeight="1">
      <c r="A24" s="16">
        <v>16</v>
      </c>
      <c r="B24" s="123" t="s">
        <v>419</v>
      </c>
      <c r="C24" s="77">
        <v>40</v>
      </c>
      <c r="D24" s="119" t="s">
        <v>432</v>
      </c>
      <c r="E24" s="205" t="s">
        <v>623</v>
      </c>
      <c r="F24" s="46" t="s">
        <v>734</v>
      </c>
      <c r="G24" s="10" t="s">
        <v>107</v>
      </c>
      <c r="H24" s="87" t="s">
        <v>467</v>
      </c>
      <c r="I24" s="88">
        <v>1</v>
      </c>
      <c r="J24" s="185">
        <v>1</v>
      </c>
      <c r="K24" s="185">
        <v>0.2</v>
      </c>
      <c r="L24" s="185">
        <v>0.4</v>
      </c>
      <c r="M24" s="185">
        <v>0.60000000000000009</v>
      </c>
      <c r="N24" s="185">
        <v>1</v>
      </c>
      <c r="O24" s="10" t="s">
        <v>145</v>
      </c>
      <c r="P24" s="10" t="s">
        <v>433</v>
      </c>
      <c r="Q24" s="150" t="s">
        <v>434</v>
      </c>
    </row>
    <row r="25" spans="1:17" ht="42" customHeight="1">
      <c r="A25" s="17">
        <v>16</v>
      </c>
      <c r="B25" s="125" t="s">
        <v>419</v>
      </c>
      <c r="C25" s="56">
        <v>41</v>
      </c>
      <c r="D25" s="126" t="s">
        <v>435</v>
      </c>
      <c r="E25" s="210" t="s">
        <v>624</v>
      </c>
      <c r="F25" s="46" t="s">
        <v>436</v>
      </c>
      <c r="G25" s="10" t="s">
        <v>107</v>
      </c>
      <c r="H25" s="87">
        <v>0</v>
      </c>
      <c r="I25" s="87" t="s">
        <v>437</v>
      </c>
      <c r="J25" s="212" t="s">
        <v>437</v>
      </c>
      <c r="K25" s="10"/>
      <c r="L25" s="10"/>
      <c r="M25" s="10"/>
      <c r="N25" s="212" t="s">
        <v>437</v>
      </c>
      <c r="O25" s="10" t="s">
        <v>145</v>
      </c>
      <c r="P25" s="10" t="s">
        <v>438</v>
      </c>
      <c r="Q25" s="122" t="s">
        <v>439</v>
      </c>
    </row>
    <row r="26" spans="1:17" ht="57.75" customHeight="1">
      <c r="A26" s="145">
        <v>17</v>
      </c>
      <c r="B26" s="124" t="s">
        <v>440</v>
      </c>
      <c r="C26" s="77">
        <v>42</v>
      </c>
      <c r="D26" s="120" t="s">
        <v>441</v>
      </c>
      <c r="E26" s="256" t="s">
        <v>625</v>
      </c>
      <c r="F26" s="46" t="s">
        <v>442</v>
      </c>
      <c r="G26" s="10" t="s">
        <v>107</v>
      </c>
      <c r="H26" s="87" t="s">
        <v>143</v>
      </c>
      <c r="I26" s="88">
        <v>1</v>
      </c>
      <c r="J26" s="185">
        <v>1</v>
      </c>
      <c r="K26" s="185">
        <v>0</v>
      </c>
      <c r="L26" s="185">
        <v>1</v>
      </c>
      <c r="M26" s="185">
        <v>1</v>
      </c>
      <c r="N26" s="185">
        <v>1</v>
      </c>
      <c r="O26" s="10" t="s">
        <v>145</v>
      </c>
      <c r="P26" s="49">
        <v>1</v>
      </c>
      <c r="Q26" s="122" t="s">
        <v>443</v>
      </c>
    </row>
    <row r="27" spans="1:17" ht="80.25" customHeight="1">
      <c r="A27" s="17">
        <v>17</v>
      </c>
      <c r="B27" s="125" t="s">
        <v>440</v>
      </c>
      <c r="C27" s="141">
        <v>43</v>
      </c>
      <c r="D27" s="127" t="s">
        <v>444</v>
      </c>
      <c r="E27" s="223" t="s">
        <v>626</v>
      </c>
      <c r="F27" s="46" t="s">
        <v>445</v>
      </c>
      <c r="G27" s="10" t="s">
        <v>107</v>
      </c>
      <c r="H27" s="87" t="s">
        <v>143</v>
      </c>
      <c r="I27" s="46" t="s">
        <v>446</v>
      </c>
      <c r="J27" s="212" t="s">
        <v>437</v>
      </c>
      <c r="K27" s="212"/>
      <c r="L27" s="212"/>
      <c r="M27" s="212"/>
      <c r="N27" s="212" t="s">
        <v>437</v>
      </c>
      <c r="O27" s="10" t="s">
        <v>145</v>
      </c>
      <c r="P27" s="10" t="s">
        <v>447</v>
      </c>
      <c r="Q27" s="155"/>
    </row>
    <row r="28" spans="1:17" ht="76.5">
      <c r="A28" s="151">
        <v>18</v>
      </c>
      <c r="B28" s="169" t="s">
        <v>676</v>
      </c>
      <c r="C28" s="77">
        <v>44</v>
      </c>
      <c r="D28" s="128" t="s">
        <v>449</v>
      </c>
      <c r="E28" s="212" t="s">
        <v>628</v>
      </c>
      <c r="F28" s="258" t="s">
        <v>627</v>
      </c>
      <c r="G28" s="20" t="s">
        <v>107</v>
      </c>
      <c r="H28" s="182" t="s">
        <v>143</v>
      </c>
      <c r="I28" s="182">
        <v>1</v>
      </c>
      <c r="J28" s="20">
        <v>1</v>
      </c>
      <c r="K28" s="20">
        <v>1</v>
      </c>
      <c r="L28" s="20">
        <v>0</v>
      </c>
      <c r="M28" s="20">
        <v>0</v>
      </c>
      <c r="N28" s="20">
        <v>0</v>
      </c>
      <c r="O28" s="10"/>
      <c r="P28" s="10"/>
      <c r="Q28" s="120"/>
    </row>
    <row r="29" spans="1:17" ht="105" customHeight="1">
      <c r="A29" s="16">
        <v>18</v>
      </c>
      <c r="B29" s="162" t="s">
        <v>448</v>
      </c>
      <c r="C29" s="141">
        <v>45</v>
      </c>
      <c r="D29" s="128" t="s">
        <v>452</v>
      </c>
      <c r="E29" s="212" t="s">
        <v>629</v>
      </c>
      <c r="F29" s="258" t="s">
        <v>450</v>
      </c>
      <c r="G29" s="20" t="s">
        <v>107</v>
      </c>
      <c r="H29" s="182" t="s">
        <v>143</v>
      </c>
      <c r="I29" s="182" t="s">
        <v>451</v>
      </c>
      <c r="J29" s="20">
        <v>2</v>
      </c>
      <c r="K29" s="20">
        <v>0.5</v>
      </c>
      <c r="L29" s="20">
        <v>1</v>
      </c>
      <c r="M29" s="20">
        <v>1.5</v>
      </c>
      <c r="N29" s="20">
        <v>2</v>
      </c>
      <c r="O29" s="10"/>
      <c r="P29" s="10"/>
      <c r="Q29" s="120"/>
    </row>
    <row r="30" spans="1:17" ht="51">
      <c r="A30" s="16">
        <v>18</v>
      </c>
      <c r="B30" s="162" t="s">
        <v>448</v>
      </c>
      <c r="C30" s="77">
        <v>46</v>
      </c>
      <c r="D30" s="128" t="s">
        <v>453</v>
      </c>
      <c r="E30" s="212" t="s">
        <v>630</v>
      </c>
      <c r="F30" s="112" t="s">
        <v>454</v>
      </c>
      <c r="G30" s="20" t="s">
        <v>107</v>
      </c>
      <c r="H30" s="147" t="s">
        <v>143</v>
      </c>
      <c r="I30" s="147" t="s">
        <v>455</v>
      </c>
      <c r="J30" s="20">
        <v>0</v>
      </c>
      <c r="K30" s="20">
        <v>1</v>
      </c>
      <c r="L30" s="20">
        <v>1</v>
      </c>
      <c r="M30" s="20">
        <v>1</v>
      </c>
      <c r="N30" s="20">
        <v>1</v>
      </c>
      <c r="O30" s="10"/>
      <c r="P30" s="10"/>
      <c r="Q30" s="120"/>
    </row>
    <row r="31" spans="1:17" ht="76.5">
      <c r="A31" s="16">
        <v>18</v>
      </c>
      <c r="B31" s="162" t="s">
        <v>448</v>
      </c>
      <c r="C31" s="141">
        <v>47</v>
      </c>
      <c r="D31" s="128" t="s">
        <v>456</v>
      </c>
      <c r="E31" s="212" t="s">
        <v>631</v>
      </c>
      <c r="F31" s="112" t="s">
        <v>632</v>
      </c>
      <c r="G31" s="15" t="s">
        <v>107</v>
      </c>
      <c r="H31" s="259" t="s">
        <v>143</v>
      </c>
      <c r="I31" s="260">
        <v>0.7</v>
      </c>
      <c r="J31" s="249">
        <v>0.5</v>
      </c>
      <c r="K31" s="249">
        <v>0.2</v>
      </c>
      <c r="L31" s="249">
        <v>0.3</v>
      </c>
      <c r="M31" s="249">
        <v>0.4</v>
      </c>
      <c r="N31" s="249">
        <v>0.5</v>
      </c>
      <c r="O31" s="10"/>
      <c r="P31" s="10"/>
      <c r="Q31" s="120"/>
    </row>
    <row r="32" spans="1:17" ht="63.75">
      <c r="A32" s="16">
        <v>18</v>
      </c>
      <c r="B32" s="162" t="s">
        <v>448</v>
      </c>
      <c r="C32" s="77">
        <v>48</v>
      </c>
      <c r="D32" s="128" t="s">
        <v>457</v>
      </c>
      <c r="E32" s="212" t="s">
        <v>634</v>
      </c>
      <c r="F32" s="112" t="s">
        <v>633</v>
      </c>
      <c r="G32" s="75" t="s">
        <v>107</v>
      </c>
      <c r="H32" s="82" t="s">
        <v>143</v>
      </c>
      <c r="I32" s="82" t="s">
        <v>458</v>
      </c>
      <c r="J32" s="212">
        <v>2</v>
      </c>
      <c r="K32" s="212">
        <v>0.5</v>
      </c>
      <c r="L32" s="212">
        <v>1</v>
      </c>
      <c r="M32" s="212">
        <v>1.5</v>
      </c>
      <c r="N32" s="212">
        <v>2</v>
      </c>
      <c r="O32" s="10"/>
      <c r="P32" s="10"/>
      <c r="Q32" s="120"/>
    </row>
    <row r="33" spans="1:17" ht="51">
      <c r="A33" s="16">
        <v>18</v>
      </c>
      <c r="B33" s="162" t="s">
        <v>448</v>
      </c>
      <c r="C33" s="141">
        <v>49</v>
      </c>
      <c r="D33" s="128" t="s">
        <v>459</v>
      </c>
      <c r="E33" s="212" t="s">
        <v>635</v>
      </c>
      <c r="F33" s="112" t="s">
        <v>636</v>
      </c>
      <c r="G33" s="75" t="s">
        <v>107</v>
      </c>
      <c r="H33" s="82" t="s">
        <v>143</v>
      </c>
      <c r="I33" s="82" t="s">
        <v>458</v>
      </c>
      <c r="J33" s="212">
        <v>2</v>
      </c>
      <c r="K33" s="212">
        <v>0</v>
      </c>
      <c r="L33" s="212">
        <v>2</v>
      </c>
      <c r="M33" s="212">
        <v>0</v>
      </c>
      <c r="N33" s="212">
        <v>0</v>
      </c>
      <c r="O33" s="10"/>
      <c r="P33" s="10"/>
      <c r="Q33" s="120"/>
    </row>
    <row r="34" spans="1:17" ht="51">
      <c r="A34" s="17">
        <v>18</v>
      </c>
      <c r="B34" s="163" t="s">
        <v>448</v>
      </c>
      <c r="C34" s="77">
        <v>50</v>
      </c>
      <c r="D34" s="128" t="s">
        <v>460</v>
      </c>
      <c r="E34" s="212" t="s">
        <v>638</v>
      </c>
      <c r="F34" s="112" t="s">
        <v>637</v>
      </c>
      <c r="G34" s="75" t="s">
        <v>107</v>
      </c>
      <c r="H34" s="82" t="s">
        <v>143</v>
      </c>
      <c r="I34" s="82" t="s">
        <v>458</v>
      </c>
      <c r="J34" s="212">
        <v>2</v>
      </c>
      <c r="K34" s="212">
        <v>2</v>
      </c>
      <c r="L34" s="212">
        <v>2</v>
      </c>
      <c r="M34" s="212">
        <v>2</v>
      </c>
      <c r="N34" s="212">
        <v>2</v>
      </c>
      <c r="O34" s="10"/>
      <c r="P34" s="10"/>
      <c r="Q34" s="120"/>
    </row>
  </sheetData>
  <autoFilter ref="A3:Q34" xr:uid="{00000000-0009-0000-0000-000004000000}"/>
  <mergeCells count="1">
    <mergeCell ref="Q20:Q22"/>
  </mergeCells>
  <conditionalFormatting sqref="O11:P12 O15:O16 O4:P8 O17:P18 O14:P14 O20:P27">
    <cfRule type="cellIs" dxfId="70" priority="30" operator="equal">
      <formula>""</formula>
    </cfRule>
  </conditionalFormatting>
  <conditionalFormatting sqref="O10:P10">
    <cfRule type="cellIs" dxfId="69" priority="29" operator="equal">
      <formula>""</formula>
    </cfRule>
  </conditionalFormatting>
  <conditionalFormatting sqref="O13">
    <cfRule type="cellIs" dxfId="68" priority="26" operator="equal">
      <formula>""</formula>
    </cfRule>
  </conditionalFormatting>
  <conditionalFormatting sqref="P13">
    <cfRule type="cellIs" dxfId="67" priority="25" operator="equal">
      <formula>""</formula>
    </cfRule>
  </conditionalFormatting>
  <conditionalFormatting sqref="P15:P16">
    <cfRule type="cellIs" dxfId="66" priority="19" operator="equal">
      <formula>""</formula>
    </cfRule>
  </conditionalFormatting>
  <conditionalFormatting sqref="I15:I16">
    <cfRule type="cellIs" dxfId="65" priority="5" operator="equal">
      <formula>""</formula>
    </cfRule>
  </conditionalFormatting>
  <conditionalFormatting sqref="O9:P9">
    <cfRule type="cellIs" dxfId="64" priority="4" operator="equal">
      <formula>""</formula>
    </cfRule>
  </conditionalFormatting>
  <conditionalFormatting sqref="I13">
    <cfRule type="cellIs" dxfId="63" priority="2" operator="equal">
      <formula>""</formula>
    </cfRule>
  </conditionalFormatting>
  <conditionalFormatting sqref="O19:P19">
    <cfRule type="cellIs" dxfId="62" priority="1" operator="equal">
      <formula>""</formula>
    </cfRule>
  </conditionalFormatting>
  <printOptions horizontalCentered="1"/>
  <pageMargins left="0.19685039370078741" right="0.19685039370078741" top="0.59055118110236227" bottom="0.59055118110236227" header="0.19685039370078741" footer="0.19685039370078741"/>
  <pageSetup scale="59" fitToHeight="0" orientation="landscape" horizontalDpi="4294967294" verticalDpi="4294967294" r:id="rId1"/>
  <headerFooter>
    <oddHeader>&amp;CPGAR 2020-2031</oddHeader>
    <oddFooter>&amp;LPágina &amp;P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tabColor rgb="FF00CC66"/>
    <pageSetUpPr fitToPage="1"/>
  </sheetPr>
  <dimension ref="A1:AX155"/>
  <sheetViews>
    <sheetView showGridLines="0" zoomScaleNormal="100" workbookViewId="0">
      <pane xSplit="3" ySplit="1" topLeftCell="E38" activePane="bottomRight" state="frozen"/>
      <selection activeCell="C7" sqref="C7"/>
      <selection pane="topRight" activeCell="C7" sqref="C7"/>
      <selection pane="bottomLeft" activeCell="C7" sqref="C7"/>
      <selection pane="bottomRight" activeCell="H29" sqref="H29"/>
    </sheetView>
  </sheetViews>
  <sheetFormatPr baseColWidth="10" defaultColWidth="10" defaultRowHeight="15" outlineLevelCol="1"/>
  <cols>
    <col min="1" max="1" width="17.875" style="338" customWidth="1"/>
    <col min="2" max="2" width="16" style="338" customWidth="1"/>
    <col min="3" max="3" width="5.125" style="338" customWidth="1"/>
    <col min="4" max="4" width="24.875" style="665" customWidth="1"/>
    <col min="5" max="5" width="5.125" style="666" customWidth="1"/>
    <col min="6" max="6" width="33" style="665" customWidth="1"/>
    <col min="7" max="7" width="33" style="338" hidden="1" customWidth="1"/>
    <col min="8" max="8" width="26.5" style="665" customWidth="1"/>
    <col min="9" max="9" width="15.625" style="667" customWidth="1"/>
    <col min="10" max="10" width="8.875" style="683" customWidth="1"/>
    <col min="11" max="11" width="26.375" style="667" customWidth="1"/>
    <col min="12" max="12" width="14.875" style="665" customWidth="1" outlineLevel="1"/>
    <col min="13" max="16" width="10" style="665" customWidth="1" outlineLevel="1"/>
    <col min="17" max="19" width="19" style="668" customWidth="1"/>
    <col min="20" max="20" width="26.125" style="668" customWidth="1"/>
    <col min="21" max="21" width="15.625" style="668" customWidth="1"/>
    <col min="22" max="22" width="11.5" style="668" customWidth="1"/>
    <col min="23" max="24" width="17.875" style="338" customWidth="1"/>
    <col min="25" max="25" width="21" style="665" customWidth="1"/>
    <col min="26" max="29" width="17.875" style="665" customWidth="1" outlineLevel="1"/>
    <col min="30" max="30" width="41.5" style="686" customWidth="1"/>
    <col min="31" max="31" width="11.375" style="665" customWidth="1"/>
    <col min="32" max="32" width="16.75" style="338" customWidth="1"/>
    <col min="33" max="33" width="16.125" style="682" customWidth="1" outlineLevel="1"/>
    <col min="34" max="36" width="16.125" style="338" customWidth="1" outlineLevel="1"/>
    <col min="37" max="37" width="17.875" style="338" customWidth="1"/>
    <col min="38" max="38" width="14.875" style="338" customWidth="1" outlineLevel="1"/>
    <col min="39" max="39" width="15" style="338" customWidth="1" outlineLevel="1"/>
    <col min="40" max="40" width="15.625" style="338" customWidth="1" outlineLevel="1"/>
    <col min="41" max="41" width="15" style="338" customWidth="1" outlineLevel="1"/>
    <col min="42" max="43" width="17.875" style="338" customWidth="1"/>
    <col min="44" max="44" width="13.375" style="338" customWidth="1"/>
    <col min="45" max="45" width="13" style="338" customWidth="1" outlineLevel="1"/>
    <col min="46" max="46" width="13.25" style="338" customWidth="1" outlineLevel="1"/>
    <col min="47" max="47" width="13.375" style="338" customWidth="1" outlineLevel="1"/>
    <col min="48" max="48" width="13.875" style="338" customWidth="1" outlineLevel="1"/>
    <col min="49" max="49" width="9.875" style="338" customWidth="1"/>
    <col min="50" max="50" width="18.625" style="338" customWidth="1"/>
    <col min="51" max="16384" width="10" style="338"/>
  </cols>
  <sheetData>
    <row r="1" spans="1:50" ht="45.75" thickBot="1">
      <c r="A1" s="320" t="s">
        <v>786</v>
      </c>
      <c r="B1" s="321" t="s">
        <v>787</v>
      </c>
      <c r="C1" s="322" t="s">
        <v>788</v>
      </c>
      <c r="D1" s="322" t="s">
        <v>789</v>
      </c>
      <c r="E1" s="323" t="s">
        <v>788</v>
      </c>
      <c r="F1" s="322" t="s">
        <v>753</v>
      </c>
      <c r="G1" s="697" t="s">
        <v>1567</v>
      </c>
      <c r="H1" s="322" t="s">
        <v>1708</v>
      </c>
      <c r="I1" s="324" t="s">
        <v>790</v>
      </c>
      <c r="J1" s="325" t="s">
        <v>791</v>
      </c>
      <c r="K1" s="326" t="s">
        <v>92</v>
      </c>
      <c r="L1" s="322" t="s">
        <v>758</v>
      </c>
      <c r="M1" s="322" t="s">
        <v>472</v>
      </c>
      <c r="N1" s="322" t="s">
        <v>473</v>
      </c>
      <c r="O1" s="322" t="s">
        <v>474</v>
      </c>
      <c r="P1" s="322" t="s">
        <v>475</v>
      </c>
      <c r="Q1" s="846" t="s">
        <v>792</v>
      </c>
      <c r="R1" s="868" t="s">
        <v>1782</v>
      </c>
      <c r="S1" s="847" t="s">
        <v>1783</v>
      </c>
      <c r="T1" s="328" t="s">
        <v>801</v>
      </c>
      <c r="U1" s="324" t="s">
        <v>802</v>
      </c>
      <c r="V1" s="917" t="s">
        <v>803</v>
      </c>
      <c r="W1" s="335" t="s">
        <v>793</v>
      </c>
      <c r="X1" s="327" t="s">
        <v>794</v>
      </c>
      <c r="Y1" s="327" t="s">
        <v>795</v>
      </c>
      <c r="Z1" s="327" t="s">
        <v>796</v>
      </c>
      <c r="AA1" s="327" t="s">
        <v>797</v>
      </c>
      <c r="AB1" s="327" t="s">
        <v>798</v>
      </c>
      <c r="AC1" s="336" t="s">
        <v>799</v>
      </c>
      <c r="AD1" s="928" t="s">
        <v>800</v>
      </c>
      <c r="AE1" s="329" t="s">
        <v>804</v>
      </c>
      <c r="AF1" s="330" t="s">
        <v>805</v>
      </c>
      <c r="AG1" s="331" t="s">
        <v>806</v>
      </c>
      <c r="AH1" s="331" t="s">
        <v>807</v>
      </c>
      <c r="AI1" s="331" t="s">
        <v>808</v>
      </c>
      <c r="AJ1" s="332" t="s">
        <v>809</v>
      </c>
      <c r="AK1" s="333" t="s">
        <v>810</v>
      </c>
      <c r="AL1" s="334" t="s">
        <v>811</v>
      </c>
      <c r="AM1" s="334" t="s">
        <v>812</v>
      </c>
      <c r="AN1" s="334" t="s">
        <v>813</v>
      </c>
      <c r="AO1" s="916" t="s">
        <v>814</v>
      </c>
      <c r="AP1" s="899" t="s">
        <v>815</v>
      </c>
      <c r="AQ1" s="327" t="s">
        <v>816</v>
      </c>
      <c r="AR1" s="335" t="s">
        <v>817</v>
      </c>
      <c r="AS1" s="327" t="s">
        <v>818</v>
      </c>
      <c r="AT1" s="327" t="s">
        <v>819</v>
      </c>
      <c r="AU1" s="327" t="s">
        <v>820</v>
      </c>
      <c r="AV1" s="336" t="s">
        <v>821</v>
      </c>
      <c r="AW1" s="337" t="s">
        <v>822</v>
      </c>
      <c r="AX1" s="881" t="s">
        <v>823</v>
      </c>
    </row>
    <row r="2" spans="1:50" ht="90">
      <c r="A2" s="339" t="s">
        <v>1502</v>
      </c>
      <c r="B2" s="340" t="s">
        <v>1491</v>
      </c>
      <c r="C2" s="341">
        <v>1.1000000000000001</v>
      </c>
      <c r="D2" s="342" t="s">
        <v>824</v>
      </c>
      <c r="E2" s="343" t="s">
        <v>825</v>
      </c>
      <c r="F2" s="342" t="s">
        <v>826</v>
      </c>
      <c r="G2" s="696" t="str">
        <f t="shared" ref="G2:G33" si="0">CONCATENATE(E2," ",F2)</f>
        <v>1.1.1 Definición e implementación del modelo de administración de las áreas protegidas y otras estrategias complementarias, con enfoque diferencial</v>
      </c>
      <c r="H2" s="344" t="s">
        <v>827</v>
      </c>
      <c r="I2" s="345" t="s">
        <v>828</v>
      </c>
      <c r="J2" s="346" t="s">
        <v>437</v>
      </c>
      <c r="K2" s="347" t="s">
        <v>829</v>
      </c>
      <c r="L2" s="347">
        <v>1</v>
      </c>
      <c r="M2" s="347">
        <v>0.5</v>
      </c>
      <c r="N2" s="347">
        <v>0.7</v>
      </c>
      <c r="O2" s="347">
        <v>0.9</v>
      </c>
      <c r="P2" s="347">
        <v>1</v>
      </c>
      <c r="Q2" s="348" t="s">
        <v>830</v>
      </c>
      <c r="R2" s="857" t="s">
        <v>1805</v>
      </c>
      <c r="S2" s="858" t="s">
        <v>1787</v>
      </c>
      <c r="T2" s="848" t="s">
        <v>832</v>
      </c>
      <c r="U2" s="352" t="s">
        <v>833</v>
      </c>
      <c r="V2" s="918"/>
      <c r="W2" s="940">
        <f>SUM(X2:X16)</f>
        <v>26875304072.749001</v>
      </c>
      <c r="X2" s="349">
        <f>Y2</f>
        <v>0</v>
      </c>
      <c r="Y2" s="350">
        <f>SUM(Z2:AC2)</f>
        <v>0</v>
      </c>
      <c r="Z2" s="350">
        <v>0</v>
      </c>
      <c r="AA2" s="350">
        <v>0</v>
      </c>
      <c r="AB2" s="350">
        <v>0</v>
      </c>
      <c r="AC2" s="941">
        <v>0</v>
      </c>
      <c r="AD2" s="929" t="s">
        <v>831</v>
      </c>
      <c r="AE2" s="353"/>
      <c r="AF2" s="354">
        <f>SUM(AG2:AJ2)</f>
        <v>1448441637.3019481</v>
      </c>
      <c r="AG2" s="355">
        <f>98247901.684369+232853533.802071</f>
        <v>331101435.48644</v>
      </c>
      <c r="AH2" s="355">
        <f>IFERROR(AG2*1.06,AG2)</f>
        <v>350967521.61562639</v>
      </c>
      <c r="AI2" s="355">
        <f>IFERROR(AH2*1.06,AH2)</f>
        <v>372025572.91256398</v>
      </c>
      <c r="AJ2" s="356">
        <f>IFERROR(AI2*1.06,AI2)</f>
        <v>394347107.28731781</v>
      </c>
      <c r="AK2" s="354">
        <f>+SUM(AL2:AO2)</f>
        <v>727425000</v>
      </c>
      <c r="AL2" s="355">
        <v>100000000</v>
      </c>
      <c r="AM2" s="355">
        <v>170000000</v>
      </c>
      <c r="AN2" s="355">
        <v>208500000</v>
      </c>
      <c r="AO2" s="356">
        <v>248925000</v>
      </c>
      <c r="AP2" s="900">
        <f>SUM(AQ2:AQ16)</f>
        <v>30262877537.016155</v>
      </c>
      <c r="AQ2" s="349">
        <f>AR2</f>
        <v>1448441637.3019481</v>
      </c>
      <c r="AR2" s="357">
        <f t="shared" ref="AR2:AR33" si="1">Y2+AF2</f>
        <v>1448441637.3019481</v>
      </c>
      <c r="AS2" s="358">
        <f t="shared" ref="AS2:AS33" si="2">IFERROR(Z2+AG2,0)</f>
        <v>331101435.48644</v>
      </c>
      <c r="AT2" s="358">
        <f t="shared" ref="AT2:AT33" si="3">IFERROR(AA2+AH2,0)</f>
        <v>350967521.61562639</v>
      </c>
      <c r="AU2" s="358">
        <f t="shared" ref="AU2:AU33" si="4">IFERROR(AB2+AI2,0)</f>
        <v>372025572.91256398</v>
      </c>
      <c r="AV2" s="359">
        <f t="shared" ref="AV2:AV33" si="5">IFERROR(AC2+AJ2,0)</f>
        <v>394347107.28731781</v>
      </c>
      <c r="AW2" s="359"/>
      <c r="AX2" s="882" t="s">
        <v>830</v>
      </c>
    </row>
    <row r="3" spans="1:50" ht="45">
      <c r="A3" s="360" t="s">
        <v>1502</v>
      </c>
      <c r="B3" s="361" t="s">
        <v>1491</v>
      </c>
      <c r="C3" s="341">
        <v>1.2</v>
      </c>
      <c r="D3" s="342" t="s">
        <v>834</v>
      </c>
      <c r="E3" s="343" t="s">
        <v>835</v>
      </c>
      <c r="F3" s="344" t="s">
        <v>1524</v>
      </c>
      <c r="G3" s="696" t="str">
        <f t="shared" si="0"/>
        <v>1.2.1 Declaración, homologación o recategorización de áreas protegidas regionales inscritas en el RUNAP</v>
      </c>
      <c r="H3" s="344" t="s">
        <v>1508</v>
      </c>
      <c r="I3" s="345" t="s">
        <v>836</v>
      </c>
      <c r="J3" s="344" t="s">
        <v>837</v>
      </c>
      <c r="K3" s="345" t="s">
        <v>838</v>
      </c>
      <c r="L3" s="348">
        <f>SUM(M3:P3)</f>
        <v>145300</v>
      </c>
      <c r="M3" s="348">
        <v>5300</v>
      </c>
      <c r="N3" s="348">
        <v>70000</v>
      </c>
      <c r="O3" s="348">
        <v>70000</v>
      </c>
      <c r="P3" s="348">
        <v>0</v>
      </c>
      <c r="Q3" s="348" t="s">
        <v>839</v>
      </c>
      <c r="R3" s="860" t="s">
        <v>1805</v>
      </c>
      <c r="S3" s="351" t="s">
        <v>1787</v>
      </c>
      <c r="T3" s="848" t="s">
        <v>832</v>
      </c>
      <c r="U3" s="352"/>
      <c r="V3" s="918"/>
      <c r="W3" s="942"/>
      <c r="X3" s="362">
        <f>SUM(Y3:Y6)</f>
        <v>6837318424.7900009</v>
      </c>
      <c r="Y3" s="350">
        <f t="shared" ref="Y3:Y67" si="6">SUM(Z3:AC3)</f>
        <v>238091077.28</v>
      </c>
      <c r="Z3" s="363">
        <f>234091077.28+4000000</f>
        <v>238091077.28</v>
      </c>
      <c r="AA3" s="363">
        <v>0</v>
      </c>
      <c r="AB3" s="363">
        <v>0</v>
      </c>
      <c r="AC3" s="943">
        <f t="shared" ref="AC3" si="7">AB3*4%+AB3</f>
        <v>0</v>
      </c>
      <c r="AD3" s="381"/>
      <c r="AE3" s="353"/>
      <c r="AF3" s="354">
        <f t="shared" ref="AF3:AF66" si="8">SUM(AG3:AJ3)</f>
        <v>642052340.4462837</v>
      </c>
      <c r="AG3" s="355">
        <f>98247901.684369+48519801</f>
        <v>146767702.684369</v>
      </c>
      <c r="AH3" s="355">
        <f t="shared" ref="AH3:AJ34" si="9">IFERROR(AG3*1.06,AG3)</f>
        <v>155573764.84543115</v>
      </c>
      <c r="AI3" s="355">
        <f t="shared" si="9"/>
        <v>164908190.73615703</v>
      </c>
      <c r="AJ3" s="356">
        <f t="shared" si="9"/>
        <v>174802682.18032646</v>
      </c>
      <c r="AK3" s="354">
        <f t="shared" ref="AK3:AK66" si="10">+SUM(AL3:AO3)</f>
        <v>15908922.720000001</v>
      </c>
      <c r="AL3" s="355">
        <v>15908922.720000001</v>
      </c>
      <c r="AM3" s="355"/>
      <c r="AN3" s="355"/>
      <c r="AO3" s="356"/>
      <c r="AP3" s="901"/>
      <c r="AQ3" s="362">
        <f>SUM(AR3:AR6)</f>
        <v>8236765490.4406881</v>
      </c>
      <c r="AR3" s="357">
        <f t="shared" si="1"/>
        <v>880143417.72628367</v>
      </c>
      <c r="AS3" s="358">
        <f t="shared" si="2"/>
        <v>384858779.964369</v>
      </c>
      <c r="AT3" s="358">
        <f t="shared" si="3"/>
        <v>155573764.84543115</v>
      </c>
      <c r="AU3" s="358">
        <f t="shared" si="4"/>
        <v>164908190.73615703</v>
      </c>
      <c r="AV3" s="359">
        <f t="shared" si="5"/>
        <v>174802682.18032646</v>
      </c>
      <c r="AW3" s="359"/>
      <c r="AX3" s="882" t="s">
        <v>840</v>
      </c>
    </row>
    <row r="4" spans="1:50" ht="60">
      <c r="A4" s="360" t="s">
        <v>1502</v>
      </c>
      <c r="B4" s="361" t="s">
        <v>1491</v>
      </c>
      <c r="C4" s="364">
        <v>1.2</v>
      </c>
      <c r="D4" s="365" t="s">
        <v>834</v>
      </c>
      <c r="E4" s="343" t="s">
        <v>841</v>
      </c>
      <c r="F4" s="344" t="s">
        <v>1525</v>
      </c>
      <c r="G4" s="696" t="str">
        <f t="shared" si="0"/>
        <v>1.2.2 Actualización de plan de manejo de áreas protegidas</v>
      </c>
      <c r="H4" s="344" t="s">
        <v>842</v>
      </c>
      <c r="I4" s="345" t="s">
        <v>828</v>
      </c>
      <c r="J4" s="344" t="s">
        <v>437</v>
      </c>
      <c r="K4" s="366" t="s">
        <v>843</v>
      </c>
      <c r="L4" s="367">
        <f>+P4</f>
        <v>1</v>
      </c>
      <c r="M4" s="367">
        <f>(13/20)</f>
        <v>0.65</v>
      </c>
      <c r="N4" s="367">
        <f>M4+ ((4)/20)</f>
        <v>0.85000000000000009</v>
      </c>
      <c r="O4" s="367">
        <f>N4+ (2/20)</f>
        <v>0.95000000000000007</v>
      </c>
      <c r="P4" s="367">
        <f>O4+(1/20)</f>
        <v>1</v>
      </c>
      <c r="Q4" s="368" t="s">
        <v>830</v>
      </c>
      <c r="R4" s="859" t="s">
        <v>1805</v>
      </c>
      <c r="S4" s="351" t="s">
        <v>1785</v>
      </c>
      <c r="T4" s="848" t="s">
        <v>832</v>
      </c>
      <c r="U4" s="352"/>
      <c r="V4" s="918"/>
      <c r="W4" s="942"/>
      <c r="X4" s="362"/>
      <c r="Y4" s="350">
        <f t="shared" si="6"/>
        <v>3211366118</v>
      </c>
      <c r="Z4" s="363">
        <f>600000000+10980000+8636118+59950000+31800000</f>
        <v>711366118</v>
      </c>
      <c r="AA4" s="363">
        <v>300000000</v>
      </c>
      <c r="AB4" s="363">
        <v>1000000000</v>
      </c>
      <c r="AC4" s="943">
        <v>1200000000</v>
      </c>
      <c r="AD4" s="381"/>
      <c r="AE4" s="353"/>
      <c r="AF4" s="354">
        <f t="shared" si="8"/>
        <v>757394725.20440388</v>
      </c>
      <c r="AG4" s="355">
        <f>113812824.55012+59321166</f>
        <v>173133990.55012</v>
      </c>
      <c r="AH4" s="355">
        <f t="shared" si="9"/>
        <v>183522029.98312721</v>
      </c>
      <c r="AI4" s="355">
        <f t="shared" si="9"/>
        <v>194533351.78211486</v>
      </c>
      <c r="AJ4" s="356">
        <f t="shared" si="9"/>
        <v>206205352.88904175</v>
      </c>
      <c r="AK4" s="354">
        <f t="shared" si="10"/>
        <v>100000000</v>
      </c>
      <c r="AL4" s="355">
        <v>100000000</v>
      </c>
      <c r="AM4" s="355"/>
      <c r="AN4" s="355"/>
      <c r="AO4" s="356"/>
      <c r="AP4" s="901"/>
      <c r="AQ4" s="362"/>
      <c r="AR4" s="357">
        <f t="shared" si="1"/>
        <v>3968760843.2044039</v>
      </c>
      <c r="AS4" s="358">
        <f t="shared" si="2"/>
        <v>884500108.55012</v>
      </c>
      <c r="AT4" s="358">
        <f t="shared" si="3"/>
        <v>483522029.98312724</v>
      </c>
      <c r="AU4" s="358">
        <f t="shared" si="4"/>
        <v>1194533351.782115</v>
      </c>
      <c r="AV4" s="359">
        <f t="shared" si="5"/>
        <v>1406205352.8890417</v>
      </c>
      <c r="AW4" s="359"/>
      <c r="AX4" s="883" t="s">
        <v>830</v>
      </c>
    </row>
    <row r="5" spans="1:50" ht="120">
      <c r="A5" s="360" t="s">
        <v>1502</v>
      </c>
      <c r="B5" s="361" t="s">
        <v>1491</v>
      </c>
      <c r="C5" s="364">
        <v>1.2</v>
      </c>
      <c r="D5" s="365" t="s">
        <v>834</v>
      </c>
      <c r="E5" s="343" t="s">
        <v>844</v>
      </c>
      <c r="F5" s="344" t="s">
        <v>1526</v>
      </c>
      <c r="G5" s="696" t="str">
        <f t="shared" si="0"/>
        <v>1.2.3 Identificación y priorización de áreas susceptibles a protección ambiental en territorios étnicos</v>
      </c>
      <c r="H5" s="344" t="s">
        <v>1527</v>
      </c>
      <c r="I5" s="345" t="s">
        <v>836</v>
      </c>
      <c r="J5" s="344" t="s">
        <v>845</v>
      </c>
      <c r="K5" s="345" t="s">
        <v>846</v>
      </c>
      <c r="L5" s="369">
        <f>+P5</f>
        <v>0.13</v>
      </c>
      <c r="M5" s="369">
        <v>0</v>
      </c>
      <c r="N5" s="369">
        <v>0</v>
      </c>
      <c r="O5" s="370">
        <v>6.5000000000000002E-2</v>
      </c>
      <c r="P5" s="370">
        <v>0.13</v>
      </c>
      <c r="Q5" s="368" t="s">
        <v>847</v>
      </c>
      <c r="R5" s="860" t="s">
        <v>1805</v>
      </c>
      <c r="S5" s="351" t="s">
        <v>1785</v>
      </c>
      <c r="T5" s="848" t="s">
        <v>832</v>
      </c>
      <c r="U5" s="352" t="s">
        <v>849</v>
      </c>
      <c r="V5" s="918" t="s">
        <v>850</v>
      </c>
      <c r="W5" s="942"/>
      <c r="X5" s="362"/>
      <c r="Y5" s="350">
        <f t="shared" si="6"/>
        <v>1155060000</v>
      </c>
      <c r="Z5" s="363">
        <f>250000000+5060000</f>
        <v>255060000</v>
      </c>
      <c r="AA5" s="363">
        <v>300000000</v>
      </c>
      <c r="AB5" s="363">
        <v>300000000</v>
      </c>
      <c r="AC5" s="943">
        <v>300000000</v>
      </c>
      <c r="AD5" s="381" t="s">
        <v>848</v>
      </c>
      <c r="AE5" s="353"/>
      <c r="AF5" s="354">
        <f t="shared" si="8"/>
        <v>0</v>
      </c>
      <c r="AG5" s="355"/>
      <c r="AH5" s="355">
        <f t="shared" si="9"/>
        <v>0</v>
      </c>
      <c r="AI5" s="355">
        <f t="shared" si="9"/>
        <v>0</v>
      </c>
      <c r="AJ5" s="356">
        <f t="shared" si="9"/>
        <v>0</v>
      </c>
      <c r="AK5" s="354">
        <f t="shared" si="10"/>
        <v>1250000000</v>
      </c>
      <c r="AL5" s="355">
        <v>350000000</v>
      </c>
      <c r="AM5" s="355">
        <v>300000000</v>
      </c>
      <c r="AN5" s="355">
        <v>300000000</v>
      </c>
      <c r="AO5" s="356">
        <v>300000000</v>
      </c>
      <c r="AP5" s="901"/>
      <c r="AQ5" s="362"/>
      <c r="AR5" s="357">
        <f t="shared" si="1"/>
        <v>1155060000</v>
      </c>
      <c r="AS5" s="358">
        <f t="shared" si="2"/>
        <v>255060000</v>
      </c>
      <c r="AT5" s="358">
        <f t="shared" si="3"/>
        <v>300000000</v>
      </c>
      <c r="AU5" s="358">
        <f t="shared" si="4"/>
        <v>300000000</v>
      </c>
      <c r="AV5" s="359">
        <f t="shared" si="5"/>
        <v>300000000</v>
      </c>
      <c r="AW5" s="359"/>
      <c r="AX5" s="883" t="s">
        <v>847</v>
      </c>
    </row>
    <row r="6" spans="1:50" ht="72">
      <c r="A6" s="360" t="s">
        <v>1502</v>
      </c>
      <c r="B6" s="361" t="s">
        <v>1491</v>
      </c>
      <c r="C6" s="364">
        <v>1.2</v>
      </c>
      <c r="D6" s="365" t="s">
        <v>834</v>
      </c>
      <c r="E6" s="343" t="s">
        <v>851</v>
      </c>
      <c r="F6" s="344" t="s">
        <v>1528</v>
      </c>
      <c r="G6" s="696" t="str">
        <f t="shared" si="0"/>
        <v>1.2.4 Implementación de acciones de manejo en áreas identificadas y priorizadas para la protección ambiental en territorios étnicos</v>
      </c>
      <c r="H6" s="344" t="s">
        <v>1509</v>
      </c>
      <c r="I6" s="345" t="s">
        <v>836</v>
      </c>
      <c r="J6" s="344" t="s">
        <v>837</v>
      </c>
      <c r="K6" s="345" t="s">
        <v>846</v>
      </c>
      <c r="L6" s="369">
        <f>+P6</f>
        <v>0.13</v>
      </c>
      <c r="M6" s="369">
        <v>0</v>
      </c>
      <c r="N6" s="369">
        <v>0</v>
      </c>
      <c r="O6" s="370">
        <v>6.5000000000000002E-2</v>
      </c>
      <c r="P6" s="370">
        <f>+O6+6.5%</f>
        <v>0.13</v>
      </c>
      <c r="Q6" s="368" t="s">
        <v>847</v>
      </c>
      <c r="R6" s="860" t="s">
        <v>1805</v>
      </c>
      <c r="S6" s="386" t="s">
        <v>1787</v>
      </c>
      <c r="T6" s="848" t="s">
        <v>832</v>
      </c>
      <c r="U6" s="352" t="s">
        <v>853</v>
      </c>
      <c r="V6" s="918" t="s">
        <v>854</v>
      </c>
      <c r="W6" s="942"/>
      <c r="X6" s="371"/>
      <c r="Y6" s="350">
        <f t="shared" si="6"/>
        <v>2232801229.5100002</v>
      </c>
      <c r="Z6" s="363">
        <f>477801229.51+5000000</f>
        <v>482801229.50999999</v>
      </c>
      <c r="AA6" s="363">
        <v>500000000</v>
      </c>
      <c r="AB6" s="363">
        <v>600000000</v>
      </c>
      <c r="AC6" s="943">
        <v>650000000</v>
      </c>
      <c r="AD6" s="381" t="s">
        <v>852</v>
      </c>
      <c r="AE6" s="353"/>
      <c r="AF6" s="354">
        <f t="shared" si="8"/>
        <v>0</v>
      </c>
      <c r="AG6" s="355"/>
      <c r="AH6" s="355">
        <f t="shared" si="9"/>
        <v>0</v>
      </c>
      <c r="AI6" s="355">
        <f t="shared" si="9"/>
        <v>0</v>
      </c>
      <c r="AJ6" s="356">
        <f t="shared" si="9"/>
        <v>0</v>
      </c>
      <c r="AK6" s="354">
        <f t="shared" si="10"/>
        <v>2250000000</v>
      </c>
      <c r="AL6" s="355">
        <v>500000000</v>
      </c>
      <c r="AM6" s="355">
        <v>500000000</v>
      </c>
      <c r="AN6" s="355">
        <v>600000000</v>
      </c>
      <c r="AO6" s="356">
        <v>650000000</v>
      </c>
      <c r="AP6" s="901"/>
      <c r="AQ6" s="371"/>
      <c r="AR6" s="357">
        <f t="shared" si="1"/>
        <v>2232801229.5100002</v>
      </c>
      <c r="AS6" s="358">
        <f t="shared" si="2"/>
        <v>482801229.50999999</v>
      </c>
      <c r="AT6" s="358">
        <f t="shared" si="3"/>
        <v>500000000</v>
      </c>
      <c r="AU6" s="358">
        <f t="shared" si="4"/>
        <v>600000000</v>
      </c>
      <c r="AV6" s="359">
        <f t="shared" si="5"/>
        <v>650000000</v>
      </c>
      <c r="AW6" s="359"/>
      <c r="AX6" s="883" t="s">
        <v>847</v>
      </c>
    </row>
    <row r="7" spans="1:50" ht="90">
      <c r="A7" s="360" t="s">
        <v>1502</v>
      </c>
      <c r="B7" s="361" t="s">
        <v>1491</v>
      </c>
      <c r="C7" s="341">
        <v>1.3</v>
      </c>
      <c r="D7" s="372" t="s">
        <v>855</v>
      </c>
      <c r="E7" s="343" t="s">
        <v>856</v>
      </c>
      <c r="F7" s="373" t="s">
        <v>857</v>
      </c>
      <c r="G7" s="696" t="str">
        <f t="shared" si="0"/>
        <v>1.3.1 Ejecución de planes de manejo en áreas protegidas</v>
      </c>
      <c r="H7" s="344" t="s">
        <v>858</v>
      </c>
      <c r="I7" s="345" t="s">
        <v>836</v>
      </c>
      <c r="J7" s="344" t="s">
        <v>437</v>
      </c>
      <c r="K7" s="345" t="s">
        <v>859</v>
      </c>
      <c r="L7" s="374">
        <v>0.95</v>
      </c>
      <c r="M7" s="374">
        <v>0.70588235294117652</v>
      </c>
      <c r="N7" s="374">
        <v>0.83333333333333337</v>
      </c>
      <c r="O7" s="374">
        <v>0.89473684210526316</v>
      </c>
      <c r="P7" s="374">
        <v>0.95</v>
      </c>
      <c r="Q7" s="348" t="s">
        <v>127</v>
      </c>
      <c r="R7" s="859" t="s">
        <v>1805</v>
      </c>
      <c r="S7" s="386" t="s">
        <v>1787</v>
      </c>
      <c r="T7" s="848" t="s">
        <v>832</v>
      </c>
      <c r="U7" s="352"/>
      <c r="V7" s="918"/>
      <c r="W7" s="942"/>
      <c r="X7" s="375">
        <f>SUM(Y7:Y12)</f>
        <v>14918833664.389999</v>
      </c>
      <c r="Y7" s="350">
        <f>SUM(Z7:AC7)</f>
        <v>0</v>
      </c>
      <c r="Z7" s="363">
        <v>0</v>
      </c>
      <c r="AA7" s="363">
        <v>0</v>
      </c>
      <c r="AB7" s="363">
        <v>0</v>
      </c>
      <c r="AC7" s="943">
        <v>0</v>
      </c>
      <c r="AD7" s="930" t="s">
        <v>860</v>
      </c>
      <c r="AE7" s="353"/>
      <c r="AF7" s="354">
        <f t="shared" si="8"/>
        <v>0</v>
      </c>
      <c r="AG7" s="355"/>
      <c r="AH7" s="355">
        <f t="shared" si="9"/>
        <v>0</v>
      </c>
      <c r="AI7" s="355">
        <f t="shared" si="9"/>
        <v>0</v>
      </c>
      <c r="AJ7" s="356">
        <f t="shared" si="9"/>
        <v>0</v>
      </c>
      <c r="AK7" s="354">
        <f t="shared" si="10"/>
        <v>0</v>
      </c>
      <c r="AL7" s="355"/>
      <c r="AM7" s="355"/>
      <c r="AN7" s="355"/>
      <c r="AO7" s="356"/>
      <c r="AP7" s="901"/>
      <c r="AQ7" s="375">
        <f>SUM(AR7:AR12)</f>
        <v>15458518425.704519</v>
      </c>
      <c r="AR7" s="357">
        <f t="shared" si="1"/>
        <v>0</v>
      </c>
      <c r="AS7" s="358">
        <f t="shared" si="2"/>
        <v>0</v>
      </c>
      <c r="AT7" s="358">
        <f t="shared" si="3"/>
        <v>0</v>
      </c>
      <c r="AU7" s="358">
        <f t="shared" si="4"/>
        <v>0</v>
      </c>
      <c r="AV7" s="359">
        <f t="shared" si="5"/>
        <v>0</v>
      </c>
      <c r="AW7" s="359"/>
      <c r="AX7" s="882" t="s">
        <v>127</v>
      </c>
    </row>
    <row r="8" spans="1:50" ht="90">
      <c r="A8" s="360" t="s">
        <v>1502</v>
      </c>
      <c r="B8" s="361" t="s">
        <v>1491</v>
      </c>
      <c r="C8" s="376">
        <v>1.3</v>
      </c>
      <c r="D8" s="377" t="s">
        <v>855</v>
      </c>
      <c r="E8" s="343" t="s">
        <v>861</v>
      </c>
      <c r="F8" s="373" t="s">
        <v>862</v>
      </c>
      <c r="G8" s="696" t="str">
        <f t="shared" si="0"/>
        <v>1.3.2 Ejecución de planes de manejo de áreas protegidas</v>
      </c>
      <c r="H8" s="344" t="s">
        <v>1529</v>
      </c>
      <c r="I8" s="345" t="s">
        <v>828</v>
      </c>
      <c r="J8" s="344" t="s">
        <v>437</v>
      </c>
      <c r="K8" s="345" t="s">
        <v>846</v>
      </c>
      <c r="L8" s="374">
        <v>0.6</v>
      </c>
      <c r="M8" s="374">
        <v>0.15</v>
      </c>
      <c r="N8" s="374">
        <v>0.3</v>
      </c>
      <c r="O8" s="374">
        <v>0.45</v>
      </c>
      <c r="P8" s="374">
        <v>0.6</v>
      </c>
      <c r="Q8" s="368" t="s">
        <v>830</v>
      </c>
      <c r="R8" s="859" t="s">
        <v>1805</v>
      </c>
      <c r="S8" s="386" t="s">
        <v>1787</v>
      </c>
      <c r="T8" s="848" t="s">
        <v>832</v>
      </c>
      <c r="U8" s="352"/>
      <c r="V8" s="918"/>
      <c r="W8" s="942"/>
      <c r="X8" s="375"/>
      <c r="Y8" s="350">
        <f>SUM(Z8:AC8)</f>
        <v>5912244067</v>
      </c>
      <c r="Z8" s="363">
        <f>780000000+20560000+11684067</f>
        <v>812244067</v>
      </c>
      <c r="AA8" s="363">
        <v>1600000000</v>
      </c>
      <c r="AB8" s="363">
        <v>1700000000</v>
      </c>
      <c r="AC8" s="943">
        <v>1800000000</v>
      </c>
      <c r="AD8" s="381" t="s">
        <v>863</v>
      </c>
      <c r="AE8" s="353"/>
      <c r="AF8" s="354">
        <f t="shared" si="8"/>
        <v>0</v>
      </c>
      <c r="AG8" s="355"/>
      <c r="AH8" s="355">
        <f t="shared" si="9"/>
        <v>0</v>
      </c>
      <c r="AI8" s="355">
        <f t="shared" si="9"/>
        <v>0</v>
      </c>
      <c r="AJ8" s="356">
        <f t="shared" si="9"/>
        <v>0</v>
      </c>
      <c r="AK8" s="354">
        <f t="shared" si="10"/>
        <v>117261273368.11591</v>
      </c>
      <c r="AL8" s="355">
        <v>29458133105.6759</v>
      </c>
      <c r="AM8" s="355">
        <v>29401573294.0882</v>
      </c>
      <c r="AN8" s="355">
        <v>29243433862.6759</v>
      </c>
      <c r="AO8" s="356">
        <v>29158133105.6759</v>
      </c>
      <c r="AP8" s="901"/>
      <c r="AQ8" s="375"/>
      <c r="AR8" s="357">
        <f t="shared" si="1"/>
        <v>5912244067</v>
      </c>
      <c r="AS8" s="358">
        <f t="shared" si="2"/>
        <v>812244067</v>
      </c>
      <c r="AT8" s="358">
        <f t="shared" si="3"/>
        <v>1600000000</v>
      </c>
      <c r="AU8" s="358">
        <f t="shared" si="4"/>
        <v>1700000000</v>
      </c>
      <c r="AV8" s="359">
        <f t="shared" si="5"/>
        <v>1800000000</v>
      </c>
      <c r="AW8" s="359"/>
      <c r="AX8" s="883" t="s">
        <v>830</v>
      </c>
    </row>
    <row r="9" spans="1:50" ht="120">
      <c r="A9" s="360" t="s">
        <v>1502</v>
      </c>
      <c r="B9" s="361" t="s">
        <v>1491</v>
      </c>
      <c r="C9" s="376">
        <v>1.3</v>
      </c>
      <c r="D9" s="377" t="s">
        <v>855</v>
      </c>
      <c r="E9" s="343" t="s">
        <v>864</v>
      </c>
      <c r="F9" s="373" t="s">
        <v>865</v>
      </c>
      <c r="G9" s="696" t="str">
        <f t="shared" si="0"/>
        <v xml:space="preserve">1.3.3 Ejecución de acciones de manejo en Humedales </v>
      </c>
      <c r="H9" s="344" t="s">
        <v>866</v>
      </c>
      <c r="I9" s="345" t="s">
        <v>867</v>
      </c>
      <c r="J9" s="344" t="s">
        <v>437</v>
      </c>
      <c r="K9" s="345" t="s">
        <v>868</v>
      </c>
      <c r="L9" s="378">
        <f>SUBTOTAL(9,M9:P9)</f>
        <v>1550</v>
      </c>
      <c r="M9" s="379">
        <v>200</v>
      </c>
      <c r="N9" s="379">
        <v>450</v>
      </c>
      <c r="O9" s="379">
        <v>450</v>
      </c>
      <c r="P9" s="379">
        <v>450</v>
      </c>
      <c r="Q9" s="368" t="s">
        <v>847</v>
      </c>
      <c r="R9" s="860" t="s">
        <v>1805</v>
      </c>
      <c r="S9" s="386" t="s">
        <v>1787</v>
      </c>
      <c r="T9" s="848" t="s">
        <v>832</v>
      </c>
      <c r="U9" s="352"/>
      <c r="V9" s="918" t="s">
        <v>870</v>
      </c>
      <c r="W9" s="942"/>
      <c r="X9" s="375"/>
      <c r="Y9" s="350">
        <f t="shared" si="6"/>
        <v>2398924682.8899999</v>
      </c>
      <c r="Z9" s="380">
        <f>440924682.89+8000000</f>
        <v>448924682.88999999</v>
      </c>
      <c r="AA9" s="380">
        <v>600000000</v>
      </c>
      <c r="AB9" s="380">
        <v>650000000</v>
      </c>
      <c r="AC9" s="944">
        <v>700000000</v>
      </c>
      <c r="AD9" s="381" t="s">
        <v>869</v>
      </c>
      <c r="AE9" s="353"/>
      <c r="AF9" s="354">
        <f t="shared" si="8"/>
        <v>0</v>
      </c>
      <c r="AG9" s="355"/>
      <c r="AH9" s="355">
        <f t="shared" si="9"/>
        <v>0</v>
      </c>
      <c r="AI9" s="355">
        <f t="shared" si="9"/>
        <v>0</v>
      </c>
      <c r="AJ9" s="356">
        <f t="shared" si="9"/>
        <v>0</v>
      </c>
      <c r="AK9" s="354">
        <f t="shared" si="10"/>
        <v>2220757500</v>
      </c>
      <c r="AL9" s="355"/>
      <c r="AM9" s="355">
        <f>1323000000-AA9</f>
        <v>723000000</v>
      </c>
      <c r="AN9" s="355">
        <f>1389150000-AB9</f>
        <v>739150000</v>
      </c>
      <c r="AO9" s="356">
        <f>1458607500-AC9</f>
        <v>758607500</v>
      </c>
      <c r="AP9" s="901"/>
      <c r="AQ9" s="375"/>
      <c r="AR9" s="357">
        <f t="shared" si="1"/>
        <v>2398924682.8899999</v>
      </c>
      <c r="AS9" s="358">
        <f t="shared" si="2"/>
        <v>448924682.88999999</v>
      </c>
      <c r="AT9" s="358">
        <f t="shared" si="3"/>
        <v>600000000</v>
      </c>
      <c r="AU9" s="358">
        <f t="shared" si="4"/>
        <v>650000000</v>
      </c>
      <c r="AV9" s="359">
        <f t="shared" si="5"/>
        <v>700000000</v>
      </c>
      <c r="AW9" s="359"/>
      <c r="AX9" s="883" t="s">
        <v>847</v>
      </c>
    </row>
    <row r="10" spans="1:50" ht="90">
      <c r="A10" s="360" t="s">
        <v>1502</v>
      </c>
      <c r="B10" s="361" t="s">
        <v>1491</v>
      </c>
      <c r="C10" s="376">
        <v>1.3</v>
      </c>
      <c r="D10" s="377" t="s">
        <v>855</v>
      </c>
      <c r="E10" s="343" t="s">
        <v>871</v>
      </c>
      <c r="F10" s="373" t="s">
        <v>1539</v>
      </c>
      <c r="G10" s="696" t="str">
        <f t="shared" si="0"/>
        <v>1.3.4 Adopción de áreas bajo sistemas sostenibles de conservación</v>
      </c>
      <c r="H10" s="344" t="s">
        <v>1510</v>
      </c>
      <c r="I10" s="345" t="s">
        <v>836</v>
      </c>
      <c r="J10" s="344" t="s">
        <v>845</v>
      </c>
      <c r="K10" s="345" t="s">
        <v>105</v>
      </c>
      <c r="L10" s="348">
        <f>+P10</f>
        <v>50000</v>
      </c>
      <c r="M10" s="348">
        <v>10000</v>
      </c>
      <c r="N10" s="348">
        <f>+M10+12500</f>
        <v>22500</v>
      </c>
      <c r="O10" s="348">
        <f>+N10+12500</f>
        <v>35000</v>
      </c>
      <c r="P10" s="348">
        <f>+O10+15000</f>
        <v>50000</v>
      </c>
      <c r="Q10" s="877" t="s">
        <v>872</v>
      </c>
      <c r="R10" s="867" t="s">
        <v>1805</v>
      </c>
      <c r="S10" s="386" t="s">
        <v>1785</v>
      </c>
      <c r="T10" s="848" t="s">
        <v>832</v>
      </c>
      <c r="U10" s="352"/>
      <c r="V10" s="918"/>
      <c r="W10" s="945"/>
      <c r="X10" s="383"/>
      <c r="Y10" s="350">
        <f t="shared" si="6"/>
        <v>2396883827</v>
      </c>
      <c r="Z10" s="384">
        <f>368646327+ 5000000</f>
        <v>373646327</v>
      </c>
      <c r="AA10" s="384">
        <v>611250000</v>
      </c>
      <c r="AB10" s="384">
        <f>AA10*1.05</f>
        <v>641812500</v>
      </c>
      <c r="AC10" s="946">
        <v>770175000</v>
      </c>
      <c r="AD10" s="381" t="s">
        <v>873</v>
      </c>
      <c r="AE10" s="353"/>
      <c r="AF10" s="354">
        <f t="shared" si="8"/>
        <v>0</v>
      </c>
      <c r="AG10" s="355"/>
      <c r="AH10" s="355">
        <f t="shared" si="9"/>
        <v>0</v>
      </c>
      <c r="AI10" s="355">
        <f t="shared" si="9"/>
        <v>0</v>
      </c>
      <c r="AJ10" s="356">
        <f t="shared" si="9"/>
        <v>0</v>
      </c>
      <c r="AK10" s="354">
        <f t="shared" si="10"/>
        <v>50000000</v>
      </c>
      <c r="AL10" s="355">
        <v>50000000</v>
      </c>
      <c r="AM10" s="355"/>
      <c r="AN10" s="355"/>
      <c r="AO10" s="356"/>
      <c r="AP10" s="902"/>
      <c r="AQ10" s="383"/>
      <c r="AR10" s="357">
        <f t="shared" si="1"/>
        <v>2396883827</v>
      </c>
      <c r="AS10" s="358">
        <f t="shared" si="2"/>
        <v>373646327</v>
      </c>
      <c r="AT10" s="358">
        <f t="shared" si="3"/>
        <v>611250000</v>
      </c>
      <c r="AU10" s="358">
        <f t="shared" si="4"/>
        <v>641812500</v>
      </c>
      <c r="AV10" s="359">
        <f t="shared" si="5"/>
        <v>770175000</v>
      </c>
      <c r="AW10" s="359"/>
      <c r="AX10" s="884" t="s">
        <v>872</v>
      </c>
    </row>
    <row r="11" spans="1:50" ht="240">
      <c r="A11" s="360" t="s">
        <v>1502</v>
      </c>
      <c r="B11" s="361" t="s">
        <v>1491</v>
      </c>
      <c r="C11" s="376">
        <v>1.3</v>
      </c>
      <c r="D11" s="377" t="s">
        <v>855</v>
      </c>
      <c r="E11" s="343" t="s">
        <v>874</v>
      </c>
      <c r="F11" s="373" t="s">
        <v>1540</v>
      </c>
      <c r="G11" s="696" t="str">
        <f t="shared" si="0"/>
        <v>1.3.5 Implementación de pagos por servicio ambientales</v>
      </c>
      <c r="H11" s="344" t="s">
        <v>1541</v>
      </c>
      <c r="I11" s="385" t="s">
        <v>836</v>
      </c>
      <c r="J11" s="344" t="s">
        <v>845</v>
      </c>
      <c r="K11" s="385" t="s">
        <v>875</v>
      </c>
      <c r="L11" s="348">
        <v>6000</v>
      </c>
      <c r="M11" s="348">
        <v>1500</v>
      </c>
      <c r="N11" s="348">
        <v>1500</v>
      </c>
      <c r="O11" s="348">
        <v>1500</v>
      </c>
      <c r="P11" s="348">
        <v>1500</v>
      </c>
      <c r="Q11" s="368" t="s">
        <v>876</v>
      </c>
      <c r="R11" s="859" t="s">
        <v>1805</v>
      </c>
      <c r="S11" s="386" t="s">
        <v>1787</v>
      </c>
      <c r="T11" s="849" t="s">
        <v>878</v>
      </c>
      <c r="U11" s="387" t="s">
        <v>879</v>
      </c>
      <c r="V11" s="919" t="s">
        <v>854</v>
      </c>
      <c r="W11" s="945"/>
      <c r="X11" s="383"/>
      <c r="Y11" s="350">
        <f t="shared" si="6"/>
        <v>3782134687.5</v>
      </c>
      <c r="Z11" s="384">
        <f>146250*M11*4</f>
        <v>877500000</v>
      </c>
      <c r="AA11" s="384">
        <f>146250*N11*4*1.05</f>
        <v>921375000</v>
      </c>
      <c r="AB11" s="384">
        <f>146250*O11*4*1.05*1.05</f>
        <v>967443750</v>
      </c>
      <c r="AC11" s="946">
        <f>146250*P11*4*1.05*1.05*1.05</f>
        <v>1015815937.5</v>
      </c>
      <c r="AD11" s="381" t="s">
        <v>877</v>
      </c>
      <c r="AE11" s="353"/>
      <c r="AF11" s="354">
        <f t="shared" si="8"/>
        <v>539684761.31452</v>
      </c>
      <c r="AG11" s="389">
        <f>59112266+64255079</f>
        <v>123367345</v>
      </c>
      <c r="AH11" s="355">
        <f t="shared" si="9"/>
        <v>130769385.7</v>
      </c>
      <c r="AI11" s="355">
        <f t="shared" si="9"/>
        <v>138615548.84200001</v>
      </c>
      <c r="AJ11" s="356">
        <f t="shared" si="9"/>
        <v>146932481.77252001</v>
      </c>
      <c r="AK11" s="354">
        <f t="shared" si="10"/>
        <v>14840000000</v>
      </c>
      <c r="AL11" s="355">
        <v>3500000000</v>
      </c>
      <c r="AM11" s="355">
        <f>AL11*4%+3500000000</f>
        <v>3640000000</v>
      </c>
      <c r="AN11" s="355">
        <f>AM11+140000000</f>
        <v>3780000000</v>
      </c>
      <c r="AO11" s="356">
        <f>AN11+140000000</f>
        <v>3920000000</v>
      </c>
      <c r="AP11" s="902"/>
      <c r="AQ11" s="383"/>
      <c r="AR11" s="357">
        <f t="shared" si="1"/>
        <v>4321819448.8145199</v>
      </c>
      <c r="AS11" s="358">
        <f t="shared" si="2"/>
        <v>1000867345</v>
      </c>
      <c r="AT11" s="358">
        <f t="shared" si="3"/>
        <v>1052144385.7</v>
      </c>
      <c r="AU11" s="358">
        <f t="shared" si="4"/>
        <v>1106059298.842</v>
      </c>
      <c r="AV11" s="359">
        <f t="shared" si="5"/>
        <v>1162748419.2725201</v>
      </c>
      <c r="AW11" s="359" t="s">
        <v>880</v>
      </c>
      <c r="AX11" s="883" t="s">
        <v>876</v>
      </c>
    </row>
    <row r="12" spans="1:50" ht="144">
      <c r="A12" s="360" t="s">
        <v>1502</v>
      </c>
      <c r="B12" s="361" t="s">
        <v>1491</v>
      </c>
      <c r="C12" s="376">
        <v>1.3</v>
      </c>
      <c r="D12" s="390" t="s">
        <v>855</v>
      </c>
      <c r="E12" s="343" t="s">
        <v>881</v>
      </c>
      <c r="F12" s="373" t="s">
        <v>1709</v>
      </c>
      <c r="G12" s="696" t="str">
        <f t="shared" si="0"/>
        <v xml:space="preserve">1.3.6 Implementación de acciones de restauración, rehabilitación y reforestación áreas bajo sistemas sostenibles de conservación </v>
      </c>
      <c r="H12" s="344" t="s">
        <v>882</v>
      </c>
      <c r="I12" s="385" t="s">
        <v>836</v>
      </c>
      <c r="J12" s="344" t="s">
        <v>845</v>
      </c>
      <c r="K12" s="391" t="s">
        <v>883</v>
      </c>
      <c r="L12" s="392">
        <v>0.85</v>
      </c>
      <c r="M12" s="392">
        <v>0.75</v>
      </c>
      <c r="N12" s="392">
        <v>0.78</v>
      </c>
      <c r="O12" s="392">
        <v>0.8</v>
      </c>
      <c r="P12" s="392">
        <v>0.85</v>
      </c>
      <c r="Q12" s="368" t="s">
        <v>127</v>
      </c>
      <c r="R12" s="859" t="s">
        <v>1805</v>
      </c>
      <c r="S12" s="386" t="s">
        <v>1787</v>
      </c>
      <c r="T12" s="849" t="s">
        <v>832</v>
      </c>
      <c r="U12" s="387" t="s">
        <v>885</v>
      </c>
      <c r="V12" s="918"/>
      <c r="W12" s="945"/>
      <c r="X12" s="393"/>
      <c r="Y12" s="350">
        <f t="shared" si="6"/>
        <v>428646400</v>
      </c>
      <c r="Z12" s="384">
        <f>100000000+4000000</f>
        <v>104000000</v>
      </c>
      <c r="AA12" s="384">
        <v>104000000</v>
      </c>
      <c r="AB12" s="384">
        <v>108160000</v>
      </c>
      <c r="AC12" s="946">
        <v>112486400</v>
      </c>
      <c r="AD12" s="381" t="s">
        <v>884</v>
      </c>
      <c r="AE12" s="353"/>
      <c r="AF12" s="354">
        <f t="shared" si="8"/>
        <v>0</v>
      </c>
      <c r="AG12" s="355"/>
      <c r="AH12" s="355">
        <f t="shared" si="9"/>
        <v>0</v>
      </c>
      <c r="AI12" s="355">
        <f t="shared" si="9"/>
        <v>0</v>
      </c>
      <c r="AJ12" s="356">
        <f t="shared" si="9"/>
        <v>0</v>
      </c>
      <c r="AK12" s="354">
        <f t="shared" si="10"/>
        <v>1754478600</v>
      </c>
      <c r="AL12" s="355">
        <v>402875000</v>
      </c>
      <c r="AM12" s="355">
        <v>398875000</v>
      </c>
      <c r="AN12" s="355">
        <v>227090000</v>
      </c>
      <c r="AO12" s="356">
        <v>725638600</v>
      </c>
      <c r="AP12" s="902"/>
      <c r="AQ12" s="393"/>
      <c r="AR12" s="357">
        <f t="shared" si="1"/>
        <v>428646400</v>
      </c>
      <c r="AS12" s="358">
        <f t="shared" si="2"/>
        <v>104000000</v>
      </c>
      <c r="AT12" s="358">
        <f t="shared" si="3"/>
        <v>104000000</v>
      </c>
      <c r="AU12" s="358">
        <f t="shared" si="4"/>
        <v>108160000</v>
      </c>
      <c r="AV12" s="359">
        <f t="shared" si="5"/>
        <v>112486400</v>
      </c>
      <c r="AW12" s="359"/>
      <c r="AX12" s="883" t="s">
        <v>127</v>
      </c>
    </row>
    <row r="13" spans="1:50" ht="210" customHeight="1">
      <c r="A13" s="360" t="s">
        <v>1502</v>
      </c>
      <c r="B13" s="361" t="s">
        <v>1491</v>
      </c>
      <c r="C13" s="341">
        <v>1.4</v>
      </c>
      <c r="D13" s="342" t="s">
        <v>886</v>
      </c>
      <c r="E13" s="343" t="s">
        <v>887</v>
      </c>
      <c r="F13" s="344" t="s">
        <v>888</v>
      </c>
      <c r="G13" s="696" t="str">
        <f t="shared" si="0"/>
        <v>1.4.1 Realización de control y seguimiento a áreas protegidas</v>
      </c>
      <c r="H13" s="344" t="s">
        <v>1756</v>
      </c>
      <c r="I13" s="385" t="s">
        <v>836</v>
      </c>
      <c r="J13" s="344" t="s">
        <v>845</v>
      </c>
      <c r="K13" s="345" t="s">
        <v>846</v>
      </c>
      <c r="L13" s="347">
        <v>1</v>
      </c>
      <c r="M13" s="347">
        <v>0.3</v>
      </c>
      <c r="N13" s="347">
        <v>0.5</v>
      </c>
      <c r="O13" s="347">
        <v>0.7</v>
      </c>
      <c r="P13" s="347">
        <v>1</v>
      </c>
      <c r="Q13" s="368" t="s">
        <v>830</v>
      </c>
      <c r="R13" s="859" t="s">
        <v>1805</v>
      </c>
      <c r="S13" s="386" t="s">
        <v>1787</v>
      </c>
      <c r="T13" s="849" t="s">
        <v>890</v>
      </c>
      <c r="U13" s="387"/>
      <c r="V13" s="919"/>
      <c r="W13" s="942"/>
      <c r="X13" s="394">
        <f>SUM(Y13:Y14)</f>
        <v>705880000</v>
      </c>
      <c r="Y13" s="350">
        <f t="shared" si="6"/>
        <v>0</v>
      </c>
      <c r="Z13" s="363">
        <v>0</v>
      </c>
      <c r="AA13" s="363">
        <v>0</v>
      </c>
      <c r="AB13" s="363">
        <v>0</v>
      </c>
      <c r="AC13" s="943">
        <v>0</v>
      </c>
      <c r="AD13" s="931" t="s">
        <v>889</v>
      </c>
      <c r="AE13" s="353"/>
      <c r="AF13" s="354">
        <f t="shared" si="8"/>
        <v>0</v>
      </c>
      <c r="AG13" s="355">
        <v>0</v>
      </c>
      <c r="AH13" s="355">
        <f t="shared" si="9"/>
        <v>0</v>
      </c>
      <c r="AI13" s="355">
        <f t="shared" si="9"/>
        <v>0</v>
      </c>
      <c r="AJ13" s="356">
        <f t="shared" si="9"/>
        <v>0</v>
      </c>
      <c r="AK13" s="354">
        <f t="shared" si="10"/>
        <v>835513600</v>
      </c>
      <c r="AL13" s="355">
        <v>150000000</v>
      </c>
      <c r="AM13" s="355">
        <v>198000000</v>
      </c>
      <c r="AN13" s="355">
        <v>243756800</v>
      </c>
      <c r="AO13" s="356">
        <v>243756800</v>
      </c>
      <c r="AP13" s="901"/>
      <c r="AQ13" s="394">
        <f>SUM(AR13:AR14)</f>
        <v>705880000</v>
      </c>
      <c r="AR13" s="357">
        <f t="shared" si="1"/>
        <v>0</v>
      </c>
      <c r="AS13" s="358">
        <f t="shared" si="2"/>
        <v>0</v>
      </c>
      <c r="AT13" s="358">
        <f t="shared" si="3"/>
        <v>0</v>
      </c>
      <c r="AU13" s="358">
        <f t="shared" si="4"/>
        <v>0</v>
      </c>
      <c r="AV13" s="359">
        <f t="shared" si="5"/>
        <v>0</v>
      </c>
      <c r="AW13" s="359"/>
      <c r="AX13" s="883" t="s">
        <v>830</v>
      </c>
    </row>
    <row r="14" spans="1:50" ht="120">
      <c r="A14" s="360" t="s">
        <v>1502</v>
      </c>
      <c r="B14" s="361" t="s">
        <v>1491</v>
      </c>
      <c r="C14" s="395">
        <v>1.4</v>
      </c>
      <c r="D14" s="365" t="s">
        <v>886</v>
      </c>
      <c r="E14" s="343" t="s">
        <v>891</v>
      </c>
      <c r="F14" s="344" t="s">
        <v>892</v>
      </c>
      <c r="G14" s="696" t="str">
        <f t="shared" si="0"/>
        <v>1.4.2 Reducción de la deforestación en áreas protegidas y otras estrategias de conservación</v>
      </c>
      <c r="H14" s="344" t="s">
        <v>1530</v>
      </c>
      <c r="I14" s="396" t="s">
        <v>836</v>
      </c>
      <c r="J14" s="344" t="s">
        <v>437</v>
      </c>
      <c r="K14" s="345" t="s">
        <v>893</v>
      </c>
      <c r="L14" s="397">
        <f>9860-(9860*0.3/3)</f>
        <v>8874</v>
      </c>
      <c r="M14" s="397">
        <f>9860-(9860*0.3/3)/4</f>
        <v>9613.5</v>
      </c>
      <c r="N14" s="397">
        <f>9860-((9860*0.3/3)/4)*2</f>
        <v>9367</v>
      </c>
      <c r="O14" s="397">
        <f>9860-((9860*0.3/3)/4)*3</f>
        <v>9120.5</v>
      </c>
      <c r="P14" s="397">
        <f>9860-((9860*0.3/3)/4)*4</f>
        <v>8874</v>
      </c>
      <c r="Q14" s="368" t="s">
        <v>876</v>
      </c>
      <c r="R14" s="859" t="s">
        <v>1805</v>
      </c>
      <c r="S14" s="386" t="s">
        <v>1787</v>
      </c>
      <c r="T14" s="850" t="s">
        <v>832</v>
      </c>
      <c r="U14" s="399"/>
      <c r="V14" s="920"/>
      <c r="W14" s="942"/>
      <c r="X14" s="398"/>
      <c r="Y14" s="350">
        <f t="shared" si="6"/>
        <v>705880000</v>
      </c>
      <c r="Z14" s="363">
        <f>50000000+1800000</f>
        <v>51800000</v>
      </c>
      <c r="AA14" s="363">
        <v>54080000</v>
      </c>
      <c r="AB14" s="363">
        <v>300000000</v>
      </c>
      <c r="AC14" s="943">
        <v>300000000</v>
      </c>
      <c r="AD14" s="381" t="s">
        <v>894</v>
      </c>
      <c r="AE14" s="353"/>
      <c r="AF14" s="354">
        <f t="shared" si="8"/>
        <v>0</v>
      </c>
      <c r="AG14" s="355"/>
      <c r="AH14" s="355">
        <f t="shared" si="9"/>
        <v>0</v>
      </c>
      <c r="AI14" s="355">
        <f t="shared" si="9"/>
        <v>0</v>
      </c>
      <c r="AJ14" s="356">
        <f t="shared" si="9"/>
        <v>0</v>
      </c>
      <c r="AK14" s="354">
        <f t="shared" si="10"/>
        <v>835513600</v>
      </c>
      <c r="AL14" s="355">
        <v>150000000</v>
      </c>
      <c r="AM14" s="355">
        <v>198000000</v>
      </c>
      <c r="AN14" s="355">
        <v>243756800</v>
      </c>
      <c r="AO14" s="356">
        <v>243756800</v>
      </c>
      <c r="AP14" s="901"/>
      <c r="AQ14" s="398"/>
      <c r="AR14" s="357">
        <f t="shared" si="1"/>
        <v>705880000</v>
      </c>
      <c r="AS14" s="358">
        <f t="shared" si="2"/>
        <v>51800000</v>
      </c>
      <c r="AT14" s="358">
        <f t="shared" si="3"/>
        <v>54080000</v>
      </c>
      <c r="AU14" s="358">
        <f t="shared" si="4"/>
        <v>300000000</v>
      </c>
      <c r="AV14" s="359">
        <f t="shared" si="5"/>
        <v>300000000</v>
      </c>
      <c r="AW14" s="359"/>
      <c r="AX14" s="885" t="s">
        <v>876</v>
      </c>
    </row>
    <row r="15" spans="1:50" ht="108">
      <c r="A15" s="360" t="s">
        <v>1502</v>
      </c>
      <c r="B15" s="361" t="s">
        <v>1491</v>
      </c>
      <c r="C15" s="341">
        <v>1.5</v>
      </c>
      <c r="D15" s="401" t="s">
        <v>895</v>
      </c>
      <c r="E15" s="343" t="s">
        <v>896</v>
      </c>
      <c r="F15" s="344" t="s">
        <v>897</v>
      </c>
      <c r="G15" s="696" t="str">
        <f t="shared" si="0"/>
        <v>1.5.1 Participación con enfoque diferencial en la formulación e implementación del modelo de administración de las áreas protegidas y otras estrategias de conservación</v>
      </c>
      <c r="H15" s="344" t="s">
        <v>898</v>
      </c>
      <c r="I15" s="402" t="s">
        <v>828</v>
      </c>
      <c r="J15" s="344" t="s">
        <v>437</v>
      </c>
      <c r="K15" s="347" t="s">
        <v>829</v>
      </c>
      <c r="L15" s="392">
        <v>1</v>
      </c>
      <c r="M15" s="392">
        <v>0.25</v>
      </c>
      <c r="N15" s="392">
        <v>0.5</v>
      </c>
      <c r="O15" s="392">
        <v>0.75</v>
      </c>
      <c r="P15" s="392">
        <v>1</v>
      </c>
      <c r="Q15" s="368" t="s">
        <v>830</v>
      </c>
      <c r="R15" s="859" t="s">
        <v>1805</v>
      </c>
      <c r="S15" s="386" t="s">
        <v>1785</v>
      </c>
      <c r="T15" s="848" t="s">
        <v>900</v>
      </c>
      <c r="U15" s="352" t="s">
        <v>901</v>
      </c>
      <c r="V15" s="918"/>
      <c r="W15" s="942"/>
      <c r="X15" s="403">
        <f>SUM(Y15:Y16)</f>
        <v>4413271983.5690002</v>
      </c>
      <c r="Y15" s="384">
        <f t="shared" ref="Y15" si="11">SUM(Z15:AC15)</f>
        <v>3729849899.8550005</v>
      </c>
      <c r="Z15" s="363">
        <v>251640000</v>
      </c>
      <c r="AA15" s="363">
        <v>584122200</v>
      </c>
      <c r="AB15" s="363">
        <v>1537672592</v>
      </c>
      <c r="AC15" s="943">
        <v>1356415107.8550003</v>
      </c>
      <c r="AD15" s="545" t="s">
        <v>899</v>
      </c>
      <c r="AE15" s="353"/>
      <c r="AF15" s="354">
        <f t="shared" si="8"/>
        <v>0</v>
      </c>
      <c r="AG15" s="355"/>
      <c r="AH15" s="355">
        <f t="shared" si="9"/>
        <v>0</v>
      </c>
      <c r="AI15" s="355">
        <f t="shared" si="9"/>
        <v>0</v>
      </c>
      <c r="AJ15" s="356">
        <f t="shared" si="9"/>
        <v>0</v>
      </c>
      <c r="AK15" s="354">
        <f t="shared" si="10"/>
        <v>3478209899.8550005</v>
      </c>
      <c r="AL15" s="355">
        <v>0</v>
      </c>
      <c r="AM15" s="355">
        <f>AA15</f>
        <v>584122200</v>
      </c>
      <c r="AN15" s="355">
        <f>AB15</f>
        <v>1537672592</v>
      </c>
      <c r="AO15" s="356">
        <f>AC15</f>
        <v>1356415107.8550003</v>
      </c>
      <c r="AP15" s="901"/>
      <c r="AQ15" s="403">
        <f>SUM(AR15:AR16)</f>
        <v>4413271983.5690002</v>
      </c>
      <c r="AR15" s="357">
        <f t="shared" si="1"/>
        <v>3729849899.8550005</v>
      </c>
      <c r="AS15" s="358">
        <f t="shared" si="2"/>
        <v>251640000</v>
      </c>
      <c r="AT15" s="358">
        <f t="shared" si="3"/>
        <v>584122200</v>
      </c>
      <c r="AU15" s="358">
        <f t="shared" si="4"/>
        <v>1537672592</v>
      </c>
      <c r="AV15" s="359">
        <f t="shared" si="5"/>
        <v>1356415107.8550003</v>
      </c>
      <c r="AW15" s="359"/>
      <c r="AX15" s="885" t="s">
        <v>830</v>
      </c>
    </row>
    <row r="16" spans="1:50" ht="132.75" thickBot="1">
      <c r="A16" s="360" t="s">
        <v>1502</v>
      </c>
      <c r="B16" s="361" t="s">
        <v>1491</v>
      </c>
      <c r="C16" s="404">
        <v>1.5</v>
      </c>
      <c r="D16" s="405" t="s">
        <v>895</v>
      </c>
      <c r="E16" s="406" t="s">
        <v>902</v>
      </c>
      <c r="F16" s="407" t="s">
        <v>903</v>
      </c>
      <c r="G16" s="732" t="str">
        <f t="shared" si="0"/>
        <v>1.5.2 Apropiación socio-cultural de las áreas protegidas</v>
      </c>
      <c r="H16" s="407" t="s">
        <v>904</v>
      </c>
      <c r="I16" s="408" t="s">
        <v>828</v>
      </c>
      <c r="J16" s="407" t="s">
        <v>437</v>
      </c>
      <c r="K16" s="408" t="s">
        <v>846</v>
      </c>
      <c r="L16" s="409">
        <v>1</v>
      </c>
      <c r="M16" s="410">
        <v>0.25</v>
      </c>
      <c r="N16" s="410">
        <v>0.5</v>
      </c>
      <c r="O16" s="410">
        <v>0.75</v>
      </c>
      <c r="P16" s="410">
        <v>1</v>
      </c>
      <c r="Q16" s="878" t="s">
        <v>830</v>
      </c>
      <c r="R16" s="862" t="s">
        <v>1805</v>
      </c>
      <c r="S16" s="478" t="s">
        <v>1788</v>
      </c>
      <c r="T16" s="851" t="s">
        <v>900</v>
      </c>
      <c r="U16" s="414" t="s">
        <v>901</v>
      </c>
      <c r="V16" s="921"/>
      <c r="W16" s="947"/>
      <c r="X16" s="411"/>
      <c r="Y16" s="412">
        <f t="shared" si="6"/>
        <v>683422083.71399999</v>
      </c>
      <c r="Z16" s="413">
        <v>4200000</v>
      </c>
      <c r="AA16" s="413">
        <v>199654000</v>
      </c>
      <c r="AB16" s="413">
        <v>228791721.60000002</v>
      </c>
      <c r="AC16" s="948">
        <v>250776362.11399996</v>
      </c>
      <c r="AD16" s="932" t="s">
        <v>905</v>
      </c>
      <c r="AE16" s="415"/>
      <c r="AF16" s="354">
        <f t="shared" si="8"/>
        <v>0</v>
      </c>
      <c r="AG16" s="355"/>
      <c r="AH16" s="355">
        <f t="shared" si="9"/>
        <v>0</v>
      </c>
      <c r="AI16" s="355">
        <f t="shared" si="9"/>
        <v>0</v>
      </c>
      <c r="AJ16" s="356">
        <f t="shared" si="9"/>
        <v>0</v>
      </c>
      <c r="AK16" s="354">
        <f t="shared" si="10"/>
        <v>237727729.2999</v>
      </c>
      <c r="AL16" s="355"/>
      <c r="AM16" s="355">
        <f>AA16*0.35</f>
        <v>69878900</v>
      </c>
      <c r="AN16" s="355">
        <f>AB16*0.35</f>
        <v>80077102.560000002</v>
      </c>
      <c r="AO16" s="356">
        <f>AC16*0.35</f>
        <v>87771726.739899978</v>
      </c>
      <c r="AP16" s="903"/>
      <c r="AQ16" s="411"/>
      <c r="AR16" s="357">
        <f t="shared" si="1"/>
        <v>683422083.71399999</v>
      </c>
      <c r="AS16" s="358">
        <f t="shared" si="2"/>
        <v>4200000</v>
      </c>
      <c r="AT16" s="358">
        <f t="shared" si="3"/>
        <v>199654000</v>
      </c>
      <c r="AU16" s="358">
        <f t="shared" si="4"/>
        <v>228791721.60000002</v>
      </c>
      <c r="AV16" s="359">
        <f t="shared" si="5"/>
        <v>250776362.11399996</v>
      </c>
      <c r="AW16" s="359"/>
      <c r="AX16" s="886" t="s">
        <v>830</v>
      </c>
    </row>
    <row r="17" spans="1:50" ht="60">
      <c r="A17" s="360" t="s">
        <v>1502</v>
      </c>
      <c r="B17" s="416" t="s">
        <v>1496</v>
      </c>
      <c r="C17" s="417">
        <v>2.1</v>
      </c>
      <c r="D17" s="418" t="s">
        <v>906</v>
      </c>
      <c r="E17" s="419" t="s">
        <v>907</v>
      </c>
      <c r="F17" s="346" t="s">
        <v>908</v>
      </c>
      <c r="G17" s="731" t="str">
        <f t="shared" si="0"/>
        <v>2.1.1 Definición de conectividades ecosistémicas con enfoque diferencial</v>
      </c>
      <c r="H17" s="346" t="s">
        <v>909</v>
      </c>
      <c r="I17" s="420" t="s">
        <v>867</v>
      </c>
      <c r="J17" s="346" t="s">
        <v>437</v>
      </c>
      <c r="K17" s="421" t="s">
        <v>829</v>
      </c>
      <c r="L17" s="422">
        <v>1</v>
      </c>
      <c r="M17" s="347">
        <v>0.5</v>
      </c>
      <c r="N17" s="347">
        <f>+M17+50%</f>
        <v>1</v>
      </c>
      <c r="O17" s="347">
        <v>0</v>
      </c>
      <c r="P17" s="347">
        <v>0</v>
      </c>
      <c r="Q17" s="423" t="s">
        <v>830</v>
      </c>
      <c r="R17" s="863" t="s">
        <v>1805</v>
      </c>
      <c r="S17" s="458" t="s">
        <v>1785</v>
      </c>
      <c r="T17" s="852" t="s">
        <v>832</v>
      </c>
      <c r="U17" s="426"/>
      <c r="V17" s="922"/>
      <c r="W17" s="942">
        <f>SUM(X17:X26)</f>
        <v>23052209468.14653</v>
      </c>
      <c r="X17" s="424">
        <f>Y17</f>
        <v>0</v>
      </c>
      <c r="Y17" s="350">
        <f t="shared" si="6"/>
        <v>0</v>
      </c>
      <c r="Z17" s="425">
        <v>0</v>
      </c>
      <c r="AA17" s="425">
        <v>0</v>
      </c>
      <c r="AB17" s="425">
        <v>0</v>
      </c>
      <c r="AC17" s="949">
        <v>0</v>
      </c>
      <c r="AD17" s="933" t="s">
        <v>910</v>
      </c>
      <c r="AE17" s="427"/>
      <c r="AF17" s="354">
        <f t="shared" si="8"/>
        <v>278675960.74515653</v>
      </c>
      <c r="AG17" s="428">
        <v>63702953.755291097</v>
      </c>
      <c r="AH17" s="355">
        <f t="shared" si="9"/>
        <v>67525130.980608568</v>
      </c>
      <c r="AI17" s="355">
        <f t="shared" si="9"/>
        <v>71576638.839445084</v>
      </c>
      <c r="AJ17" s="356">
        <f t="shared" si="9"/>
        <v>75871237.1698118</v>
      </c>
      <c r="AK17" s="354">
        <f t="shared" si="10"/>
        <v>20000000</v>
      </c>
      <c r="AL17" s="355">
        <v>10000000</v>
      </c>
      <c r="AM17" s="355">
        <v>10000000</v>
      </c>
      <c r="AN17" s="355"/>
      <c r="AO17" s="356"/>
      <c r="AP17" s="901">
        <f>SUM(AQ17:AQ26)</f>
        <v>26889829194.191654</v>
      </c>
      <c r="AQ17" s="424">
        <f>AR17</f>
        <v>278675960.74515653</v>
      </c>
      <c r="AR17" s="357">
        <f t="shared" si="1"/>
        <v>278675960.74515653</v>
      </c>
      <c r="AS17" s="358">
        <f t="shared" si="2"/>
        <v>63702953.755291097</v>
      </c>
      <c r="AT17" s="358">
        <f t="shared" si="3"/>
        <v>67525130.980608568</v>
      </c>
      <c r="AU17" s="358">
        <f t="shared" si="4"/>
        <v>71576638.839445084</v>
      </c>
      <c r="AV17" s="359">
        <f t="shared" si="5"/>
        <v>75871237.1698118</v>
      </c>
      <c r="AW17" s="359"/>
      <c r="AX17" s="887" t="s">
        <v>830</v>
      </c>
    </row>
    <row r="18" spans="1:50" ht="72">
      <c r="A18" s="360" t="s">
        <v>1502</v>
      </c>
      <c r="B18" s="429" t="s">
        <v>1496</v>
      </c>
      <c r="C18" s="417">
        <v>2.2000000000000002</v>
      </c>
      <c r="D18" s="430" t="s">
        <v>911</v>
      </c>
      <c r="E18" s="343" t="s">
        <v>912</v>
      </c>
      <c r="F18" s="431" t="s">
        <v>913</v>
      </c>
      <c r="G18" s="696" t="str">
        <f t="shared" si="0"/>
        <v>2.2.1 Restauración de áreas para la conectividad rural</v>
      </c>
      <c r="H18" s="431" t="s">
        <v>1511</v>
      </c>
      <c r="I18" s="385" t="s">
        <v>836</v>
      </c>
      <c r="J18" s="344" t="s">
        <v>845</v>
      </c>
      <c r="K18" s="345" t="s">
        <v>846</v>
      </c>
      <c r="L18" s="344">
        <f>+SUM(M18:P18)</f>
        <v>24540</v>
      </c>
      <c r="M18" s="344">
        <f>40+500</f>
        <v>540</v>
      </c>
      <c r="N18" s="344">
        <v>8000</v>
      </c>
      <c r="O18" s="344">
        <v>8000</v>
      </c>
      <c r="P18" s="344">
        <v>8000</v>
      </c>
      <c r="Q18" s="877" t="s">
        <v>914</v>
      </c>
      <c r="R18" s="860" t="s">
        <v>1805</v>
      </c>
      <c r="S18" s="386" t="s">
        <v>1787</v>
      </c>
      <c r="T18" s="849" t="s">
        <v>832</v>
      </c>
      <c r="U18" s="387" t="s">
        <v>885</v>
      </c>
      <c r="V18" s="919"/>
      <c r="W18" s="942"/>
      <c r="X18" s="362">
        <f>SUM(Y18:Y20)</f>
        <v>19018541097.382919</v>
      </c>
      <c r="Y18" s="350">
        <f t="shared" si="6"/>
        <v>3962197475.552917</v>
      </c>
      <c r="Z18" s="363">
        <f>200000000+3000000+759197475.552917</f>
        <v>962197475.552917</v>
      </c>
      <c r="AA18" s="363">
        <v>900000000</v>
      </c>
      <c r="AB18" s="363">
        <v>1000000000</v>
      </c>
      <c r="AC18" s="943">
        <v>1100000000</v>
      </c>
      <c r="AD18" s="381" t="s">
        <v>915</v>
      </c>
      <c r="AE18" s="353"/>
      <c r="AF18" s="354">
        <f t="shared" si="8"/>
        <v>429796842.67486763</v>
      </c>
      <c r="AG18" s="428">
        <v>98247901.684368998</v>
      </c>
      <c r="AH18" s="355">
        <f t="shared" si="9"/>
        <v>104142775.78543115</v>
      </c>
      <c r="AI18" s="355">
        <f t="shared" si="9"/>
        <v>110391342.33255702</v>
      </c>
      <c r="AJ18" s="356">
        <f t="shared" si="9"/>
        <v>117014822.87251045</v>
      </c>
      <c r="AK18" s="354">
        <f t="shared" si="10"/>
        <v>600000000</v>
      </c>
      <c r="AL18" s="355">
        <v>600000000</v>
      </c>
      <c r="AM18" s="355"/>
      <c r="AN18" s="355"/>
      <c r="AO18" s="356"/>
      <c r="AP18" s="901"/>
      <c r="AQ18" s="362">
        <f>SUM(AR18:AR20)</f>
        <v>20158857090.677711</v>
      </c>
      <c r="AR18" s="357">
        <f t="shared" si="1"/>
        <v>4391994318.2277851</v>
      </c>
      <c r="AS18" s="358">
        <f t="shared" si="2"/>
        <v>1060445377.237286</v>
      </c>
      <c r="AT18" s="358">
        <f t="shared" si="3"/>
        <v>1004142775.7854311</v>
      </c>
      <c r="AU18" s="358">
        <f t="shared" si="4"/>
        <v>1110391342.332557</v>
      </c>
      <c r="AV18" s="359">
        <f t="shared" si="5"/>
        <v>1217014822.8725104</v>
      </c>
      <c r="AW18" s="359"/>
      <c r="AX18" s="885" t="s">
        <v>916</v>
      </c>
    </row>
    <row r="19" spans="1:50" ht="84">
      <c r="A19" s="360" t="s">
        <v>1502</v>
      </c>
      <c r="B19" s="429" t="s">
        <v>1496</v>
      </c>
      <c r="C19" s="417">
        <v>2.2000000000000002</v>
      </c>
      <c r="D19" s="432" t="s">
        <v>911</v>
      </c>
      <c r="E19" s="343" t="s">
        <v>917</v>
      </c>
      <c r="F19" s="431" t="s">
        <v>1512</v>
      </c>
      <c r="G19" s="696" t="str">
        <f t="shared" si="0"/>
        <v>2.2.2 Implementación de sistemas de conservación en cuencas abastecedoras de acueductos y ecosistemas estratégicos</v>
      </c>
      <c r="H19" s="431" t="s">
        <v>1531</v>
      </c>
      <c r="I19" s="385" t="s">
        <v>867</v>
      </c>
      <c r="J19" s="344" t="s">
        <v>837</v>
      </c>
      <c r="K19" s="385" t="s">
        <v>918</v>
      </c>
      <c r="L19" s="378">
        <f>18633+(23633.5-18633)/3</f>
        <v>20299.833333333332</v>
      </c>
      <c r="M19" s="379">
        <f>18633+((23633.5-18633)/3/4)</f>
        <v>19049.708333333332</v>
      </c>
      <c r="N19" s="379">
        <f>18633+((23633.5-18633)/3/4)*2</f>
        <v>19466.416666666668</v>
      </c>
      <c r="O19" s="379">
        <f>18633+((23633.5-18633)/3/4)*3</f>
        <v>19883.125</v>
      </c>
      <c r="P19" s="379">
        <f>18633+((23633.5-18633)/3/4)*4</f>
        <v>20299.833333333332</v>
      </c>
      <c r="Q19" s="877" t="s">
        <v>872</v>
      </c>
      <c r="R19" s="867" t="s">
        <v>1805</v>
      </c>
      <c r="S19" s="849" t="s">
        <v>1787</v>
      </c>
      <c r="T19" s="849" t="s">
        <v>878</v>
      </c>
      <c r="U19" s="387" t="s">
        <v>885</v>
      </c>
      <c r="V19" s="919"/>
      <c r="W19" s="942"/>
      <c r="X19" s="362"/>
      <c r="Y19" s="350">
        <f t="shared" si="6"/>
        <v>2147343621.8300002</v>
      </c>
      <c r="Z19" s="363">
        <f>829668*416.71+100000000+557000000+199913</f>
        <v>1002930865.28</v>
      </c>
      <c r="AA19" s="363">
        <f>871151*416.71</f>
        <v>363017333.20999998</v>
      </c>
      <c r="AB19" s="363">
        <f>914709*416.71</f>
        <v>381168387.38999999</v>
      </c>
      <c r="AC19" s="943">
        <f>960445*416.71</f>
        <v>400227035.94999999</v>
      </c>
      <c r="AD19" s="381" t="s">
        <v>919</v>
      </c>
      <c r="AE19" s="353"/>
      <c r="AF19" s="354">
        <f t="shared" si="8"/>
        <v>710519150.61992812</v>
      </c>
      <c r="AG19" s="428">
        <f>110135831+52282802</f>
        <v>162418633</v>
      </c>
      <c r="AH19" s="355">
        <f t="shared" si="9"/>
        <v>172163750.98000002</v>
      </c>
      <c r="AI19" s="355">
        <f t="shared" si="9"/>
        <v>182493576.03880003</v>
      </c>
      <c r="AJ19" s="356">
        <f t="shared" si="9"/>
        <v>193443190.60112804</v>
      </c>
      <c r="AK19" s="354">
        <f t="shared" si="10"/>
        <v>146589520</v>
      </c>
      <c r="AL19" s="355">
        <v>34573000</v>
      </c>
      <c r="AM19" s="355">
        <f>AL19*4%+34573000</f>
        <v>35955920</v>
      </c>
      <c r="AN19" s="355">
        <f>AM19+1382920</f>
        <v>37338840</v>
      </c>
      <c r="AO19" s="356">
        <f>AN19+1382920</f>
        <v>38721760</v>
      </c>
      <c r="AP19" s="901"/>
      <c r="AQ19" s="362"/>
      <c r="AR19" s="357">
        <f t="shared" si="1"/>
        <v>2857862772.4499283</v>
      </c>
      <c r="AS19" s="358">
        <f t="shared" si="2"/>
        <v>1165349498.28</v>
      </c>
      <c r="AT19" s="358">
        <f t="shared" si="3"/>
        <v>535181084.19</v>
      </c>
      <c r="AU19" s="358">
        <f t="shared" si="4"/>
        <v>563661963.42879999</v>
      </c>
      <c r="AV19" s="359">
        <f t="shared" si="5"/>
        <v>593670226.55112803</v>
      </c>
      <c r="AW19" s="359" t="s">
        <v>880</v>
      </c>
      <c r="AX19" s="885" t="s">
        <v>872</v>
      </c>
    </row>
    <row r="20" spans="1:50" ht="72">
      <c r="A20" s="360" t="s">
        <v>1502</v>
      </c>
      <c r="B20" s="429" t="s">
        <v>1496</v>
      </c>
      <c r="C20" s="417">
        <v>2.2000000000000002</v>
      </c>
      <c r="D20" s="432" t="s">
        <v>911</v>
      </c>
      <c r="E20" s="343" t="s">
        <v>920</v>
      </c>
      <c r="F20" s="431" t="s">
        <v>921</v>
      </c>
      <c r="G20" s="696" t="str">
        <f t="shared" si="0"/>
        <v>2.2.3 Recuperación o rehabilitación de suelos degradados</v>
      </c>
      <c r="H20" s="431" t="s">
        <v>922</v>
      </c>
      <c r="I20" s="345" t="s">
        <v>836</v>
      </c>
      <c r="J20" s="344" t="s">
        <v>845</v>
      </c>
      <c r="K20" s="385" t="s">
        <v>923</v>
      </c>
      <c r="L20" s="392">
        <v>0.02</v>
      </c>
      <c r="M20" s="374">
        <v>5.0000000000000001E-3</v>
      </c>
      <c r="N20" s="374">
        <v>0.01</v>
      </c>
      <c r="O20" s="374">
        <v>1.4999999999999999E-2</v>
      </c>
      <c r="P20" s="374">
        <v>0.02</v>
      </c>
      <c r="Q20" s="368" t="s">
        <v>924</v>
      </c>
      <c r="R20" s="860" t="s">
        <v>1805</v>
      </c>
      <c r="S20" s="386" t="s">
        <v>1787</v>
      </c>
      <c r="T20" s="848" t="s">
        <v>832</v>
      </c>
      <c r="U20" s="352"/>
      <c r="V20" s="918"/>
      <c r="W20" s="942"/>
      <c r="X20" s="371"/>
      <c r="Y20" s="350">
        <f t="shared" si="6"/>
        <v>12909000000</v>
      </c>
      <c r="Z20" s="363">
        <f>406000000+3000000</f>
        <v>409000000</v>
      </c>
      <c r="AA20" s="363">
        <v>3000000000</v>
      </c>
      <c r="AB20" s="363">
        <v>4500000000</v>
      </c>
      <c r="AC20" s="943">
        <v>5000000000</v>
      </c>
      <c r="AD20" s="381" t="s">
        <v>925</v>
      </c>
      <c r="AE20" s="353"/>
      <c r="AF20" s="354">
        <f t="shared" si="8"/>
        <v>0</v>
      </c>
      <c r="AG20" s="355"/>
      <c r="AH20" s="355">
        <f t="shared" si="9"/>
        <v>0</v>
      </c>
      <c r="AI20" s="355">
        <f t="shared" si="9"/>
        <v>0</v>
      </c>
      <c r="AJ20" s="356">
        <f t="shared" si="9"/>
        <v>0</v>
      </c>
      <c r="AK20" s="354">
        <f t="shared" si="10"/>
        <v>1900000000</v>
      </c>
      <c r="AL20" s="355">
        <v>1900000000</v>
      </c>
      <c r="AM20" s="355"/>
      <c r="AN20" s="355"/>
      <c r="AO20" s="356"/>
      <c r="AP20" s="901"/>
      <c r="AQ20" s="371"/>
      <c r="AR20" s="357">
        <f t="shared" si="1"/>
        <v>12909000000</v>
      </c>
      <c r="AS20" s="358">
        <f t="shared" si="2"/>
        <v>409000000</v>
      </c>
      <c r="AT20" s="358">
        <f t="shared" si="3"/>
        <v>3000000000</v>
      </c>
      <c r="AU20" s="358">
        <f t="shared" si="4"/>
        <v>4500000000</v>
      </c>
      <c r="AV20" s="359">
        <f t="shared" si="5"/>
        <v>5000000000</v>
      </c>
      <c r="AW20" s="359"/>
      <c r="AX20" s="883" t="s">
        <v>924</v>
      </c>
    </row>
    <row r="21" spans="1:50" ht="72">
      <c r="A21" s="360" t="s">
        <v>1502</v>
      </c>
      <c r="B21" s="429" t="s">
        <v>1496</v>
      </c>
      <c r="C21" s="400">
        <v>2.2999999999999998</v>
      </c>
      <c r="D21" s="433" t="s">
        <v>926</v>
      </c>
      <c r="E21" s="343" t="s">
        <v>927</v>
      </c>
      <c r="F21" s="344" t="s">
        <v>928</v>
      </c>
      <c r="G21" s="696" t="str">
        <f t="shared" si="0"/>
        <v>2.3.1 Realización de control y seguimiento a los corredores de conectividad establecidos</v>
      </c>
      <c r="H21" s="431" t="s">
        <v>929</v>
      </c>
      <c r="I21" s="345" t="s">
        <v>930</v>
      </c>
      <c r="J21" s="344" t="s">
        <v>437</v>
      </c>
      <c r="K21" s="345" t="s">
        <v>846</v>
      </c>
      <c r="L21" s="347">
        <v>0.1</v>
      </c>
      <c r="M21" s="347">
        <v>0</v>
      </c>
      <c r="N21" s="434">
        <v>2.5000000000000001E-2</v>
      </c>
      <c r="O21" s="434">
        <f>+N21+2.5%</f>
        <v>0.05</v>
      </c>
      <c r="P21" s="347">
        <f>+O21+5%</f>
        <v>0.1</v>
      </c>
      <c r="Q21" s="368" t="s">
        <v>830</v>
      </c>
      <c r="R21" s="867" t="s">
        <v>1805</v>
      </c>
      <c r="S21" s="386" t="s">
        <v>1787</v>
      </c>
      <c r="T21" s="848" t="s">
        <v>832</v>
      </c>
      <c r="U21" s="352"/>
      <c r="V21" s="918"/>
      <c r="W21" s="942"/>
      <c r="X21" s="435">
        <f>Y21</f>
        <v>0</v>
      </c>
      <c r="Y21" s="350">
        <f t="shared" si="6"/>
        <v>0</v>
      </c>
      <c r="Z21" s="363">
        <v>0</v>
      </c>
      <c r="AA21" s="363"/>
      <c r="AB21" s="363"/>
      <c r="AC21" s="943"/>
      <c r="AD21" s="381" t="s">
        <v>931</v>
      </c>
      <c r="AE21" s="353"/>
      <c r="AF21" s="354">
        <f t="shared" si="8"/>
        <v>278675960.74515653</v>
      </c>
      <c r="AG21" s="355">
        <v>63702953.755291097</v>
      </c>
      <c r="AH21" s="355">
        <f t="shared" si="9"/>
        <v>67525130.980608568</v>
      </c>
      <c r="AI21" s="355">
        <f t="shared" si="9"/>
        <v>71576638.839445084</v>
      </c>
      <c r="AJ21" s="356">
        <f t="shared" si="9"/>
        <v>75871237.1698118</v>
      </c>
      <c r="AK21" s="354">
        <f t="shared" si="10"/>
        <v>425500000</v>
      </c>
      <c r="AL21" s="355"/>
      <c r="AM21" s="355">
        <v>100000000</v>
      </c>
      <c r="AN21" s="355">
        <v>105000000</v>
      </c>
      <c r="AO21" s="356">
        <v>220500000</v>
      </c>
      <c r="AP21" s="901"/>
      <c r="AQ21" s="435">
        <f>AR21</f>
        <v>278675960.74515653</v>
      </c>
      <c r="AR21" s="357">
        <f t="shared" si="1"/>
        <v>278675960.74515653</v>
      </c>
      <c r="AS21" s="358">
        <f t="shared" si="2"/>
        <v>63702953.755291097</v>
      </c>
      <c r="AT21" s="358">
        <f t="shared" si="3"/>
        <v>67525130.980608568</v>
      </c>
      <c r="AU21" s="358">
        <f t="shared" si="4"/>
        <v>71576638.839445084</v>
      </c>
      <c r="AV21" s="359">
        <f t="shared" si="5"/>
        <v>75871237.1698118</v>
      </c>
      <c r="AW21" s="359"/>
      <c r="AX21" s="883" t="s">
        <v>830</v>
      </c>
    </row>
    <row r="22" spans="1:50" ht="120">
      <c r="A22" s="360" t="s">
        <v>1502</v>
      </c>
      <c r="B22" s="429" t="s">
        <v>1496</v>
      </c>
      <c r="C22" s="395">
        <v>2.4</v>
      </c>
      <c r="D22" s="436" t="s">
        <v>932</v>
      </c>
      <c r="E22" s="343" t="s">
        <v>933</v>
      </c>
      <c r="F22" s="373" t="s">
        <v>1542</v>
      </c>
      <c r="G22" s="696" t="str">
        <f t="shared" si="0"/>
        <v>2.4.1 Aprobación y ejecución del plan de ordenación forestal</v>
      </c>
      <c r="H22" s="437" t="s">
        <v>1543</v>
      </c>
      <c r="I22" s="420" t="s">
        <v>828</v>
      </c>
      <c r="J22" s="344" t="s">
        <v>845</v>
      </c>
      <c r="K22" s="420" t="s">
        <v>934</v>
      </c>
      <c r="L22" s="422">
        <v>1</v>
      </c>
      <c r="M22" s="422">
        <v>0.5</v>
      </c>
      <c r="N22" s="422">
        <v>0.7</v>
      </c>
      <c r="O22" s="422">
        <v>0.9</v>
      </c>
      <c r="P22" s="422">
        <v>1</v>
      </c>
      <c r="Q22" s="423" t="s">
        <v>127</v>
      </c>
      <c r="R22" s="867" t="s">
        <v>1805</v>
      </c>
      <c r="S22" s="458" t="s">
        <v>1785</v>
      </c>
      <c r="T22" s="852" t="s">
        <v>832</v>
      </c>
      <c r="U22" s="426"/>
      <c r="V22" s="922"/>
      <c r="W22" s="942"/>
      <c r="X22" s="438">
        <f>Y22</f>
        <v>384426046.05116314</v>
      </c>
      <c r="Y22" s="350">
        <f t="shared" si="6"/>
        <v>384426046.05116314</v>
      </c>
      <c r="Z22" s="425">
        <f>85528507.024+5000000</f>
        <v>90528507.024000004</v>
      </c>
      <c r="AA22" s="425">
        <f>Z22*4%+Z22</f>
        <v>94149647.304959998</v>
      </c>
      <c r="AB22" s="425">
        <f>AA22*4%+AA22</f>
        <v>97915633.197158396</v>
      </c>
      <c r="AC22" s="949">
        <f>AB22*4%+AB22</f>
        <v>101832258.52504474</v>
      </c>
      <c r="AD22" s="933" t="s">
        <v>935</v>
      </c>
      <c r="AE22" s="353"/>
      <c r="AF22" s="354">
        <f t="shared" si="8"/>
        <v>481801967.67727959</v>
      </c>
      <c r="AG22" s="355">
        <v>110135830.819729</v>
      </c>
      <c r="AH22" s="355">
        <f t="shared" si="9"/>
        <v>116743980.66891275</v>
      </c>
      <c r="AI22" s="355">
        <f t="shared" si="9"/>
        <v>123748619.50904752</v>
      </c>
      <c r="AJ22" s="356">
        <f t="shared" si="9"/>
        <v>131173536.67959037</v>
      </c>
      <c r="AK22" s="354">
        <f t="shared" si="10"/>
        <v>0</v>
      </c>
      <c r="AL22" s="355"/>
      <c r="AM22" s="355"/>
      <c r="AN22" s="355"/>
      <c r="AO22" s="356"/>
      <c r="AP22" s="901"/>
      <c r="AQ22" s="438">
        <f>AR22</f>
        <v>866228013.72844267</v>
      </c>
      <c r="AR22" s="357">
        <f t="shared" si="1"/>
        <v>866228013.72844267</v>
      </c>
      <c r="AS22" s="358">
        <f t="shared" si="2"/>
        <v>200664337.84372902</v>
      </c>
      <c r="AT22" s="358">
        <f t="shared" si="3"/>
        <v>210893627.97387275</v>
      </c>
      <c r="AU22" s="358">
        <f t="shared" si="4"/>
        <v>221664252.7062059</v>
      </c>
      <c r="AV22" s="359">
        <f t="shared" si="5"/>
        <v>233005795.20463511</v>
      </c>
      <c r="AW22" s="359"/>
      <c r="AX22" s="887" t="s">
        <v>127</v>
      </c>
    </row>
    <row r="23" spans="1:50" ht="154.5" customHeight="1">
      <c r="A23" s="360" t="s">
        <v>1502</v>
      </c>
      <c r="B23" s="429" t="s">
        <v>1496</v>
      </c>
      <c r="C23" s="341">
        <v>2.5</v>
      </c>
      <c r="D23" s="430" t="s">
        <v>936</v>
      </c>
      <c r="E23" s="343" t="s">
        <v>937</v>
      </c>
      <c r="F23" s="344" t="s">
        <v>938</v>
      </c>
      <c r="G23" s="696" t="str">
        <f t="shared" si="0"/>
        <v>2.5.1 Implementación de medidas de conservación y manejo en especies priorizadas</v>
      </c>
      <c r="H23" s="431" t="s">
        <v>939</v>
      </c>
      <c r="I23" s="345" t="s">
        <v>828</v>
      </c>
      <c r="J23" s="344" t="s">
        <v>437</v>
      </c>
      <c r="K23" s="345" t="s">
        <v>940</v>
      </c>
      <c r="L23" s="347">
        <v>1</v>
      </c>
      <c r="M23" s="347">
        <v>0.5</v>
      </c>
      <c r="N23" s="347">
        <v>0.65</v>
      </c>
      <c r="O23" s="347">
        <v>0.85</v>
      </c>
      <c r="P23" s="347">
        <v>1</v>
      </c>
      <c r="Q23" s="368" t="s">
        <v>830</v>
      </c>
      <c r="R23" s="867" t="s">
        <v>1805</v>
      </c>
      <c r="S23" s="386" t="s">
        <v>1787</v>
      </c>
      <c r="T23" s="848" t="s">
        <v>832</v>
      </c>
      <c r="U23" s="352"/>
      <c r="V23" s="918"/>
      <c r="W23" s="942"/>
      <c r="X23" s="439">
        <f>SUM(Y23:Y25)</f>
        <v>2551213708.7124481</v>
      </c>
      <c r="Y23" s="350">
        <f t="shared" si="6"/>
        <v>822478214.31244791</v>
      </c>
      <c r="Z23" s="363">
        <f>54000000+10000000+8785432+120900000</f>
        <v>193685432</v>
      </c>
      <c r="AA23" s="363">
        <f>Z23*4%+Z23</f>
        <v>201432849.28</v>
      </c>
      <c r="AB23" s="363">
        <f t="shared" ref="AB23:AC25" si="12">AA23*4%+AA23</f>
        <v>209490163.25119999</v>
      </c>
      <c r="AC23" s="943">
        <f t="shared" si="12"/>
        <v>217869769.781248</v>
      </c>
      <c r="AD23" s="381" t="s">
        <v>941</v>
      </c>
      <c r="AE23" s="353"/>
      <c r="AF23" s="354">
        <f t="shared" si="8"/>
        <v>642777717.9904716</v>
      </c>
      <c r="AG23" s="355">
        <f>110135830.819729+36797687</f>
        <v>146933517.819729</v>
      </c>
      <c r="AH23" s="355">
        <f t="shared" si="9"/>
        <v>155749528.88891274</v>
      </c>
      <c r="AI23" s="355">
        <f t="shared" si="9"/>
        <v>165094500.62224752</v>
      </c>
      <c r="AJ23" s="356">
        <f t="shared" si="9"/>
        <v>175000170.65958238</v>
      </c>
      <c r="AK23" s="354">
        <f t="shared" si="10"/>
        <v>625000000</v>
      </c>
      <c r="AL23" s="355">
        <v>100000000</v>
      </c>
      <c r="AM23" s="355">
        <v>150000000</v>
      </c>
      <c r="AN23" s="355">
        <v>175000000</v>
      </c>
      <c r="AO23" s="356">
        <v>200000000</v>
      </c>
      <c r="AP23" s="901"/>
      <c r="AQ23" s="439">
        <f>SUM(AR23:AR25)</f>
        <v>4209363552.2951894</v>
      </c>
      <c r="AR23" s="357">
        <f t="shared" si="1"/>
        <v>1465255932.3029194</v>
      </c>
      <c r="AS23" s="358">
        <f t="shared" si="2"/>
        <v>340618949.81972897</v>
      </c>
      <c r="AT23" s="358">
        <f t="shared" si="3"/>
        <v>357182378.16891277</v>
      </c>
      <c r="AU23" s="358">
        <f t="shared" si="4"/>
        <v>374584663.87344754</v>
      </c>
      <c r="AV23" s="359">
        <f t="shared" si="5"/>
        <v>392869940.44083035</v>
      </c>
      <c r="AW23" s="359"/>
      <c r="AX23" s="883" t="s">
        <v>830</v>
      </c>
    </row>
    <row r="24" spans="1:50" ht="135">
      <c r="A24" s="360" t="s">
        <v>1502</v>
      </c>
      <c r="B24" s="429" t="s">
        <v>1496</v>
      </c>
      <c r="C24" s="417">
        <v>2.5</v>
      </c>
      <c r="D24" s="440" t="s">
        <v>936</v>
      </c>
      <c r="E24" s="343" t="s">
        <v>942</v>
      </c>
      <c r="F24" s="344" t="s">
        <v>943</v>
      </c>
      <c r="G24" s="696" t="str">
        <f t="shared" si="0"/>
        <v>2.5.2 Implementación de medidas de conservación y manejo en especies amenazadas</v>
      </c>
      <c r="H24" s="431" t="s">
        <v>944</v>
      </c>
      <c r="I24" s="345" t="s">
        <v>828</v>
      </c>
      <c r="J24" s="344" t="s">
        <v>437</v>
      </c>
      <c r="K24" s="345" t="s">
        <v>945</v>
      </c>
      <c r="L24" s="347">
        <v>1</v>
      </c>
      <c r="M24" s="347">
        <v>0.5</v>
      </c>
      <c r="N24" s="347">
        <v>0.65</v>
      </c>
      <c r="O24" s="347">
        <v>0.85</v>
      </c>
      <c r="P24" s="347">
        <v>1</v>
      </c>
      <c r="Q24" s="368" t="s">
        <v>127</v>
      </c>
      <c r="R24" s="867" t="s">
        <v>1805</v>
      </c>
      <c r="S24" s="386" t="s">
        <v>1787</v>
      </c>
      <c r="T24" s="848" t="s">
        <v>832</v>
      </c>
      <c r="U24" s="352"/>
      <c r="V24" s="918"/>
      <c r="W24" s="942"/>
      <c r="X24" s="439"/>
      <c r="Y24" s="350">
        <f t="shared" si="6"/>
        <v>247144204.80000001</v>
      </c>
      <c r="Z24" s="363">
        <f>54000000+4200000</f>
        <v>58200000</v>
      </c>
      <c r="AA24" s="363">
        <f>Z24*4%+Z24</f>
        <v>60528000</v>
      </c>
      <c r="AB24" s="363">
        <f t="shared" si="12"/>
        <v>62949120</v>
      </c>
      <c r="AC24" s="943">
        <f t="shared" si="12"/>
        <v>65467084.799999997</v>
      </c>
      <c r="AD24" s="381" t="s">
        <v>946</v>
      </c>
      <c r="AE24" s="353"/>
      <c r="AF24" s="354">
        <f t="shared" si="8"/>
        <v>258593465.76107579</v>
      </c>
      <c r="AG24" s="355">
        <v>59112266.256301299</v>
      </c>
      <c r="AH24" s="355">
        <f t="shared" si="9"/>
        <v>62659002.23167938</v>
      </c>
      <c r="AI24" s="355">
        <f t="shared" si="9"/>
        <v>66418542.365580149</v>
      </c>
      <c r="AJ24" s="356">
        <f t="shared" si="9"/>
        <v>70403654.90751496</v>
      </c>
      <c r="AK24" s="354">
        <f t="shared" si="10"/>
        <v>625000000</v>
      </c>
      <c r="AL24" s="355">
        <v>100000000</v>
      </c>
      <c r="AM24" s="355">
        <v>150000000</v>
      </c>
      <c r="AN24" s="355">
        <v>175000000</v>
      </c>
      <c r="AO24" s="356">
        <v>200000000</v>
      </c>
      <c r="AP24" s="901"/>
      <c r="AQ24" s="439"/>
      <c r="AR24" s="357">
        <f t="shared" si="1"/>
        <v>505737670.56107581</v>
      </c>
      <c r="AS24" s="358">
        <f t="shared" si="2"/>
        <v>117312266.2563013</v>
      </c>
      <c r="AT24" s="358">
        <f t="shared" si="3"/>
        <v>123187002.23167938</v>
      </c>
      <c r="AU24" s="358">
        <f t="shared" si="4"/>
        <v>129367662.36558014</v>
      </c>
      <c r="AV24" s="359">
        <f t="shared" si="5"/>
        <v>135870739.70751494</v>
      </c>
      <c r="AW24" s="359"/>
      <c r="AX24" s="883" t="s">
        <v>127</v>
      </c>
    </row>
    <row r="25" spans="1:50" ht="120">
      <c r="A25" s="360" t="s">
        <v>1502</v>
      </c>
      <c r="B25" s="429" t="s">
        <v>1496</v>
      </c>
      <c r="C25" s="395">
        <v>2.5</v>
      </c>
      <c r="D25" s="440" t="s">
        <v>936</v>
      </c>
      <c r="E25" s="343" t="s">
        <v>947</v>
      </c>
      <c r="F25" s="344" t="s">
        <v>948</v>
      </c>
      <c r="G25" s="696" t="str">
        <f t="shared" si="0"/>
        <v>2.5.3 Implementación de medidas de prevención, control y manejo en especies invasoras.</v>
      </c>
      <c r="H25" s="431" t="s">
        <v>949</v>
      </c>
      <c r="I25" s="345" t="s">
        <v>836</v>
      </c>
      <c r="J25" s="344" t="s">
        <v>437</v>
      </c>
      <c r="K25" s="345" t="s">
        <v>950</v>
      </c>
      <c r="L25" s="347">
        <v>1</v>
      </c>
      <c r="M25" s="347">
        <v>0.3</v>
      </c>
      <c r="N25" s="347">
        <v>0.5</v>
      </c>
      <c r="O25" s="347">
        <v>0.65</v>
      </c>
      <c r="P25" s="347">
        <v>1</v>
      </c>
      <c r="Q25" s="368" t="s">
        <v>127</v>
      </c>
      <c r="R25" s="867" t="s">
        <v>1805</v>
      </c>
      <c r="S25" s="386" t="s">
        <v>1787</v>
      </c>
      <c r="T25" s="848" t="s">
        <v>832</v>
      </c>
      <c r="U25" s="352"/>
      <c r="V25" s="918"/>
      <c r="W25" s="942"/>
      <c r="X25" s="441"/>
      <c r="Y25" s="350">
        <f t="shared" si="6"/>
        <v>1481591289.5999999</v>
      </c>
      <c r="Z25" s="363">
        <f>343000000+5900000</f>
        <v>348900000</v>
      </c>
      <c r="AA25" s="363">
        <f>Z25*4%+Z25</f>
        <v>362856000</v>
      </c>
      <c r="AB25" s="363">
        <f t="shared" si="12"/>
        <v>377370240</v>
      </c>
      <c r="AC25" s="943">
        <f t="shared" si="12"/>
        <v>392465049.60000002</v>
      </c>
      <c r="AD25" s="381" t="s">
        <v>951</v>
      </c>
      <c r="AE25" s="353"/>
      <c r="AF25" s="354">
        <f t="shared" si="8"/>
        <v>756778659.83119464</v>
      </c>
      <c r="AG25" s="355">
        <f>86637375.7170048+86355787.5300538</f>
        <v>172993163.2470586</v>
      </c>
      <c r="AH25" s="355">
        <f t="shared" si="9"/>
        <v>183372753.04188213</v>
      </c>
      <c r="AI25" s="355">
        <f t="shared" si="9"/>
        <v>194375118.22439507</v>
      </c>
      <c r="AJ25" s="356">
        <f t="shared" si="9"/>
        <v>206037625.31785879</v>
      </c>
      <c r="AK25" s="354">
        <f t="shared" si="10"/>
        <v>675000000</v>
      </c>
      <c r="AL25" s="355"/>
      <c r="AM25" s="355">
        <v>200000000</v>
      </c>
      <c r="AN25" s="355">
        <v>225000000</v>
      </c>
      <c r="AO25" s="356">
        <v>250000000</v>
      </c>
      <c r="AP25" s="901"/>
      <c r="AQ25" s="441"/>
      <c r="AR25" s="357">
        <f t="shared" si="1"/>
        <v>2238369949.4311943</v>
      </c>
      <c r="AS25" s="358">
        <f t="shared" si="2"/>
        <v>521893163.24705863</v>
      </c>
      <c r="AT25" s="358">
        <f t="shared" si="3"/>
        <v>546228753.04188216</v>
      </c>
      <c r="AU25" s="358">
        <f t="shared" si="4"/>
        <v>571745358.22439504</v>
      </c>
      <c r="AV25" s="359">
        <f t="shared" si="5"/>
        <v>598502674.91785884</v>
      </c>
      <c r="AW25" s="359"/>
      <c r="AX25" s="883" t="s">
        <v>127</v>
      </c>
    </row>
    <row r="26" spans="1:50" ht="69.95" customHeight="1" thickBot="1">
      <c r="A26" s="360" t="s">
        <v>1502</v>
      </c>
      <c r="B26" s="429" t="s">
        <v>1496</v>
      </c>
      <c r="C26" s="442">
        <v>2.6</v>
      </c>
      <c r="D26" s="443" t="s">
        <v>952</v>
      </c>
      <c r="E26" s="444" t="s">
        <v>953</v>
      </c>
      <c r="F26" s="407" t="s">
        <v>954</v>
      </c>
      <c r="G26" s="732" t="str">
        <f t="shared" si="0"/>
        <v>2.6.1 Fortalecimiento de la capacidad de los actores para la gestión corresponsable en la conectividad de corredores biológicos y sus ecosistemas</v>
      </c>
      <c r="H26" s="407" t="s">
        <v>955</v>
      </c>
      <c r="I26" s="445" t="s">
        <v>867</v>
      </c>
      <c r="J26" s="748" t="s">
        <v>437</v>
      </c>
      <c r="K26" s="447" t="s">
        <v>829</v>
      </c>
      <c r="L26" s="448">
        <v>4</v>
      </c>
      <c r="M26" s="448">
        <v>1</v>
      </c>
      <c r="N26" s="448">
        <v>2</v>
      </c>
      <c r="O26" s="448">
        <v>3</v>
      </c>
      <c r="P26" s="448">
        <v>4</v>
      </c>
      <c r="Q26" s="878" t="s">
        <v>830</v>
      </c>
      <c r="R26" s="862" t="s">
        <v>1806</v>
      </c>
      <c r="S26" s="478" t="s">
        <v>1788</v>
      </c>
      <c r="T26" s="851" t="s">
        <v>900</v>
      </c>
      <c r="U26" s="414"/>
      <c r="V26" s="921"/>
      <c r="W26" s="947"/>
      <c r="X26" s="449">
        <f>Y26</f>
        <v>1098028616</v>
      </c>
      <c r="Y26" s="450">
        <f t="shared" si="6"/>
        <v>1098028616</v>
      </c>
      <c r="Z26" s="413">
        <v>251000000</v>
      </c>
      <c r="AA26" s="413">
        <f>Z26*1.06</f>
        <v>266060000</v>
      </c>
      <c r="AB26" s="413">
        <f t="shared" ref="AB26:AC26" si="13">AA26*1.06</f>
        <v>282023600</v>
      </c>
      <c r="AC26" s="948">
        <f t="shared" si="13"/>
        <v>298945016</v>
      </c>
      <c r="AD26" s="934" t="s">
        <v>956</v>
      </c>
      <c r="AE26" s="443"/>
      <c r="AF26" s="354">
        <f t="shared" si="8"/>
        <v>0</v>
      </c>
      <c r="AG26" s="355"/>
      <c r="AH26" s="355">
        <f t="shared" si="9"/>
        <v>0</v>
      </c>
      <c r="AI26" s="355">
        <f t="shared" si="9"/>
        <v>0</v>
      </c>
      <c r="AJ26" s="356">
        <f t="shared" si="9"/>
        <v>0</v>
      </c>
      <c r="AK26" s="354">
        <f t="shared" si="10"/>
        <v>296460015.60000002</v>
      </c>
      <c r="AL26" s="355"/>
      <c r="AM26" s="355">
        <f>AA26*0.35</f>
        <v>93121000</v>
      </c>
      <c r="AN26" s="355">
        <f>AB26*0.35</f>
        <v>98708260</v>
      </c>
      <c r="AO26" s="356">
        <f>AC26*0.35</f>
        <v>104630755.59999999</v>
      </c>
      <c r="AP26" s="903"/>
      <c r="AQ26" s="449">
        <f>AR26</f>
        <v>1098028616</v>
      </c>
      <c r="AR26" s="357">
        <f t="shared" si="1"/>
        <v>1098028616</v>
      </c>
      <c r="AS26" s="358">
        <f t="shared" si="2"/>
        <v>251000000</v>
      </c>
      <c r="AT26" s="358">
        <f t="shared" si="3"/>
        <v>266060000</v>
      </c>
      <c r="AU26" s="358">
        <f t="shared" si="4"/>
        <v>282023600</v>
      </c>
      <c r="AV26" s="359">
        <f t="shared" si="5"/>
        <v>298945016</v>
      </c>
      <c r="AW26" s="359"/>
      <c r="AX26" s="888" t="s">
        <v>830</v>
      </c>
    </row>
    <row r="27" spans="1:50" ht="180" customHeight="1">
      <c r="A27" s="451" t="s">
        <v>1503</v>
      </c>
      <c r="B27" s="452" t="s">
        <v>1492</v>
      </c>
      <c r="C27" s="417">
        <v>3.1</v>
      </c>
      <c r="D27" s="453" t="s">
        <v>957</v>
      </c>
      <c r="E27" s="419" t="s">
        <v>958</v>
      </c>
      <c r="F27" s="453" t="s">
        <v>959</v>
      </c>
      <c r="G27" s="731" t="str">
        <f t="shared" si="0"/>
        <v>3.1.1 Priorización de cuerpos de agua para la planificación del recurso hídrico</v>
      </c>
      <c r="H27" s="346" t="s">
        <v>1513</v>
      </c>
      <c r="I27" s="454" t="s">
        <v>836</v>
      </c>
      <c r="J27" s="346" t="s">
        <v>837</v>
      </c>
      <c r="K27" s="345" t="s">
        <v>960</v>
      </c>
      <c r="L27" s="455">
        <f>(4+2+2+3)/11</f>
        <v>1</v>
      </c>
      <c r="M27" s="455">
        <f>(4/11)</f>
        <v>0.36363636363636365</v>
      </c>
      <c r="N27" s="455">
        <f>(4+2)/11</f>
        <v>0.54545454545454541</v>
      </c>
      <c r="O27" s="455">
        <f>(4+2+2)/11</f>
        <v>0.72727272727272729</v>
      </c>
      <c r="P27" s="455">
        <f>(4+2+2+3)/11</f>
        <v>1</v>
      </c>
      <c r="Q27" s="423" t="s">
        <v>924</v>
      </c>
      <c r="R27" s="869" t="s">
        <v>1796</v>
      </c>
      <c r="S27" s="458" t="s">
        <v>1785</v>
      </c>
      <c r="T27" s="853" t="s">
        <v>890</v>
      </c>
      <c r="U27" s="459"/>
      <c r="V27" s="923"/>
      <c r="W27" s="950">
        <f>SUM(X27:X32)</f>
        <v>17994368375</v>
      </c>
      <c r="X27" s="457">
        <f>Y27</f>
        <v>1750000000</v>
      </c>
      <c r="Y27" s="350">
        <f t="shared" si="6"/>
        <v>1750000000</v>
      </c>
      <c r="Z27" s="425">
        <v>630000000</v>
      </c>
      <c r="AA27" s="425">
        <v>332500000</v>
      </c>
      <c r="AB27" s="425">
        <v>315000000</v>
      </c>
      <c r="AC27" s="949">
        <v>472500000</v>
      </c>
      <c r="AD27" s="933" t="s">
        <v>961</v>
      </c>
      <c r="AE27" s="427"/>
      <c r="AF27" s="354">
        <f t="shared" si="8"/>
        <v>0</v>
      </c>
      <c r="AG27" s="355">
        <v>0</v>
      </c>
      <c r="AH27" s="355">
        <f t="shared" si="9"/>
        <v>0</v>
      </c>
      <c r="AI27" s="355">
        <f t="shared" si="9"/>
        <v>0</v>
      </c>
      <c r="AJ27" s="356">
        <f t="shared" si="9"/>
        <v>0</v>
      </c>
      <c r="AK27" s="354">
        <f t="shared" si="10"/>
        <v>0</v>
      </c>
      <c r="AL27" s="355"/>
      <c r="AM27" s="355"/>
      <c r="AN27" s="355"/>
      <c r="AO27" s="356"/>
      <c r="AP27" s="904">
        <f>SUM(AQ27:AQ32)</f>
        <v>18862909272.73296</v>
      </c>
      <c r="AQ27" s="457">
        <f>AR27</f>
        <v>1750000000</v>
      </c>
      <c r="AR27" s="357">
        <f t="shared" si="1"/>
        <v>1750000000</v>
      </c>
      <c r="AS27" s="358">
        <f t="shared" si="2"/>
        <v>630000000</v>
      </c>
      <c r="AT27" s="358">
        <f t="shared" si="3"/>
        <v>332500000</v>
      </c>
      <c r="AU27" s="358">
        <f t="shared" si="4"/>
        <v>315000000</v>
      </c>
      <c r="AV27" s="359">
        <f t="shared" si="5"/>
        <v>472500000</v>
      </c>
      <c r="AW27" s="359"/>
      <c r="AX27" s="887" t="s">
        <v>924</v>
      </c>
    </row>
    <row r="28" spans="1:50" ht="240">
      <c r="A28" s="460" t="s">
        <v>1503</v>
      </c>
      <c r="B28" s="465" t="s">
        <v>1492</v>
      </c>
      <c r="C28" s="461">
        <v>3.2</v>
      </c>
      <c r="D28" s="372" t="s">
        <v>962</v>
      </c>
      <c r="E28" s="462" t="s">
        <v>963</v>
      </c>
      <c r="F28" s="344" t="s">
        <v>964</v>
      </c>
      <c r="G28" s="696" t="str">
        <f t="shared" si="0"/>
        <v>3.2.1 Formulación de Planes de Ordenamiento y Manejo de Cuenca</v>
      </c>
      <c r="H28" s="344" t="s">
        <v>1762</v>
      </c>
      <c r="I28" s="385" t="s">
        <v>930</v>
      </c>
      <c r="J28" s="344" t="s">
        <v>837</v>
      </c>
      <c r="K28" s="454" t="s">
        <v>965</v>
      </c>
      <c r="L28" s="455">
        <v>1</v>
      </c>
      <c r="M28" s="463">
        <v>1</v>
      </c>
      <c r="N28" s="463">
        <v>1</v>
      </c>
      <c r="O28" s="463">
        <v>1</v>
      </c>
      <c r="P28" s="463">
        <v>1</v>
      </c>
      <c r="Q28" s="368" t="s">
        <v>966</v>
      </c>
      <c r="R28" s="869" t="s">
        <v>1796</v>
      </c>
      <c r="S28" s="386" t="s">
        <v>1785</v>
      </c>
      <c r="T28" s="849" t="s">
        <v>878</v>
      </c>
      <c r="U28" s="387"/>
      <c r="V28" s="919"/>
      <c r="W28" s="950"/>
      <c r="X28" s="464">
        <f>SUM(Y28:Y31)</f>
        <v>15861689375</v>
      </c>
      <c r="Y28" s="350">
        <f t="shared" si="6"/>
        <v>9014500000</v>
      </c>
      <c r="Z28" s="363">
        <f>2109851356+150148644</f>
        <v>2260000000</v>
      </c>
      <c r="AA28" s="363">
        <v>2133000000</v>
      </c>
      <c r="AB28" s="363">
        <v>2251500000</v>
      </c>
      <c r="AC28" s="943">
        <v>2370000000</v>
      </c>
      <c r="AD28" s="381" t="s">
        <v>967</v>
      </c>
      <c r="AE28" s="353"/>
      <c r="AF28" s="354">
        <f t="shared" si="8"/>
        <v>517186933.65432805</v>
      </c>
      <c r="AG28" s="428">
        <f>184274018-66049485</f>
        <v>118224533</v>
      </c>
      <c r="AH28" s="355">
        <f t="shared" si="9"/>
        <v>125318004.98</v>
      </c>
      <c r="AI28" s="355">
        <f t="shared" si="9"/>
        <v>132837085.27880001</v>
      </c>
      <c r="AJ28" s="356">
        <f t="shared" si="9"/>
        <v>140807310.39552802</v>
      </c>
      <c r="AK28" s="354">
        <f t="shared" si="10"/>
        <v>0</v>
      </c>
      <c r="AL28" s="355"/>
      <c r="AM28" s="355"/>
      <c r="AN28" s="355"/>
      <c r="AO28" s="356"/>
      <c r="AP28" s="904"/>
      <c r="AQ28" s="464">
        <f>SUM(AR28:AR31)</f>
        <v>16730230272.73296</v>
      </c>
      <c r="AR28" s="357">
        <f t="shared" si="1"/>
        <v>9531686933.6543274</v>
      </c>
      <c r="AS28" s="358">
        <f t="shared" si="2"/>
        <v>2378224533</v>
      </c>
      <c r="AT28" s="358">
        <f t="shared" si="3"/>
        <v>2258318004.98</v>
      </c>
      <c r="AU28" s="358">
        <f t="shared" si="4"/>
        <v>2384337085.2788</v>
      </c>
      <c r="AV28" s="359">
        <f t="shared" si="5"/>
        <v>2510807310.3955278</v>
      </c>
      <c r="AW28" s="359" t="s">
        <v>880</v>
      </c>
      <c r="AX28" s="889" t="s">
        <v>968</v>
      </c>
    </row>
    <row r="29" spans="1:50" ht="240">
      <c r="A29" s="460" t="s">
        <v>1503</v>
      </c>
      <c r="B29" s="465" t="s">
        <v>1492</v>
      </c>
      <c r="C29" s="466">
        <v>3.2</v>
      </c>
      <c r="D29" s="390" t="s">
        <v>962</v>
      </c>
      <c r="E29" s="462" t="s">
        <v>969</v>
      </c>
      <c r="F29" s="344" t="s">
        <v>1544</v>
      </c>
      <c r="G29" s="696" t="str">
        <f t="shared" si="0"/>
        <v>3.2.2 Adopción de Planes de ordenamiento del recurso hídrico adoptados</v>
      </c>
      <c r="H29" s="353" t="s">
        <v>1545</v>
      </c>
      <c r="I29" s="385" t="s">
        <v>867</v>
      </c>
      <c r="J29" s="344" t="s">
        <v>837</v>
      </c>
      <c r="K29" s="454" t="s">
        <v>970</v>
      </c>
      <c r="L29" s="455">
        <v>1</v>
      </c>
      <c r="M29" s="455">
        <f>+(1)/1</f>
        <v>1</v>
      </c>
      <c r="N29" s="455">
        <f>+(4)/4</f>
        <v>1</v>
      </c>
      <c r="O29" s="455">
        <f>+(3)/3</f>
        <v>1</v>
      </c>
      <c r="P29" s="455">
        <f>+(3)/3</f>
        <v>1</v>
      </c>
      <c r="Q29" s="368" t="s">
        <v>924</v>
      </c>
      <c r="R29" s="876" t="s">
        <v>1796</v>
      </c>
      <c r="S29" s="386" t="s">
        <v>1785</v>
      </c>
      <c r="T29" s="849" t="s">
        <v>878</v>
      </c>
      <c r="U29" s="387"/>
      <c r="V29" s="919"/>
      <c r="W29" s="950"/>
      <c r="X29" s="464"/>
      <c r="Y29" s="350">
        <f t="shared" si="6"/>
        <v>4804500000</v>
      </c>
      <c r="Z29" s="363">
        <f>1300000000+204500000</f>
        <v>1504500000</v>
      </c>
      <c r="AA29" s="363">
        <v>1000000000</v>
      </c>
      <c r="AB29" s="363">
        <v>1100000000</v>
      </c>
      <c r="AC29" s="943">
        <v>1200000000</v>
      </c>
      <c r="AD29" s="381" t="s">
        <v>971</v>
      </c>
      <c r="AE29" s="353"/>
      <c r="AF29" s="354">
        <f t="shared" si="8"/>
        <v>351353964.07863206</v>
      </c>
      <c r="AG29" s="428">
        <v>80316527</v>
      </c>
      <c r="AH29" s="355">
        <f t="shared" si="9"/>
        <v>85135518.620000005</v>
      </c>
      <c r="AI29" s="355">
        <f t="shared" si="9"/>
        <v>90243649.737200007</v>
      </c>
      <c r="AJ29" s="356">
        <f t="shared" si="9"/>
        <v>95658268.721432015</v>
      </c>
      <c r="AK29" s="354">
        <f t="shared" si="10"/>
        <v>0</v>
      </c>
      <c r="AL29" s="355"/>
      <c r="AM29" s="355"/>
      <c r="AN29" s="355"/>
      <c r="AO29" s="356"/>
      <c r="AP29" s="904"/>
      <c r="AQ29" s="464"/>
      <c r="AR29" s="357">
        <f t="shared" si="1"/>
        <v>5155853964.0786324</v>
      </c>
      <c r="AS29" s="358">
        <f t="shared" si="2"/>
        <v>1584816527</v>
      </c>
      <c r="AT29" s="358">
        <f t="shared" si="3"/>
        <v>1085135518.6199999</v>
      </c>
      <c r="AU29" s="358">
        <f t="shared" si="4"/>
        <v>1190243649.7372</v>
      </c>
      <c r="AV29" s="359">
        <f t="shared" si="5"/>
        <v>1295658268.721432</v>
      </c>
      <c r="AW29" s="359" t="s">
        <v>972</v>
      </c>
      <c r="AX29" s="883" t="s">
        <v>924</v>
      </c>
    </row>
    <row r="30" spans="1:50" ht="270">
      <c r="A30" s="460" t="s">
        <v>1503</v>
      </c>
      <c r="B30" s="465" t="s">
        <v>1492</v>
      </c>
      <c r="C30" s="466">
        <v>3.2</v>
      </c>
      <c r="D30" s="390" t="s">
        <v>962</v>
      </c>
      <c r="E30" s="462" t="s">
        <v>973</v>
      </c>
      <c r="F30" s="344" t="s">
        <v>1546</v>
      </c>
      <c r="G30" s="696" t="str">
        <f t="shared" si="0"/>
        <v>3.2.3 Formulación de Planes de Manejo de Acuíferos</v>
      </c>
      <c r="H30" s="344" t="s">
        <v>1547</v>
      </c>
      <c r="I30" s="385" t="s">
        <v>867</v>
      </c>
      <c r="J30" s="344" t="s">
        <v>837</v>
      </c>
      <c r="K30" s="454" t="s">
        <v>974</v>
      </c>
      <c r="L30" s="455">
        <v>1</v>
      </c>
      <c r="M30" s="463">
        <v>1</v>
      </c>
      <c r="N30" s="463">
        <v>1</v>
      </c>
      <c r="O30" s="463">
        <v>1</v>
      </c>
      <c r="P30" s="463">
        <v>1</v>
      </c>
      <c r="Q30" s="879" t="s">
        <v>975</v>
      </c>
      <c r="R30" s="860" t="s">
        <v>1796</v>
      </c>
      <c r="S30" s="864" t="s">
        <v>1785</v>
      </c>
      <c r="T30" s="849" t="s">
        <v>878</v>
      </c>
      <c r="U30" s="387"/>
      <c r="V30" s="919"/>
      <c r="W30" s="950"/>
      <c r="X30" s="464"/>
      <c r="Y30" s="350">
        <f t="shared" si="6"/>
        <v>1542689375</v>
      </c>
      <c r="Z30" s="363">
        <v>500000000</v>
      </c>
      <c r="AA30" s="363">
        <v>330750000</v>
      </c>
      <c r="AB30" s="363">
        <v>347287500</v>
      </c>
      <c r="AC30" s="943">
        <v>364651875</v>
      </c>
      <c r="AD30" s="381" t="s">
        <v>976</v>
      </c>
      <c r="AE30" s="353"/>
      <c r="AF30" s="354">
        <f t="shared" si="8"/>
        <v>0</v>
      </c>
      <c r="AG30" s="428">
        <v>0</v>
      </c>
      <c r="AH30" s="355">
        <f t="shared" si="9"/>
        <v>0</v>
      </c>
      <c r="AI30" s="355">
        <f t="shared" si="9"/>
        <v>0</v>
      </c>
      <c r="AJ30" s="356">
        <f t="shared" si="9"/>
        <v>0</v>
      </c>
      <c r="AK30" s="354">
        <f t="shared" si="10"/>
        <v>0</v>
      </c>
      <c r="AL30" s="355"/>
      <c r="AM30" s="355"/>
      <c r="AN30" s="355"/>
      <c r="AO30" s="356"/>
      <c r="AP30" s="904"/>
      <c r="AQ30" s="464"/>
      <c r="AR30" s="357">
        <f t="shared" si="1"/>
        <v>1542689375</v>
      </c>
      <c r="AS30" s="358">
        <f t="shared" si="2"/>
        <v>500000000</v>
      </c>
      <c r="AT30" s="358">
        <f t="shared" si="3"/>
        <v>330750000</v>
      </c>
      <c r="AU30" s="358">
        <f t="shared" si="4"/>
        <v>347287500</v>
      </c>
      <c r="AV30" s="359">
        <f t="shared" si="5"/>
        <v>364651875</v>
      </c>
      <c r="AW30" s="359" t="s">
        <v>880</v>
      </c>
      <c r="AX30" s="890" t="s">
        <v>975</v>
      </c>
    </row>
    <row r="31" spans="1:50" ht="210">
      <c r="A31" s="460" t="s">
        <v>1503</v>
      </c>
      <c r="B31" s="465" t="s">
        <v>1492</v>
      </c>
      <c r="C31" s="467">
        <v>3.2</v>
      </c>
      <c r="D31" s="468" t="s">
        <v>962</v>
      </c>
      <c r="E31" s="462" t="s">
        <v>977</v>
      </c>
      <c r="F31" s="344" t="s">
        <v>1732</v>
      </c>
      <c r="G31" s="696" t="str">
        <f t="shared" si="0"/>
        <v>3.2.4 Formulación de Planes de Manejo de Microcuencas</v>
      </c>
      <c r="H31" s="344" t="s">
        <v>1548</v>
      </c>
      <c r="I31" s="385" t="s">
        <v>867</v>
      </c>
      <c r="J31" s="344" t="s">
        <v>837</v>
      </c>
      <c r="K31" s="454" t="s">
        <v>978</v>
      </c>
      <c r="L31" s="455">
        <v>1</v>
      </c>
      <c r="M31" s="469">
        <v>0</v>
      </c>
      <c r="N31" s="469">
        <v>0</v>
      </c>
      <c r="O31" s="463">
        <v>1</v>
      </c>
      <c r="P31" s="463">
        <v>1</v>
      </c>
      <c r="Q31" s="392" t="s">
        <v>975</v>
      </c>
      <c r="R31" s="860" t="s">
        <v>1796</v>
      </c>
      <c r="S31" s="865" t="s">
        <v>1785</v>
      </c>
      <c r="T31" s="849" t="s">
        <v>878</v>
      </c>
      <c r="U31" s="387"/>
      <c r="V31" s="919"/>
      <c r="W31" s="950"/>
      <c r="X31" s="470"/>
      <c r="Y31" s="350">
        <f t="shared" si="6"/>
        <v>500000000</v>
      </c>
      <c r="Z31" s="363">
        <v>0</v>
      </c>
      <c r="AA31" s="363">
        <v>0</v>
      </c>
      <c r="AB31" s="363">
        <v>250000000</v>
      </c>
      <c r="AC31" s="943">
        <v>250000000</v>
      </c>
      <c r="AD31" s="381" t="s">
        <v>979</v>
      </c>
      <c r="AE31" s="353"/>
      <c r="AF31" s="354">
        <f t="shared" si="8"/>
        <v>0</v>
      </c>
      <c r="AG31" s="428">
        <v>0</v>
      </c>
      <c r="AH31" s="355">
        <f t="shared" si="9"/>
        <v>0</v>
      </c>
      <c r="AI31" s="355">
        <f t="shared" si="9"/>
        <v>0</v>
      </c>
      <c r="AJ31" s="356">
        <f t="shared" si="9"/>
        <v>0</v>
      </c>
      <c r="AK31" s="354">
        <f t="shared" si="10"/>
        <v>0</v>
      </c>
      <c r="AL31" s="355"/>
      <c r="AM31" s="355"/>
      <c r="AN31" s="355"/>
      <c r="AO31" s="356"/>
      <c r="AP31" s="904"/>
      <c r="AQ31" s="470"/>
      <c r="AR31" s="357">
        <f t="shared" si="1"/>
        <v>500000000</v>
      </c>
      <c r="AS31" s="358">
        <f t="shared" si="2"/>
        <v>0</v>
      </c>
      <c r="AT31" s="358">
        <f t="shared" si="3"/>
        <v>0</v>
      </c>
      <c r="AU31" s="358">
        <f t="shared" si="4"/>
        <v>250000000</v>
      </c>
      <c r="AV31" s="359">
        <f t="shared" si="5"/>
        <v>250000000</v>
      </c>
      <c r="AW31" s="359" t="s">
        <v>880</v>
      </c>
      <c r="AX31" s="891" t="s">
        <v>975</v>
      </c>
    </row>
    <row r="32" spans="1:50" ht="120.75" thickBot="1">
      <c r="A32" s="460" t="s">
        <v>1503</v>
      </c>
      <c r="B32" s="465" t="s">
        <v>1492</v>
      </c>
      <c r="C32" s="471">
        <v>3.3</v>
      </c>
      <c r="D32" s="472" t="s">
        <v>980</v>
      </c>
      <c r="E32" s="444" t="s">
        <v>981</v>
      </c>
      <c r="F32" s="473" t="s">
        <v>982</v>
      </c>
      <c r="G32" s="732" t="str">
        <f t="shared" si="0"/>
        <v>3.3.1 Fortalecimiento de las capacidades de los actores para la participación en la planificación del patrimonio hídrico</v>
      </c>
      <c r="H32" s="407" t="s">
        <v>983</v>
      </c>
      <c r="I32" s="474" t="s">
        <v>930</v>
      </c>
      <c r="J32" s="407" t="s">
        <v>437</v>
      </c>
      <c r="K32" s="475" t="s">
        <v>984</v>
      </c>
      <c r="L32" s="476">
        <v>2</v>
      </c>
      <c r="M32" s="476">
        <v>2</v>
      </c>
      <c r="N32" s="476">
        <v>2</v>
      </c>
      <c r="O32" s="476">
        <v>2</v>
      </c>
      <c r="P32" s="476">
        <v>2</v>
      </c>
      <c r="Q32" s="878" t="s">
        <v>975</v>
      </c>
      <c r="R32" s="862" t="s">
        <v>1806</v>
      </c>
      <c r="S32" s="478" t="s">
        <v>1788</v>
      </c>
      <c r="T32" s="854" t="s">
        <v>900</v>
      </c>
      <c r="U32" s="479"/>
      <c r="V32" s="924"/>
      <c r="W32" s="951"/>
      <c r="X32" s="477">
        <f>Y32</f>
        <v>382679000</v>
      </c>
      <c r="Y32" s="450">
        <f t="shared" si="6"/>
        <v>382679000</v>
      </c>
      <c r="Z32" s="413">
        <v>91550000</v>
      </c>
      <c r="AA32" s="413">
        <f>91550000*1.06</f>
        <v>97043000</v>
      </c>
      <c r="AB32" s="413">
        <f t="shared" ref="AB32:AC32" si="14">91550000*1.06</f>
        <v>97043000</v>
      </c>
      <c r="AC32" s="948">
        <f t="shared" si="14"/>
        <v>97043000</v>
      </c>
      <c r="AD32" s="934" t="s">
        <v>985</v>
      </c>
      <c r="AE32" s="443"/>
      <c r="AF32" s="354">
        <f t="shared" si="8"/>
        <v>0</v>
      </c>
      <c r="AG32" s="355"/>
      <c r="AH32" s="355">
        <f t="shared" si="9"/>
        <v>0</v>
      </c>
      <c r="AI32" s="355">
        <f t="shared" si="9"/>
        <v>0</v>
      </c>
      <c r="AJ32" s="356">
        <f t="shared" si="9"/>
        <v>0</v>
      </c>
      <c r="AK32" s="354">
        <f t="shared" si="10"/>
        <v>101895150</v>
      </c>
      <c r="AL32" s="355"/>
      <c r="AM32" s="355">
        <f>AA32*0.35</f>
        <v>33965050</v>
      </c>
      <c r="AN32" s="355">
        <f>AB32*0.35</f>
        <v>33965050</v>
      </c>
      <c r="AO32" s="356">
        <f>AC32*0.35</f>
        <v>33965050</v>
      </c>
      <c r="AP32" s="905"/>
      <c r="AQ32" s="477">
        <f>AR32</f>
        <v>382679000</v>
      </c>
      <c r="AR32" s="357">
        <f t="shared" si="1"/>
        <v>382679000</v>
      </c>
      <c r="AS32" s="358">
        <f t="shared" si="2"/>
        <v>91550000</v>
      </c>
      <c r="AT32" s="358">
        <f t="shared" si="3"/>
        <v>97043000</v>
      </c>
      <c r="AU32" s="358">
        <f t="shared" si="4"/>
        <v>97043000</v>
      </c>
      <c r="AV32" s="359">
        <f t="shared" si="5"/>
        <v>97043000</v>
      </c>
      <c r="AW32" s="359"/>
      <c r="AX32" s="892" t="s">
        <v>975</v>
      </c>
    </row>
    <row r="33" spans="1:50" ht="90">
      <c r="A33" s="460" t="s">
        <v>1503</v>
      </c>
      <c r="B33" s="480" t="s">
        <v>1497</v>
      </c>
      <c r="C33" s="417">
        <v>4.0999999999999996</v>
      </c>
      <c r="D33" s="481" t="s">
        <v>986</v>
      </c>
      <c r="E33" s="419" t="s">
        <v>987</v>
      </c>
      <c r="F33" s="437" t="s">
        <v>1549</v>
      </c>
      <c r="G33" s="731" t="str">
        <f t="shared" si="0"/>
        <v>4.1.1 Ejecución de planes de Ordenación y Manejo de Cuencas Hidrográficas</v>
      </c>
      <c r="H33" s="346" t="s">
        <v>1550</v>
      </c>
      <c r="I33" s="454" t="s">
        <v>836</v>
      </c>
      <c r="J33" s="346" t="s">
        <v>837</v>
      </c>
      <c r="K33" s="454" t="s">
        <v>988</v>
      </c>
      <c r="L33" s="455">
        <v>1</v>
      </c>
      <c r="M33" s="455">
        <v>1</v>
      </c>
      <c r="N33" s="455">
        <v>1</v>
      </c>
      <c r="O33" s="455">
        <v>1</v>
      </c>
      <c r="P33" s="455">
        <v>1</v>
      </c>
      <c r="Q33" s="423" t="s">
        <v>989</v>
      </c>
      <c r="R33" s="863" t="s">
        <v>1796</v>
      </c>
      <c r="S33" s="458" t="s">
        <v>1787</v>
      </c>
      <c r="T33" s="853" t="s">
        <v>878</v>
      </c>
      <c r="U33" s="459"/>
      <c r="V33" s="923"/>
      <c r="W33" s="952">
        <f>SUM(X33:X43)</f>
        <v>93460184946</v>
      </c>
      <c r="X33" s="482">
        <f>SUM(Y33:Y36)</f>
        <v>15827667256</v>
      </c>
      <c r="Y33" s="350">
        <f t="shared" si="6"/>
        <v>6224000000</v>
      </c>
      <c r="Z33" s="425">
        <v>1444000000</v>
      </c>
      <c r="AA33" s="425">
        <v>1516000000</v>
      </c>
      <c r="AB33" s="425">
        <v>1592000000</v>
      </c>
      <c r="AC33" s="949">
        <v>1672000000</v>
      </c>
      <c r="AD33" s="933" t="s">
        <v>990</v>
      </c>
      <c r="AE33" s="427"/>
      <c r="AF33" s="354">
        <f t="shared" si="8"/>
        <v>0</v>
      </c>
      <c r="AG33" s="428">
        <v>0</v>
      </c>
      <c r="AH33" s="355">
        <f t="shared" si="9"/>
        <v>0</v>
      </c>
      <c r="AI33" s="355">
        <f t="shared" si="9"/>
        <v>0</v>
      </c>
      <c r="AJ33" s="356">
        <f t="shared" si="9"/>
        <v>0</v>
      </c>
      <c r="AK33" s="354">
        <f t="shared" si="10"/>
        <v>0</v>
      </c>
      <c r="AL33" s="355"/>
      <c r="AM33" s="355"/>
      <c r="AN33" s="355"/>
      <c r="AO33" s="356"/>
      <c r="AP33" s="906">
        <f>SUM(AQ33:AQ43)</f>
        <v>98969348825.745682</v>
      </c>
      <c r="AQ33" s="482">
        <f>SUM(AR33:AR36)</f>
        <v>16310517063.112528</v>
      </c>
      <c r="AR33" s="357">
        <f t="shared" si="1"/>
        <v>6224000000</v>
      </c>
      <c r="AS33" s="358">
        <f t="shared" si="2"/>
        <v>1444000000</v>
      </c>
      <c r="AT33" s="358">
        <f t="shared" si="3"/>
        <v>1516000000</v>
      </c>
      <c r="AU33" s="358">
        <f t="shared" si="4"/>
        <v>1592000000</v>
      </c>
      <c r="AV33" s="359">
        <f t="shared" si="5"/>
        <v>1672000000</v>
      </c>
      <c r="AW33" s="359" t="s">
        <v>880</v>
      </c>
      <c r="AX33" s="893" t="s">
        <v>991</v>
      </c>
    </row>
    <row r="34" spans="1:50" ht="150">
      <c r="A34" s="460" t="s">
        <v>1503</v>
      </c>
      <c r="B34" s="483" t="s">
        <v>1497</v>
      </c>
      <c r="C34" s="417">
        <v>4.0999999999999996</v>
      </c>
      <c r="D34" s="440" t="s">
        <v>986</v>
      </c>
      <c r="E34" s="343" t="s">
        <v>992</v>
      </c>
      <c r="F34" s="431" t="s">
        <v>1551</v>
      </c>
      <c r="G34" s="696" t="str">
        <f t="shared" ref="G34:G65" si="15">CONCATENATE(E34," ",F34)</f>
        <v>4.1.2 Ejecución de Planes de Ordenamiento del Recurso Hídrico</v>
      </c>
      <c r="H34" s="353" t="s">
        <v>1733</v>
      </c>
      <c r="I34" s="385" t="s">
        <v>828</v>
      </c>
      <c r="J34" s="344" t="s">
        <v>837</v>
      </c>
      <c r="K34" s="385" t="s">
        <v>993</v>
      </c>
      <c r="L34" s="484">
        <v>1</v>
      </c>
      <c r="M34" s="455">
        <v>1</v>
      </c>
      <c r="N34" s="455">
        <v>1</v>
      </c>
      <c r="O34" s="455">
        <v>1</v>
      </c>
      <c r="P34" s="455">
        <v>1</v>
      </c>
      <c r="Q34" s="368" t="s">
        <v>847</v>
      </c>
      <c r="R34" s="876" t="s">
        <v>1796</v>
      </c>
      <c r="S34" s="386" t="s">
        <v>1787</v>
      </c>
      <c r="T34" s="849" t="s">
        <v>878</v>
      </c>
      <c r="U34" s="387"/>
      <c r="V34" s="919"/>
      <c r="W34" s="952"/>
      <c r="X34" s="482"/>
      <c r="Y34" s="350">
        <f t="shared" si="6"/>
        <v>5500000000</v>
      </c>
      <c r="Z34" s="363">
        <f>1100000000+200000000</f>
        <v>1300000000</v>
      </c>
      <c r="AA34" s="363">
        <v>1350000000</v>
      </c>
      <c r="AB34" s="363">
        <v>1400000000</v>
      </c>
      <c r="AC34" s="943">
        <v>1450000000</v>
      </c>
      <c r="AD34" s="381" t="s">
        <v>994</v>
      </c>
      <c r="AE34" s="353"/>
      <c r="AF34" s="354">
        <f t="shared" si="8"/>
        <v>0</v>
      </c>
      <c r="AG34" s="428">
        <v>0</v>
      </c>
      <c r="AH34" s="355">
        <f t="shared" si="9"/>
        <v>0</v>
      </c>
      <c r="AI34" s="355">
        <f t="shared" si="9"/>
        <v>0</v>
      </c>
      <c r="AJ34" s="356">
        <f t="shared" si="9"/>
        <v>0</v>
      </c>
      <c r="AK34" s="354">
        <f t="shared" si="10"/>
        <v>0</v>
      </c>
      <c r="AL34" s="355"/>
      <c r="AM34" s="355"/>
      <c r="AN34" s="355"/>
      <c r="AO34" s="356"/>
      <c r="AP34" s="906"/>
      <c r="AQ34" s="482"/>
      <c r="AR34" s="357">
        <f t="shared" ref="AR34:AR65" si="16">Y34+AF34</f>
        <v>5500000000</v>
      </c>
      <c r="AS34" s="358">
        <f t="shared" ref="AS34:AS65" si="17">IFERROR(Z34+AG34,0)</f>
        <v>1300000000</v>
      </c>
      <c r="AT34" s="358">
        <f t="shared" ref="AT34:AT65" si="18">IFERROR(AA34+AH34,0)</f>
        <v>1350000000</v>
      </c>
      <c r="AU34" s="358">
        <f t="shared" ref="AU34:AU65" si="19">IFERROR(AB34+AI34,0)</f>
        <v>1400000000</v>
      </c>
      <c r="AV34" s="359">
        <f t="shared" ref="AV34:AV65" si="20">IFERROR(AC34+AJ34,0)</f>
        <v>1450000000</v>
      </c>
      <c r="AW34" s="359" t="s">
        <v>972</v>
      </c>
      <c r="AX34" s="883" t="s">
        <v>847</v>
      </c>
    </row>
    <row r="35" spans="1:50" ht="270">
      <c r="A35" s="460" t="s">
        <v>1503</v>
      </c>
      <c r="B35" s="483" t="s">
        <v>1497</v>
      </c>
      <c r="C35" s="417">
        <v>4.0999999999999996</v>
      </c>
      <c r="D35" s="440" t="s">
        <v>986</v>
      </c>
      <c r="E35" s="343" t="s">
        <v>995</v>
      </c>
      <c r="F35" s="431" t="s">
        <v>1552</v>
      </c>
      <c r="G35" s="696" t="str">
        <f t="shared" si="15"/>
        <v>4.1.3 Ejecución de Planes de Manejo de Acuíferos</v>
      </c>
      <c r="H35" s="344" t="s">
        <v>1553</v>
      </c>
      <c r="I35" s="385" t="s">
        <v>828</v>
      </c>
      <c r="J35" s="344" t="s">
        <v>837</v>
      </c>
      <c r="K35" s="385" t="s">
        <v>996</v>
      </c>
      <c r="L35" s="484">
        <v>1</v>
      </c>
      <c r="M35" s="455">
        <v>1</v>
      </c>
      <c r="N35" s="455">
        <v>1</v>
      </c>
      <c r="O35" s="455">
        <v>1</v>
      </c>
      <c r="P35" s="455">
        <v>1</v>
      </c>
      <c r="Q35" s="368" t="s">
        <v>830</v>
      </c>
      <c r="R35" s="860" t="s">
        <v>1796</v>
      </c>
      <c r="S35" s="386" t="s">
        <v>1787</v>
      </c>
      <c r="T35" s="849" t="s">
        <v>878</v>
      </c>
      <c r="U35" s="387"/>
      <c r="V35" s="919"/>
      <c r="W35" s="952"/>
      <c r="X35" s="482"/>
      <c r="Y35" s="350">
        <f t="shared" si="6"/>
        <v>1242888856</v>
      </c>
      <c r="Z35" s="363">
        <v>249851356</v>
      </c>
      <c r="AA35" s="363">
        <v>315000000</v>
      </c>
      <c r="AB35" s="363">
        <v>330750000</v>
      </c>
      <c r="AC35" s="943">
        <v>347287500</v>
      </c>
      <c r="AD35" s="381" t="s">
        <v>997</v>
      </c>
      <c r="AE35" s="353"/>
      <c r="AF35" s="354">
        <f t="shared" si="8"/>
        <v>0</v>
      </c>
      <c r="AG35" s="428">
        <v>0</v>
      </c>
      <c r="AH35" s="355">
        <f t="shared" ref="AH35:AJ66" si="21">IFERROR(AG35*1.06,AG35)</f>
        <v>0</v>
      </c>
      <c r="AI35" s="355">
        <f t="shared" si="21"/>
        <v>0</v>
      </c>
      <c r="AJ35" s="356">
        <f t="shared" si="21"/>
        <v>0</v>
      </c>
      <c r="AK35" s="354">
        <f t="shared" si="10"/>
        <v>0</v>
      </c>
      <c r="AL35" s="355"/>
      <c r="AM35" s="355"/>
      <c r="AN35" s="355"/>
      <c r="AO35" s="356"/>
      <c r="AP35" s="906"/>
      <c r="AQ35" s="482"/>
      <c r="AR35" s="357">
        <f t="shared" si="16"/>
        <v>1242888856</v>
      </c>
      <c r="AS35" s="358">
        <f t="shared" si="17"/>
        <v>249851356</v>
      </c>
      <c r="AT35" s="358">
        <f t="shared" si="18"/>
        <v>315000000</v>
      </c>
      <c r="AU35" s="358">
        <f t="shared" si="19"/>
        <v>330750000</v>
      </c>
      <c r="AV35" s="359">
        <f t="shared" si="20"/>
        <v>347287500</v>
      </c>
      <c r="AW35" s="359" t="s">
        <v>880</v>
      </c>
      <c r="AX35" s="883" t="s">
        <v>830</v>
      </c>
    </row>
    <row r="36" spans="1:50" ht="75">
      <c r="A36" s="460" t="s">
        <v>1503</v>
      </c>
      <c r="B36" s="483" t="s">
        <v>1497</v>
      </c>
      <c r="C36" s="395">
        <v>4.0999999999999996</v>
      </c>
      <c r="D36" s="485" t="s">
        <v>986</v>
      </c>
      <c r="E36" s="343" t="s">
        <v>998</v>
      </c>
      <c r="F36" s="431" t="s">
        <v>1734</v>
      </c>
      <c r="G36" s="696" t="str">
        <f>CONCATENATE(E36," ",F36)</f>
        <v>4.1.4 Implementación de acciones de manejo en cuencas abastecedoras</v>
      </c>
      <c r="H36" s="344" t="s">
        <v>1514</v>
      </c>
      <c r="I36" s="385" t="s">
        <v>867</v>
      </c>
      <c r="J36" s="344" t="s">
        <v>837</v>
      </c>
      <c r="K36" s="385" t="s">
        <v>999</v>
      </c>
      <c r="L36" s="348">
        <v>3200</v>
      </c>
      <c r="M36" s="348">
        <v>800</v>
      </c>
      <c r="N36" s="348">
        <v>800</v>
      </c>
      <c r="O36" s="348">
        <v>800</v>
      </c>
      <c r="P36" s="348">
        <v>800</v>
      </c>
      <c r="Q36" s="368" t="s">
        <v>847</v>
      </c>
      <c r="R36" s="863" t="s">
        <v>1796</v>
      </c>
      <c r="S36" s="386" t="s">
        <v>1787</v>
      </c>
      <c r="T36" s="849" t="s">
        <v>878</v>
      </c>
      <c r="U36" s="387"/>
      <c r="V36" s="919"/>
      <c r="W36" s="952"/>
      <c r="X36" s="486"/>
      <c r="Y36" s="350">
        <f t="shared" si="6"/>
        <v>2860778400</v>
      </c>
      <c r="Z36" s="363">
        <f>829668*800</f>
        <v>663734400</v>
      </c>
      <c r="AA36" s="363">
        <f>871151*800</f>
        <v>696920800</v>
      </c>
      <c r="AB36" s="363">
        <f>914709*800</f>
        <v>731767200</v>
      </c>
      <c r="AC36" s="943">
        <f>960445*800</f>
        <v>768356000</v>
      </c>
      <c r="AD36" s="381" t="s">
        <v>1000</v>
      </c>
      <c r="AE36" s="353"/>
      <c r="AF36" s="354">
        <f t="shared" si="8"/>
        <v>482849807.11252809</v>
      </c>
      <c r="AG36" s="428">
        <f>50425358+59950000</f>
        <v>110375358</v>
      </c>
      <c r="AH36" s="355">
        <f t="shared" si="21"/>
        <v>116997879.48</v>
      </c>
      <c r="AI36" s="355">
        <f t="shared" si="21"/>
        <v>124017752.24880001</v>
      </c>
      <c r="AJ36" s="356">
        <f t="shared" si="21"/>
        <v>131458817.38372801</v>
      </c>
      <c r="AK36" s="354">
        <f t="shared" si="10"/>
        <v>0</v>
      </c>
      <c r="AL36" s="355"/>
      <c r="AM36" s="355"/>
      <c r="AN36" s="355"/>
      <c r="AO36" s="356"/>
      <c r="AP36" s="906"/>
      <c r="AQ36" s="486"/>
      <c r="AR36" s="357">
        <f t="shared" si="16"/>
        <v>3343628207.1125278</v>
      </c>
      <c r="AS36" s="358">
        <f t="shared" si="17"/>
        <v>774109758</v>
      </c>
      <c r="AT36" s="358">
        <f t="shared" si="18"/>
        <v>813918679.48000002</v>
      </c>
      <c r="AU36" s="358">
        <f t="shared" si="19"/>
        <v>855784952.24880004</v>
      </c>
      <c r="AV36" s="359">
        <f t="shared" si="20"/>
        <v>899814817.38372803</v>
      </c>
      <c r="AW36" s="359" t="s">
        <v>880</v>
      </c>
      <c r="AX36" s="883" t="s">
        <v>847</v>
      </c>
    </row>
    <row r="37" spans="1:50" ht="96">
      <c r="A37" s="460" t="s">
        <v>1503</v>
      </c>
      <c r="B37" s="483" t="s">
        <v>1497</v>
      </c>
      <c r="C37" s="417">
        <v>4.2</v>
      </c>
      <c r="D37" s="487" t="s">
        <v>1001</v>
      </c>
      <c r="E37" s="343" t="s">
        <v>1002</v>
      </c>
      <c r="F37" s="373" t="s">
        <v>1003</v>
      </c>
      <c r="G37" s="696" t="str">
        <f t="shared" si="15"/>
        <v>4.2.1 Implementación de la estrategia para la apropiación social y gestión corresponsable del patrimonio hídrico</v>
      </c>
      <c r="H37" s="353" t="s">
        <v>1004</v>
      </c>
      <c r="I37" s="488" t="s">
        <v>930</v>
      </c>
      <c r="J37" s="344" t="s">
        <v>437</v>
      </c>
      <c r="K37" s="454" t="s">
        <v>1005</v>
      </c>
      <c r="L37" s="392">
        <v>1</v>
      </c>
      <c r="M37" s="392">
        <v>0.25</v>
      </c>
      <c r="N37" s="392">
        <v>0.5</v>
      </c>
      <c r="O37" s="392">
        <v>0.75</v>
      </c>
      <c r="P37" s="392">
        <v>1</v>
      </c>
      <c r="Q37" s="423" t="s">
        <v>975</v>
      </c>
      <c r="R37" s="863" t="s">
        <v>1796</v>
      </c>
      <c r="S37" s="458" t="s">
        <v>1788</v>
      </c>
      <c r="T37" s="853" t="s">
        <v>900</v>
      </c>
      <c r="U37" s="387"/>
      <c r="V37" s="919"/>
      <c r="W37" s="952"/>
      <c r="X37" s="489">
        <f>Y37</f>
        <v>895801748</v>
      </c>
      <c r="Y37" s="350">
        <f>SUM(Z37:AC37)</f>
        <v>895801748</v>
      </c>
      <c r="Z37" s="425">
        <v>102180000</v>
      </c>
      <c r="AA37" s="425">
        <v>243241641</v>
      </c>
      <c r="AB37" s="425">
        <v>271625768</v>
      </c>
      <c r="AC37" s="949">
        <v>278754339</v>
      </c>
      <c r="AD37" s="935" t="s">
        <v>1006</v>
      </c>
      <c r="AE37" s="353"/>
      <c r="AF37" s="354">
        <f t="shared" si="8"/>
        <v>0</v>
      </c>
      <c r="AG37" s="355"/>
      <c r="AH37" s="355">
        <f t="shared" si="21"/>
        <v>0</v>
      </c>
      <c r="AI37" s="355">
        <f t="shared" si="21"/>
        <v>0</v>
      </c>
      <c r="AJ37" s="356">
        <f t="shared" si="21"/>
        <v>0</v>
      </c>
      <c r="AK37" s="354">
        <f t="shared" si="10"/>
        <v>277767611.79999995</v>
      </c>
      <c r="AL37" s="355"/>
      <c r="AM37" s="355">
        <f>AA37*0.35</f>
        <v>85134574.349999994</v>
      </c>
      <c r="AN37" s="355">
        <f>AB37*0.35</f>
        <v>95069018.799999997</v>
      </c>
      <c r="AO37" s="356">
        <f>AC37*0.35</f>
        <v>97564018.649999991</v>
      </c>
      <c r="AP37" s="906"/>
      <c r="AQ37" s="489">
        <f>AR37</f>
        <v>895801748</v>
      </c>
      <c r="AR37" s="357">
        <f t="shared" si="16"/>
        <v>895801748</v>
      </c>
      <c r="AS37" s="358">
        <f t="shared" si="17"/>
        <v>102180000</v>
      </c>
      <c r="AT37" s="358">
        <f t="shared" si="18"/>
        <v>243241641</v>
      </c>
      <c r="AU37" s="358">
        <f t="shared" si="19"/>
        <v>271625768</v>
      </c>
      <c r="AV37" s="359">
        <f t="shared" si="20"/>
        <v>278754339</v>
      </c>
      <c r="AW37" s="359"/>
      <c r="AX37" s="887" t="s">
        <v>975</v>
      </c>
    </row>
    <row r="38" spans="1:50" ht="45">
      <c r="A38" s="460" t="s">
        <v>1503</v>
      </c>
      <c r="B38" s="483" t="s">
        <v>1497</v>
      </c>
      <c r="C38" s="400">
        <v>4.3</v>
      </c>
      <c r="D38" s="490" t="s">
        <v>1007</v>
      </c>
      <c r="E38" s="343" t="s">
        <v>1008</v>
      </c>
      <c r="F38" s="490" t="s">
        <v>1009</v>
      </c>
      <c r="G38" s="696" t="str">
        <f t="shared" si="15"/>
        <v>4.3.1 Mejoramiento del acceso al agua potable para las comunidades étnicas</v>
      </c>
      <c r="H38" s="491" t="s">
        <v>1010</v>
      </c>
      <c r="I38" s="488" t="s">
        <v>930</v>
      </c>
      <c r="J38" s="344" t="s">
        <v>437</v>
      </c>
      <c r="K38" s="385" t="s">
        <v>846</v>
      </c>
      <c r="L38" s="348">
        <v>3</v>
      </c>
      <c r="M38" s="348">
        <v>0</v>
      </c>
      <c r="N38" s="348">
        <v>1</v>
      </c>
      <c r="O38" s="348">
        <v>1</v>
      </c>
      <c r="P38" s="348">
        <v>1</v>
      </c>
      <c r="Q38" s="880" t="s">
        <v>975</v>
      </c>
      <c r="R38" s="861" t="s">
        <v>1793</v>
      </c>
      <c r="S38" s="613" t="s">
        <v>1787</v>
      </c>
      <c r="T38" s="849" t="s">
        <v>878</v>
      </c>
      <c r="U38" s="387"/>
      <c r="V38" s="919" t="s">
        <v>1012</v>
      </c>
      <c r="W38" s="952"/>
      <c r="X38" s="492">
        <f>Y38</f>
        <v>487500000</v>
      </c>
      <c r="Y38" s="350">
        <f t="shared" si="6"/>
        <v>487500000</v>
      </c>
      <c r="Z38" s="363">
        <v>0</v>
      </c>
      <c r="AA38" s="363">
        <v>150000000</v>
      </c>
      <c r="AB38" s="363">
        <f>150000000*1.05</f>
        <v>157500000</v>
      </c>
      <c r="AC38" s="943">
        <v>180000000</v>
      </c>
      <c r="AD38" s="381" t="s">
        <v>1011</v>
      </c>
      <c r="AE38" s="353"/>
      <c r="AF38" s="354">
        <f t="shared" si="8"/>
        <v>0</v>
      </c>
      <c r="AG38" s="428">
        <v>0</v>
      </c>
      <c r="AH38" s="355">
        <f t="shared" si="21"/>
        <v>0</v>
      </c>
      <c r="AI38" s="355">
        <f t="shared" si="21"/>
        <v>0</v>
      </c>
      <c r="AJ38" s="356">
        <f t="shared" si="21"/>
        <v>0</v>
      </c>
      <c r="AK38" s="354">
        <f t="shared" si="10"/>
        <v>0</v>
      </c>
      <c r="AL38" s="355"/>
      <c r="AM38" s="355"/>
      <c r="AN38" s="355"/>
      <c r="AO38" s="356"/>
      <c r="AP38" s="906"/>
      <c r="AQ38" s="492">
        <f>AR38</f>
        <v>487500000</v>
      </c>
      <c r="AR38" s="357">
        <f t="shared" si="16"/>
        <v>487500000</v>
      </c>
      <c r="AS38" s="358">
        <f t="shared" si="17"/>
        <v>0</v>
      </c>
      <c r="AT38" s="358">
        <f t="shared" si="18"/>
        <v>150000000</v>
      </c>
      <c r="AU38" s="358">
        <f t="shared" si="19"/>
        <v>157500000</v>
      </c>
      <c r="AV38" s="359">
        <f t="shared" si="20"/>
        <v>180000000</v>
      </c>
      <c r="AW38" s="359"/>
      <c r="AX38" s="894" t="s">
        <v>975</v>
      </c>
    </row>
    <row r="39" spans="1:50" ht="75">
      <c r="A39" s="460" t="s">
        <v>1503</v>
      </c>
      <c r="B39" s="483" t="s">
        <v>1497</v>
      </c>
      <c r="C39" s="341">
        <v>4.4000000000000004</v>
      </c>
      <c r="D39" s="493" t="s">
        <v>1013</v>
      </c>
      <c r="E39" s="343" t="s">
        <v>1014</v>
      </c>
      <c r="F39" s="342" t="s">
        <v>1015</v>
      </c>
      <c r="G39" s="696" t="str">
        <f t="shared" si="15"/>
        <v>4.4.1 Instalación de pozos sépticos</v>
      </c>
      <c r="H39" s="401" t="s">
        <v>1016</v>
      </c>
      <c r="I39" s="385" t="s">
        <v>836</v>
      </c>
      <c r="J39" s="344" t="s">
        <v>845</v>
      </c>
      <c r="K39" s="385" t="s">
        <v>1017</v>
      </c>
      <c r="L39" s="401">
        <f>1200*4</f>
        <v>4800</v>
      </c>
      <c r="M39" s="401">
        <v>1200</v>
      </c>
      <c r="N39" s="401">
        <v>1200</v>
      </c>
      <c r="O39" s="401">
        <v>1200</v>
      </c>
      <c r="P39" s="401">
        <v>1200</v>
      </c>
      <c r="Q39" s="880" t="s">
        <v>975</v>
      </c>
      <c r="R39" s="861" t="s">
        <v>1793</v>
      </c>
      <c r="S39" s="613" t="s">
        <v>1787</v>
      </c>
      <c r="T39" s="849" t="s">
        <v>878</v>
      </c>
      <c r="U39" s="387" t="s">
        <v>1019</v>
      </c>
      <c r="V39" s="919"/>
      <c r="W39" s="952"/>
      <c r="X39" s="494">
        <f>SUM(Y39:Y40)</f>
        <v>50093935475</v>
      </c>
      <c r="Y39" s="350">
        <f t="shared" si="6"/>
        <v>27640000000</v>
      </c>
      <c r="Z39" s="363">
        <v>6880000000</v>
      </c>
      <c r="AA39" s="363">
        <v>6900000000</v>
      </c>
      <c r="AB39" s="363">
        <v>6920000000</v>
      </c>
      <c r="AC39" s="943">
        <v>6940000000</v>
      </c>
      <c r="AD39" s="381" t="s">
        <v>1018</v>
      </c>
      <c r="AE39" s="353"/>
      <c r="AF39" s="354">
        <f t="shared" si="8"/>
        <v>514058549.51117611</v>
      </c>
      <c r="AG39" s="428">
        <f>66049485+51459926</f>
        <v>117509411</v>
      </c>
      <c r="AH39" s="355">
        <f t="shared" si="21"/>
        <v>124559975.66000001</v>
      </c>
      <c r="AI39" s="355">
        <f t="shared" si="21"/>
        <v>132033574.19960003</v>
      </c>
      <c r="AJ39" s="356">
        <f t="shared" si="21"/>
        <v>139955588.65157604</v>
      </c>
      <c r="AK39" s="354">
        <f t="shared" si="10"/>
        <v>4832000000</v>
      </c>
      <c r="AL39" s="355">
        <v>1208000000</v>
      </c>
      <c r="AM39" s="355">
        <f>+AL39</f>
        <v>1208000000</v>
      </c>
      <c r="AN39" s="355">
        <f t="shared" ref="AN39:AO40" si="22">+AM39</f>
        <v>1208000000</v>
      </c>
      <c r="AO39" s="356">
        <f t="shared" si="22"/>
        <v>1208000000</v>
      </c>
      <c r="AP39" s="906"/>
      <c r="AQ39" s="494">
        <f>SUM(AR39:AR40)</f>
        <v>51342563790.23896</v>
      </c>
      <c r="AR39" s="357">
        <f t="shared" si="16"/>
        <v>28154058549.511177</v>
      </c>
      <c r="AS39" s="358">
        <f t="shared" si="17"/>
        <v>6997509411</v>
      </c>
      <c r="AT39" s="358">
        <f t="shared" si="18"/>
        <v>7024559975.6599998</v>
      </c>
      <c r="AU39" s="358">
        <f t="shared" si="19"/>
        <v>7052033574.1996002</v>
      </c>
      <c r="AV39" s="359">
        <f t="shared" si="20"/>
        <v>7079955588.651576</v>
      </c>
      <c r="AW39" s="359" t="s">
        <v>1020</v>
      </c>
      <c r="AX39" s="894" t="s">
        <v>975</v>
      </c>
    </row>
    <row r="40" spans="1:50" ht="75">
      <c r="A40" s="460" t="s">
        <v>1503</v>
      </c>
      <c r="B40" s="483" t="s">
        <v>1497</v>
      </c>
      <c r="C40" s="417">
        <v>4.4000000000000004</v>
      </c>
      <c r="D40" s="377" t="s">
        <v>1013</v>
      </c>
      <c r="E40" s="343" t="s">
        <v>1021</v>
      </c>
      <c r="F40" s="342" t="s">
        <v>1022</v>
      </c>
      <c r="G40" s="696" t="str">
        <f t="shared" si="15"/>
        <v>4.4.2 Construcción de plantas de tratamiento de agua residual</v>
      </c>
      <c r="H40" s="401" t="s">
        <v>1023</v>
      </c>
      <c r="I40" s="385" t="s">
        <v>836</v>
      </c>
      <c r="J40" s="344" t="s">
        <v>837</v>
      </c>
      <c r="K40" s="385" t="s">
        <v>1024</v>
      </c>
      <c r="L40" s="401">
        <v>12</v>
      </c>
      <c r="M40" s="401">
        <v>3</v>
      </c>
      <c r="N40" s="401">
        <v>3</v>
      </c>
      <c r="O40" s="401">
        <v>3</v>
      </c>
      <c r="P40" s="401">
        <v>3</v>
      </c>
      <c r="Q40" s="880" t="s">
        <v>975</v>
      </c>
      <c r="R40" s="861" t="s">
        <v>1793</v>
      </c>
      <c r="S40" s="613" t="s">
        <v>1787</v>
      </c>
      <c r="T40" s="849" t="s">
        <v>878</v>
      </c>
      <c r="U40" s="387"/>
      <c r="V40" s="919" t="s">
        <v>1026</v>
      </c>
      <c r="W40" s="952"/>
      <c r="X40" s="495"/>
      <c r="Y40" s="350">
        <f t="shared" si="6"/>
        <v>22453935475</v>
      </c>
      <c r="Z40" s="380">
        <v>6033935475</v>
      </c>
      <c r="AA40" s="380">
        <v>5450000000</v>
      </c>
      <c r="AB40" s="380">
        <v>5470000000</v>
      </c>
      <c r="AC40" s="944">
        <v>5500000000</v>
      </c>
      <c r="AD40" s="381" t="s">
        <v>1025</v>
      </c>
      <c r="AE40" s="353"/>
      <c r="AF40" s="354">
        <f t="shared" si="8"/>
        <v>734569765.72778404</v>
      </c>
      <c r="AG40" s="428">
        <f>66049485+101866914</f>
        <v>167916399</v>
      </c>
      <c r="AH40" s="355">
        <f t="shared" si="21"/>
        <v>177991382.94</v>
      </c>
      <c r="AI40" s="355">
        <f t="shared" si="21"/>
        <v>188670865.91640002</v>
      </c>
      <c r="AJ40" s="356">
        <f t="shared" si="21"/>
        <v>199991117.87138402</v>
      </c>
      <c r="AK40" s="354">
        <f t="shared" si="10"/>
        <v>2413574190</v>
      </c>
      <c r="AL40" s="355">
        <v>603393547.5</v>
      </c>
      <c r="AM40" s="355">
        <f>+AL40</f>
        <v>603393547.5</v>
      </c>
      <c r="AN40" s="355">
        <f t="shared" si="22"/>
        <v>603393547.5</v>
      </c>
      <c r="AO40" s="356">
        <f t="shared" si="22"/>
        <v>603393547.5</v>
      </c>
      <c r="AP40" s="906"/>
      <c r="AQ40" s="495"/>
      <c r="AR40" s="357">
        <f t="shared" si="16"/>
        <v>23188505240.727783</v>
      </c>
      <c r="AS40" s="358">
        <f t="shared" si="17"/>
        <v>6201851874</v>
      </c>
      <c r="AT40" s="358">
        <f t="shared" si="18"/>
        <v>5627991382.9399996</v>
      </c>
      <c r="AU40" s="358">
        <f t="shared" si="19"/>
        <v>5658670865.9164</v>
      </c>
      <c r="AV40" s="359">
        <f t="shared" si="20"/>
        <v>5699991117.8713837</v>
      </c>
      <c r="AW40" s="359" t="s">
        <v>1020</v>
      </c>
      <c r="AX40" s="894" t="s">
        <v>975</v>
      </c>
    </row>
    <row r="41" spans="1:50" ht="147.94999999999999" customHeight="1">
      <c r="A41" s="460" t="s">
        <v>1503</v>
      </c>
      <c r="B41" s="483" t="s">
        <v>1497</v>
      </c>
      <c r="C41" s="341">
        <v>4.5</v>
      </c>
      <c r="D41" s="496" t="s">
        <v>1027</v>
      </c>
      <c r="E41" s="343" t="s">
        <v>1028</v>
      </c>
      <c r="F41" s="431" t="s">
        <v>1029</v>
      </c>
      <c r="G41" s="696" t="str">
        <f t="shared" si="15"/>
        <v>4.5.1 Operación de redes y estaciones de monitoreo del recurso hídrico</v>
      </c>
      <c r="H41" s="344" t="s">
        <v>1554</v>
      </c>
      <c r="I41" s="385" t="s">
        <v>930</v>
      </c>
      <c r="J41" s="344" t="s">
        <v>437</v>
      </c>
      <c r="K41" s="454" t="s">
        <v>1030</v>
      </c>
      <c r="L41" s="497">
        <v>0.92</v>
      </c>
      <c r="M41" s="497">
        <v>0.92</v>
      </c>
      <c r="N41" s="497">
        <v>0.92</v>
      </c>
      <c r="O41" s="497">
        <v>0.92</v>
      </c>
      <c r="P41" s="497">
        <v>0.92</v>
      </c>
      <c r="Q41" s="368" t="s">
        <v>127</v>
      </c>
      <c r="R41" s="860" t="s">
        <v>1796</v>
      </c>
      <c r="S41" s="613" t="s">
        <v>1787</v>
      </c>
      <c r="T41" s="849" t="s">
        <v>878</v>
      </c>
      <c r="U41" s="387"/>
      <c r="V41" s="919"/>
      <c r="W41" s="952"/>
      <c r="X41" s="498">
        <f>SUM(Y41:Y43)</f>
        <v>26155280467</v>
      </c>
      <c r="Y41" s="350">
        <f t="shared" si="6"/>
        <v>23554513107</v>
      </c>
      <c r="Z41" s="380">
        <v>5487513107</v>
      </c>
      <c r="AA41" s="380">
        <v>5841000000</v>
      </c>
      <c r="AB41" s="380">
        <v>6007000000</v>
      </c>
      <c r="AC41" s="944">
        <v>6219000000</v>
      </c>
      <c r="AD41" s="381" t="s">
        <v>1031</v>
      </c>
      <c r="AE41" s="353"/>
      <c r="AF41" s="354">
        <f t="shared" si="8"/>
        <v>3777685757.3942003</v>
      </c>
      <c r="AG41" s="428">
        <f>113811825+66049485+ 66049485+52282802+179850000+66049485+319453743</f>
        <v>863546825</v>
      </c>
      <c r="AH41" s="355">
        <f t="shared" si="21"/>
        <v>915359634.5</v>
      </c>
      <c r="AI41" s="355">
        <f t="shared" si="21"/>
        <v>970281212.57000005</v>
      </c>
      <c r="AJ41" s="356">
        <f t="shared" si="21"/>
        <v>1028498085.3242002</v>
      </c>
      <c r="AK41" s="354">
        <f t="shared" si="10"/>
        <v>0</v>
      </c>
      <c r="AL41" s="355"/>
      <c r="AM41" s="355"/>
      <c r="AN41" s="355"/>
      <c r="AO41" s="356"/>
      <c r="AP41" s="906"/>
      <c r="AQ41" s="498">
        <f>SUM(AR41:AR43)</f>
        <v>29932966224.394199</v>
      </c>
      <c r="AR41" s="357">
        <f t="shared" si="16"/>
        <v>27332198864.394199</v>
      </c>
      <c r="AS41" s="358">
        <f t="shared" si="17"/>
        <v>6351059932</v>
      </c>
      <c r="AT41" s="358">
        <f t="shared" si="18"/>
        <v>6756359634.5</v>
      </c>
      <c r="AU41" s="358">
        <f t="shared" si="19"/>
        <v>6977281212.5699997</v>
      </c>
      <c r="AV41" s="359">
        <f t="shared" si="20"/>
        <v>7247498085.3241997</v>
      </c>
      <c r="AW41" s="359" t="s">
        <v>972</v>
      </c>
      <c r="AX41" s="883" t="s">
        <v>127</v>
      </c>
    </row>
    <row r="42" spans="1:50" ht="210">
      <c r="A42" s="460" t="s">
        <v>1503</v>
      </c>
      <c r="B42" s="483" t="s">
        <v>1497</v>
      </c>
      <c r="C42" s="417">
        <v>4.5</v>
      </c>
      <c r="D42" s="377" t="s">
        <v>1027</v>
      </c>
      <c r="E42" s="343" t="s">
        <v>1032</v>
      </c>
      <c r="F42" s="433" t="s">
        <v>1555</v>
      </c>
      <c r="G42" s="696" t="str">
        <f t="shared" si="15"/>
        <v>4.5.2 Seguimiento a planes de saneamiento y manejo de vertimientos</v>
      </c>
      <c r="H42" s="344" t="s">
        <v>1556</v>
      </c>
      <c r="I42" s="488" t="s">
        <v>828</v>
      </c>
      <c r="J42" s="344" t="s">
        <v>845</v>
      </c>
      <c r="K42" s="385" t="s">
        <v>1033</v>
      </c>
      <c r="L42" s="497">
        <v>1</v>
      </c>
      <c r="M42" s="497">
        <v>1</v>
      </c>
      <c r="N42" s="497">
        <v>1</v>
      </c>
      <c r="O42" s="497">
        <v>1</v>
      </c>
      <c r="P42" s="497">
        <v>1</v>
      </c>
      <c r="Q42" s="368" t="s">
        <v>127</v>
      </c>
      <c r="R42" s="860" t="s">
        <v>1796</v>
      </c>
      <c r="S42" s="613" t="s">
        <v>1787</v>
      </c>
      <c r="T42" s="849" t="s">
        <v>890</v>
      </c>
      <c r="U42" s="387"/>
      <c r="V42" s="919"/>
      <c r="W42" s="952"/>
      <c r="X42" s="498"/>
      <c r="Y42" s="350">
        <f t="shared" si="6"/>
        <v>2080767360</v>
      </c>
      <c r="Z42" s="380">
        <v>490000000</v>
      </c>
      <c r="AA42" s="380">
        <f>(Z42*4%)+Z42</f>
        <v>509600000</v>
      </c>
      <c r="AB42" s="380">
        <f>(AA42*4%)+AA42</f>
        <v>529984000</v>
      </c>
      <c r="AC42" s="944">
        <f>(AB42*4%)+AB42</f>
        <v>551183360</v>
      </c>
      <c r="AD42" s="381" t="s">
        <v>1034</v>
      </c>
      <c r="AE42" s="353"/>
      <c r="AF42" s="354">
        <f t="shared" si="8"/>
        <v>0</v>
      </c>
      <c r="AG42" s="355">
        <v>0</v>
      </c>
      <c r="AH42" s="355">
        <f t="shared" si="21"/>
        <v>0</v>
      </c>
      <c r="AI42" s="355">
        <f t="shared" si="21"/>
        <v>0</v>
      </c>
      <c r="AJ42" s="356">
        <f t="shared" si="21"/>
        <v>0</v>
      </c>
      <c r="AK42" s="354">
        <f t="shared" si="10"/>
        <v>0</v>
      </c>
      <c r="AL42" s="355"/>
      <c r="AM42" s="355"/>
      <c r="AN42" s="355"/>
      <c r="AO42" s="356"/>
      <c r="AP42" s="906"/>
      <c r="AQ42" s="498"/>
      <c r="AR42" s="357">
        <f t="shared" si="16"/>
        <v>2080767360</v>
      </c>
      <c r="AS42" s="358">
        <f t="shared" si="17"/>
        <v>490000000</v>
      </c>
      <c r="AT42" s="358">
        <f t="shared" si="18"/>
        <v>509600000</v>
      </c>
      <c r="AU42" s="358">
        <f t="shared" si="19"/>
        <v>529984000</v>
      </c>
      <c r="AV42" s="359">
        <f t="shared" si="20"/>
        <v>551183360</v>
      </c>
      <c r="AW42" s="359"/>
      <c r="AX42" s="883" t="s">
        <v>127</v>
      </c>
    </row>
    <row r="43" spans="1:50" ht="120.75" thickBot="1">
      <c r="A43" s="460" t="s">
        <v>1503</v>
      </c>
      <c r="B43" s="483" t="s">
        <v>1497</v>
      </c>
      <c r="C43" s="442">
        <v>4.5</v>
      </c>
      <c r="D43" s="499" t="s">
        <v>1027</v>
      </c>
      <c r="E43" s="444" t="s">
        <v>1035</v>
      </c>
      <c r="F43" s="407" t="s">
        <v>1557</v>
      </c>
      <c r="G43" s="732" t="str">
        <f t="shared" si="15"/>
        <v>4.5.3 Seguimiento a programas de uso eficiente y ahorro del agua</v>
      </c>
      <c r="H43" s="407" t="s">
        <v>1558</v>
      </c>
      <c r="I43" s="500" t="s">
        <v>867</v>
      </c>
      <c r="J43" s="407" t="s">
        <v>845</v>
      </c>
      <c r="K43" s="475" t="s">
        <v>1036</v>
      </c>
      <c r="L43" s="501">
        <v>1</v>
      </c>
      <c r="M43" s="501">
        <v>1</v>
      </c>
      <c r="N43" s="501">
        <v>1</v>
      </c>
      <c r="O43" s="501">
        <v>1</v>
      </c>
      <c r="P43" s="501">
        <v>1</v>
      </c>
      <c r="Q43" s="502" t="s">
        <v>127</v>
      </c>
      <c r="R43" s="866" t="s">
        <v>1802</v>
      </c>
      <c r="S43" s="507" t="s">
        <v>1787</v>
      </c>
      <c r="T43" s="855" t="s">
        <v>890</v>
      </c>
      <c r="U43" s="508"/>
      <c r="V43" s="925"/>
      <c r="W43" s="953"/>
      <c r="X43" s="504"/>
      <c r="Y43" s="450">
        <f t="shared" si="6"/>
        <v>520000000</v>
      </c>
      <c r="Z43" s="505">
        <v>100000000</v>
      </c>
      <c r="AA43" s="505">
        <v>120000000</v>
      </c>
      <c r="AB43" s="505">
        <v>140000000</v>
      </c>
      <c r="AC43" s="954">
        <v>160000000</v>
      </c>
      <c r="AD43" s="506" t="s">
        <v>1037</v>
      </c>
      <c r="AE43" s="443"/>
      <c r="AF43" s="354">
        <f t="shared" si="8"/>
        <v>0</v>
      </c>
      <c r="AG43" s="355">
        <v>0</v>
      </c>
      <c r="AH43" s="355">
        <f t="shared" si="21"/>
        <v>0</v>
      </c>
      <c r="AI43" s="355">
        <f t="shared" si="21"/>
        <v>0</v>
      </c>
      <c r="AJ43" s="356">
        <f t="shared" si="21"/>
        <v>0</v>
      </c>
      <c r="AK43" s="354">
        <f t="shared" si="10"/>
        <v>0</v>
      </c>
      <c r="AL43" s="355"/>
      <c r="AM43" s="355"/>
      <c r="AN43" s="355"/>
      <c r="AO43" s="356"/>
      <c r="AP43" s="503"/>
      <c r="AQ43" s="504"/>
      <c r="AR43" s="357">
        <f t="shared" si="16"/>
        <v>520000000</v>
      </c>
      <c r="AS43" s="358">
        <f t="shared" si="17"/>
        <v>100000000</v>
      </c>
      <c r="AT43" s="358">
        <f t="shared" si="18"/>
        <v>120000000</v>
      </c>
      <c r="AU43" s="358">
        <f t="shared" si="19"/>
        <v>140000000</v>
      </c>
      <c r="AV43" s="359">
        <f t="shared" si="20"/>
        <v>160000000</v>
      </c>
      <c r="AW43" s="359"/>
      <c r="AX43" s="895" t="s">
        <v>127</v>
      </c>
    </row>
    <row r="44" spans="1:50" ht="132">
      <c r="A44" s="509" t="s">
        <v>1504</v>
      </c>
      <c r="B44" s="510" t="s">
        <v>1493</v>
      </c>
      <c r="C44" s="466">
        <v>5.0999999999999996</v>
      </c>
      <c r="D44" s="511" t="s">
        <v>1038</v>
      </c>
      <c r="E44" s="512" t="s">
        <v>1039</v>
      </c>
      <c r="F44" s="511" t="s">
        <v>1040</v>
      </c>
      <c r="G44" s="731" t="str">
        <f t="shared" si="15"/>
        <v>5.1.1 Definición del modelo de ocupación regional sostenible, con enfoque diferencial, en articulación interinstitucional</v>
      </c>
      <c r="H44" s="346" t="s">
        <v>1532</v>
      </c>
      <c r="I44" s="513" t="s">
        <v>836</v>
      </c>
      <c r="J44" s="346" t="s">
        <v>437</v>
      </c>
      <c r="K44" s="347" t="s">
        <v>829</v>
      </c>
      <c r="L44" s="514">
        <v>1</v>
      </c>
      <c r="M44" s="514">
        <v>1</v>
      </c>
      <c r="N44" s="514">
        <v>0</v>
      </c>
      <c r="O44" s="514">
        <v>0</v>
      </c>
      <c r="P44" s="514">
        <v>0</v>
      </c>
      <c r="Q44" s="423" t="s">
        <v>830</v>
      </c>
      <c r="R44" s="863" t="s">
        <v>1801</v>
      </c>
      <c r="S44" s="458" t="s">
        <v>1785</v>
      </c>
      <c r="T44" s="853" t="s">
        <v>1042</v>
      </c>
      <c r="U44" s="459" t="s">
        <v>879</v>
      </c>
      <c r="V44" s="923"/>
      <c r="W44" s="950">
        <f>SUM(X44:X53)</f>
        <v>1599639500</v>
      </c>
      <c r="X44" s="456">
        <f>SUM(Y44:Y45)</f>
        <v>997037500</v>
      </c>
      <c r="Y44" s="350">
        <f t="shared" si="6"/>
        <v>4000000</v>
      </c>
      <c r="Z44" s="425">
        <v>4000000</v>
      </c>
      <c r="AA44" s="425">
        <v>0</v>
      </c>
      <c r="AB44" s="425">
        <v>0</v>
      </c>
      <c r="AC44" s="949">
        <v>0</v>
      </c>
      <c r="AD44" s="933" t="s">
        <v>1041</v>
      </c>
      <c r="AE44" s="427"/>
      <c r="AF44" s="354">
        <f t="shared" si="8"/>
        <v>0</v>
      </c>
      <c r="AG44" s="355"/>
      <c r="AH44" s="355">
        <f t="shared" si="21"/>
        <v>0</v>
      </c>
      <c r="AI44" s="355">
        <f t="shared" si="21"/>
        <v>0</v>
      </c>
      <c r="AJ44" s="356">
        <f t="shared" si="21"/>
        <v>0</v>
      </c>
      <c r="AK44" s="354">
        <f t="shared" si="10"/>
        <v>0</v>
      </c>
      <c r="AL44" s="355"/>
      <c r="AM44" s="355"/>
      <c r="AN44" s="355"/>
      <c r="AO44" s="356"/>
      <c r="AP44" s="904">
        <f>SUM(AQ44:AQ53)</f>
        <v>5877560119.4251938</v>
      </c>
      <c r="AQ44" s="456">
        <f>SUM(AR44:AR45)</f>
        <v>997037500</v>
      </c>
      <c r="AR44" s="357">
        <f t="shared" si="16"/>
        <v>4000000</v>
      </c>
      <c r="AS44" s="358">
        <f t="shared" si="17"/>
        <v>4000000</v>
      </c>
      <c r="AT44" s="358">
        <f t="shared" si="18"/>
        <v>0</v>
      </c>
      <c r="AU44" s="358">
        <f t="shared" si="19"/>
        <v>0</v>
      </c>
      <c r="AV44" s="359">
        <f t="shared" si="20"/>
        <v>0</v>
      </c>
      <c r="AW44" s="359"/>
      <c r="AX44" s="887" t="s">
        <v>830</v>
      </c>
    </row>
    <row r="45" spans="1:50" ht="72">
      <c r="A45" s="515" t="s">
        <v>1504</v>
      </c>
      <c r="B45" s="516" t="s">
        <v>1493</v>
      </c>
      <c r="C45" s="466">
        <v>5.0999999999999996</v>
      </c>
      <c r="D45" s="377" t="s">
        <v>1038</v>
      </c>
      <c r="E45" s="462" t="s">
        <v>1043</v>
      </c>
      <c r="F45" s="344" t="s">
        <v>1044</v>
      </c>
      <c r="G45" s="696" t="str">
        <f t="shared" si="15"/>
        <v>5.1.2 Priorización, delimitación y regulación Rondas hídricas</v>
      </c>
      <c r="H45" s="353" t="s">
        <v>1045</v>
      </c>
      <c r="I45" s="488" t="s">
        <v>930</v>
      </c>
      <c r="J45" s="344" t="s">
        <v>837</v>
      </c>
      <c r="K45" s="385" t="s">
        <v>1046</v>
      </c>
      <c r="L45" s="517">
        <v>12</v>
      </c>
      <c r="M45" s="517">
        <v>0</v>
      </c>
      <c r="N45" s="517">
        <v>4</v>
      </c>
      <c r="O45" s="517">
        <v>8</v>
      </c>
      <c r="P45" s="517">
        <v>12</v>
      </c>
      <c r="Q45" s="368" t="s">
        <v>847</v>
      </c>
      <c r="R45" s="876" t="s">
        <v>1796</v>
      </c>
      <c r="S45" s="386" t="s">
        <v>1785</v>
      </c>
      <c r="T45" s="849" t="s">
        <v>878</v>
      </c>
      <c r="U45" s="387"/>
      <c r="V45" s="919"/>
      <c r="W45" s="950"/>
      <c r="X45" s="518"/>
      <c r="Y45" s="350">
        <f t="shared" si="6"/>
        <v>993037500</v>
      </c>
      <c r="Z45" s="363">
        <v>0</v>
      </c>
      <c r="AA45" s="363">
        <v>315000000</v>
      </c>
      <c r="AB45" s="363">
        <v>330750000</v>
      </c>
      <c r="AC45" s="943">
        <v>347287500</v>
      </c>
      <c r="AD45" s="381" t="s">
        <v>1047</v>
      </c>
      <c r="AE45" s="353"/>
      <c r="AF45" s="354">
        <f t="shared" si="8"/>
        <v>0</v>
      </c>
      <c r="AG45" s="428">
        <v>0</v>
      </c>
      <c r="AH45" s="355">
        <f t="shared" si="21"/>
        <v>0</v>
      </c>
      <c r="AI45" s="355">
        <f t="shared" si="21"/>
        <v>0</v>
      </c>
      <c r="AJ45" s="356">
        <f t="shared" si="21"/>
        <v>0</v>
      </c>
      <c r="AK45" s="354">
        <f t="shared" si="10"/>
        <v>0</v>
      </c>
      <c r="AL45" s="355"/>
      <c r="AM45" s="355"/>
      <c r="AN45" s="355"/>
      <c r="AO45" s="356"/>
      <c r="AP45" s="904"/>
      <c r="AQ45" s="518"/>
      <c r="AR45" s="357">
        <f t="shared" si="16"/>
        <v>993037500</v>
      </c>
      <c r="AS45" s="358">
        <f t="shared" si="17"/>
        <v>0</v>
      </c>
      <c r="AT45" s="358">
        <f t="shared" si="18"/>
        <v>315000000</v>
      </c>
      <c r="AU45" s="358">
        <f t="shared" si="19"/>
        <v>330750000</v>
      </c>
      <c r="AV45" s="359">
        <f t="shared" si="20"/>
        <v>347287500</v>
      </c>
      <c r="AW45" s="359" t="s">
        <v>880</v>
      </c>
      <c r="AX45" s="883" t="s">
        <v>847</v>
      </c>
    </row>
    <row r="46" spans="1:50" ht="120">
      <c r="A46" s="515" t="s">
        <v>1504</v>
      </c>
      <c r="B46" s="516" t="s">
        <v>1493</v>
      </c>
      <c r="C46" s="519">
        <v>5.2</v>
      </c>
      <c r="D46" s="487" t="s">
        <v>1048</v>
      </c>
      <c r="E46" s="462" t="s">
        <v>1049</v>
      </c>
      <c r="F46" s="373" t="s">
        <v>1050</v>
      </c>
      <c r="G46" s="696" t="str">
        <f t="shared" si="15"/>
        <v>5.2.1 Implementación de la estrategia de gestión del conocimiento social, y apropiación de la planificación ambiental del territorio para que los actores incidan en las decisiones de los usos del suelo y generen acciones corresponsables</v>
      </c>
      <c r="H46" s="344" t="s">
        <v>1051</v>
      </c>
      <c r="I46" s="385" t="s">
        <v>930</v>
      </c>
      <c r="J46" s="344" t="s">
        <v>845</v>
      </c>
      <c r="K46" s="454" t="s">
        <v>1005</v>
      </c>
      <c r="L46" s="520">
        <v>1</v>
      </c>
      <c r="M46" s="520">
        <v>0.25</v>
      </c>
      <c r="N46" s="520">
        <v>0.5</v>
      </c>
      <c r="O46" s="520">
        <v>0.75</v>
      </c>
      <c r="P46" s="520">
        <v>1</v>
      </c>
      <c r="Q46" s="423" t="s">
        <v>975</v>
      </c>
      <c r="R46" s="863" t="s">
        <v>1801</v>
      </c>
      <c r="S46" s="458" t="s">
        <v>1788</v>
      </c>
      <c r="T46" s="853" t="s">
        <v>900</v>
      </c>
      <c r="U46" s="387"/>
      <c r="V46" s="919"/>
      <c r="W46" s="950"/>
      <c r="X46" s="470">
        <f>Y46</f>
        <v>227052000</v>
      </c>
      <c r="Y46" s="350">
        <f t="shared" si="6"/>
        <v>227052000</v>
      </c>
      <c r="Z46" s="425">
        <v>4200000</v>
      </c>
      <c r="AA46" s="425">
        <f>70000000</f>
        <v>70000000</v>
      </c>
      <c r="AB46" s="425">
        <f>AA46*1.06</f>
        <v>74200000</v>
      </c>
      <c r="AC46" s="949">
        <f>AB46*1.06</f>
        <v>78652000</v>
      </c>
      <c r="AD46" s="935" t="s">
        <v>1052</v>
      </c>
      <c r="AE46" s="353"/>
      <c r="AF46" s="354">
        <f t="shared" si="8"/>
        <v>0</v>
      </c>
      <c r="AG46" s="355">
        <v>0</v>
      </c>
      <c r="AH46" s="355">
        <f t="shared" si="21"/>
        <v>0</v>
      </c>
      <c r="AI46" s="355">
        <f t="shared" si="21"/>
        <v>0</v>
      </c>
      <c r="AJ46" s="356">
        <f t="shared" si="21"/>
        <v>0</v>
      </c>
      <c r="AK46" s="354">
        <f t="shared" si="10"/>
        <v>0</v>
      </c>
      <c r="AL46" s="355"/>
      <c r="AM46" s="355"/>
      <c r="AN46" s="355"/>
      <c r="AO46" s="356"/>
      <c r="AP46" s="904"/>
      <c r="AQ46" s="470">
        <f>AR46</f>
        <v>227052000</v>
      </c>
      <c r="AR46" s="357">
        <f t="shared" si="16"/>
        <v>227052000</v>
      </c>
      <c r="AS46" s="358">
        <f t="shared" si="17"/>
        <v>4200000</v>
      </c>
      <c r="AT46" s="358">
        <f t="shared" si="18"/>
        <v>70000000</v>
      </c>
      <c r="AU46" s="358">
        <f t="shared" si="19"/>
        <v>74200000</v>
      </c>
      <c r="AV46" s="359">
        <f t="shared" si="20"/>
        <v>78652000</v>
      </c>
      <c r="AW46" s="359"/>
      <c r="AX46" s="887" t="s">
        <v>975</v>
      </c>
    </row>
    <row r="47" spans="1:50" ht="96">
      <c r="A47" s="515" t="s">
        <v>1504</v>
      </c>
      <c r="B47" s="516" t="s">
        <v>1493</v>
      </c>
      <c r="C47" s="466">
        <v>5.3</v>
      </c>
      <c r="D47" s="511" t="s">
        <v>1053</v>
      </c>
      <c r="E47" s="462" t="s">
        <v>1054</v>
      </c>
      <c r="F47" s="511" t="s">
        <v>1055</v>
      </c>
      <c r="G47" s="696" t="str">
        <f t="shared" si="15"/>
        <v>5.3.1 Asesoramiento a los municipios en la definición de su modelo de ocupación territorial, a partir del modelo de ocupación regional definido</v>
      </c>
      <c r="H47" s="491" t="s">
        <v>1515</v>
      </c>
      <c r="I47" s="488" t="s">
        <v>836</v>
      </c>
      <c r="J47" s="344" t="s">
        <v>845</v>
      </c>
      <c r="K47" s="347" t="s">
        <v>829</v>
      </c>
      <c r="L47" s="514">
        <v>80</v>
      </c>
      <c r="M47" s="514">
        <v>0</v>
      </c>
      <c r="N47" s="514">
        <v>17</v>
      </c>
      <c r="O47" s="514">
        <v>29</v>
      </c>
      <c r="P47" s="514">
        <v>34</v>
      </c>
      <c r="Q47" s="423" t="s">
        <v>830</v>
      </c>
      <c r="R47" s="863" t="s">
        <v>1801</v>
      </c>
      <c r="S47" s="458" t="s">
        <v>1787</v>
      </c>
      <c r="T47" s="853" t="s">
        <v>1042</v>
      </c>
      <c r="U47" s="459" t="s">
        <v>879</v>
      </c>
      <c r="V47" s="923"/>
      <c r="W47" s="950"/>
      <c r="X47" s="521">
        <f>SUM(Y47:Y48)</f>
        <v>9000000</v>
      </c>
      <c r="Y47" s="350">
        <f t="shared" si="6"/>
        <v>6000000</v>
      </c>
      <c r="Z47" s="425">
        <v>0</v>
      </c>
      <c r="AA47" s="425">
        <v>2000000</v>
      </c>
      <c r="AB47" s="425">
        <v>2000000</v>
      </c>
      <c r="AC47" s="949">
        <v>2000000</v>
      </c>
      <c r="AD47" s="933" t="s">
        <v>1056</v>
      </c>
      <c r="AE47" s="353"/>
      <c r="AF47" s="354">
        <f t="shared" si="8"/>
        <v>1192880085.1649265</v>
      </c>
      <c r="AG47" s="355">
        <f>86355787.5300538+127214185.103853+59112266.2563013</f>
        <v>272682238.89020807</v>
      </c>
      <c r="AH47" s="355">
        <f t="shared" si="21"/>
        <v>289043173.22362059</v>
      </c>
      <c r="AI47" s="355">
        <f t="shared" si="21"/>
        <v>306385763.61703783</v>
      </c>
      <c r="AJ47" s="356">
        <f t="shared" si="21"/>
        <v>324768909.4340601</v>
      </c>
      <c r="AK47" s="354">
        <f t="shared" si="10"/>
        <v>0</v>
      </c>
      <c r="AL47" s="355"/>
      <c r="AM47" s="355"/>
      <c r="AN47" s="355"/>
      <c r="AO47" s="356"/>
      <c r="AP47" s="904"/>
      <c r="AQ47" s="521">
        <f>SUM(AR47:AR48)</f>
        <v>1201880085.1649265</v>
      </c>
      <c r="AR47" s="357">
        <f t="shared" si="16"/>
        <v>1198880085.1649265</v>
      </c>
      <c r="AS47" s="358">
        <f t="shared" si="17"/>
        <v>272682238.89020807</v>
      </c>
      <c r="AT47" s="358">
        <f t="shared" si="18"/>
        <v>291043173.22362059</v>
      </c>
      <c r="AU47" s="358">
        <f t="shared" si="19"/>
        <v>308385763.61703783</v>
      </c>
      <c r="AV47" s="359">
        <f t="shared" si="20"/>
        <v>326768909.4340601</v>
      </c>
      <c r="AW47" s="359"/>
      <c r="AX47" s="887" t="s">
        <v>830</v>
      </c>
    </row>
    <row r="48" spans="1:50" ht="199.5" customHeight="1">
      <c r="A48" s="515" t="s">
        <v>1504</v>
      </c>
      <c r="B48" s="516" t="s">
        <v>1493</v>
      </c>
      <c r="C48" s="466">
        <v>5.3</v>
      </c>
      <c r="D48" s="377" t="s">
        <v>1057</v>
      </c>
      <c r="E48" s="462" t="s">
        <v>1058</v>
      </c>
      <c r="F48" s="433" t="s">
        <v>1735</v>
      </c>
      <c r="G48" s="696" t="str">
        <f t="shared" si="15"/>
        <v>5.3.2 Conformación de esquemas asociativos municipales que aportan a la protección del patrimonio natural</v>
      </c>
      <c r="H48" s="344" t="s">
        <v>1059</v>
      </c>
      <c r="I48" s="488" t="s">
        <v>836</v>
      </c>
      <c r="J48" s="344" t="s">
        <v>837</v>
      </c>
      <c r="K48" s="385" t="s">
        <v>829</v>
      </c>
      <c r="L48" s="392">
        <v>1</v>
      </c>
      <c r="M48" s="392">
        <v>0</v>
      </c>
      <c r="N48" s="392">
        <v>0.5</v>
      </c>
      <c r="O48" s="392">
        <v>0.75</v>
      </c>
      <c r="P48" s="392">
        <f>1/1</f>
        <v>1</v>
      </c>
      <c r="Q48" s="368" t="s">
        <v>847</v>
      </c>
      <c r="R48" s="863" t="s">
        <v>1801</v>
      </c>
      <c r="S48" s="386" t="s">
        <v>1787</v>
      </c>
      <c r="T48" s="849" t="s">
        <v>1042</v>
      </c>
      <c r="U48" s="387"/>
      <c r="V48" s="919"/>
      <c r="W48" s="950"/>
      <c r="X48" s="522"/>
      <c r="Y48" s="350">
        <f t="shared" si="6"/>
        <v>3000000</v>
      </c>
      <c r="Z48" s="363">
        <v>0</v>
      </c>
      <c r="AA48" s="363">
        <v>1000000</v>
      </c>
      <c r="AB48" s="363">
        <v>1000000</v>
      </c>
      <c r="AC48" s="943">
        <v>1000000</v>
      </c>
      <c r="AD48" s="381" t="s">
        <v>1060</v>
      </c>
      <c r="AE48" s="353"/>
      <c r="AF48" s="354">
        <f t="shared" si="8"/>
        <v>0</v>
      </c>
      <c r="AG48" s="355">
        <v>0</v>
      </c>
      <c r="AH48" s="355">
        <f t="shared" si="21"/>
        <v>0</v>
      </c>
      <c r="AI48" s="355">
        <f t="shared" si="21"/>
        <v>0</v>
      </c>
      <c r="AJ48" s="356">
        <f t="shared" si="21"/>
        <v>0</v>
      </c>
      <c r="AK48" s="354">
        <f t="shared" si="10"/>
        <v>0</v>
      </c>
      <c r="AL48" s="355"/>
      <c r="AM48" s="355"/>
      <c r="AN48" s="355"/>
      <c r="AO48" s="356"/>
      <c r="AP48" s="904"/>
      <c r="AQ48" s="522"/>
      <c r="AR48" s="357">
        <f t="shared" si="16"/>
        <v>3000000</v>
      </c>
      <c r="AS48" s="358">
        <f t="shared" si="17"/>
        <v>0</v>
      </c>
      <c r="AT48" s="358">
        <f t="shared" si="18"/>
        <v>1000000</v>
      </c>
      <c r="AU48" s="358">
        <f t="shared" si="19"/>
        <v>1000000</v>
      </c>
      <c r="AV48" s="359">
        <f t="shared" si="20"/>
        <v>1000000</v>
      </c>
      <c r="AW48" s="359"/>
      <c r="AX48" s="884" t="s">
        <v>847</v>
      </c>
    </row>
    <row r="49" spans="1:50" ht="180">
      <c r="A49" s="515" t="s">
        <v>1504</v>
      </c>
      <c r="B49" s="516" t="s">
        <v>1493</v>
      </c>
      <c r="C49" s="461">
        <v>5.4</v>
      </c>
      <c r="D49" s="493" t="s">
        <v>1061</v>
      </c>
      <c r="E49" s="462" t="s">
        <v>1062</v>
      </c>
      <c r="F49" s="431" t="s">
        <v>1737</v>
      </c>
      <c r="G49" s="696" t="str">
        <f t="shared" si="15"/>
        <v>5.4.1 Asesoramiento a los municipios en la definición de su modelo de ocupación que contenga el escenario de sostenibilidad, protejan su patrimonio ecológico municipal, integren planificación de grupos étnicos</v>
      </c>
      <c r="H49" s="353" t="s">
        <v>1516</v>
      </c>
      <c r="I49" s="488" t="s">
        <v>836</v>
      </c>
      <c r="J49" s="344" t="s">
        <v>845</v>
      </c>
      <c r="K49" s="385" t="s">
        <v>1063</v>
      </c>
      <c r="L49" s="392">
        <f>6/80</f>
        <v>7.4999999999999997E-2</v>
      </c>
      <c r="M49" s="392">
        <f>(2)/80</f>
        <v>2.5000000000000001E-2</v>
      </c>
      <c r="N49" s="392">
        <f>(2+2)/80</f>
        <v>0.05</v>
      </c>
      <c r="O49" s="392">
        <f>(2+2+2)/80</f>
        <v>7.4999999999999997E-2</v>
      </c>
      <c r="P49" s="392">
        <f>(2+2+2+2)/80</f>
        <v>0.1</v>
      </c>
      <c r="Q49" s="368" t="s">
        <v>924</v>
      </c>
      <c r="R49" s="863" t="s">
        <v>1801</v>
      </c>
      <c r="S49" s="386" t="s">
        <v>1787</v>
      </c>
      <c r="T49" s="849" t="s">
        <v>1042</v>
      </c>
      <c r="U49" s="387"/>
      <c r="V49" s="919"/>
      <c r="W49" s="950"/>
      <c r="X49" s="523">
        <f>SUM(Y49:Y50)</f>
        <v>12000000</v>
      </c>
      <c r="Y49" s="350">
        <f t="shared" si="6"/>
        <v>12000000</v>
      </c>
      <c r="Z49" s="363">
        <v>3000000</v>
      </c>
      <c r="AA49" s="363">
        <v>3000000</v>
      </c>
      <c r="AB49" s="363">
        <v>3000000</v>
      </c>
      <c r="AC49" s="943">
        <v>3000000</v>
      </c>
      <c r="AD49" s="381" t="s">
        <v>1064</v>
      </c>
      <c r="AE49" s="353"/>
      <c r="AF49" s="354">
        <f t="shared" si="8"/>
        <v>515505974.20832753</v>
      </c>
      <c r="AG49" s="355">
        <f>58920139.9858099+58920139.9858099</f>
        <v>117840279.9716198</v>
      </c>
      <c r="AH49" s="355">
        <f t="shared" si="21"/>
        <v>124910696.769917</v>
      </c>
      <c r="AI49" s="355">
        <f t="shared" si="21"/>
        <v>132405338.57611202</v>
      </c>
      <c r="AJ49" s="356">
        <f t="shared" si="21"/>
        <v>140349658.89067873</v>
      </c>
      <c r="AK49" s="354">
        <f t="shared" si="10"/>
        <v>0</v>
      </c>
      <c r="AL49" s="355"/>
      <c r="AM49" s="355"/>
      <c r="AN49" s="355"/>
      <c r="AO49" s="356"/>
      <c r="AP49" s="904"/>
      <c r="AQ49" s="523">
        <f>SUM(AR49:AR50)</f>
        <v>527505974.20832753</v>
      </c>
      <c r="AR49" s="357">
        <f t="shared" si="16"/>
        <v>527505974.20832753</v>
      </c>
      <c r="AS49" s="358">
        <f t="shared" si="17"/>
        <v>120840279.9716198</v>
      </c>
      <c r="AT49" s="358">
        <f t="shared" si="18"/>
        <v>127910696.769917</v>
      </c>
      <c r="AU49" s="358">
        <f t="shared" si="19"/>
        <v>135405338.57611203</v>
      </c>
      <c r="AV49" s="359">
        <f t="shared" si="20"/>
        <v>143349658.89067873</v>
      </c>
      <c r="AW49" s="359"/>
      <c r="AX49" s="884" t="s">
        <v>924</v>
      </c>
    </row>
    <row r="50" spans="1:50" ht="105">
      <c r="A50" s="515" t="s">
        <v>1504</v>
      </c>
      <c r="B50" s="516" t="s">
        <v>1493</v>
      </c>
      <c r="C50" s="466">
        <v>5.4</v>
      </c>
      <c r="D50" s="485" t="s">
        <v>1061</v>
      </c>
      <c r="E50" s="462" t="s">
        <v>1065</v>
      </c>
      <c r="F50" s="344" t="s">
        <v>1559</v>
      </c>
      <c r="G50" s="696" t="str">
        <f t="shared" si="15"/>
        <v>5.4.2 Asesoramiento en la incorporación de los planes de desarrollo de decisiones de planeación territorial de los municipios fundamentados en los POT actualizados y en las determinantes ambientales adoptadas a la fecha</v>
      </c>
      <c r="H50" s="344" t="s">
        <v>1066</v>
      </c>
      <c r="I50" s="385" t="s">
        <v>930</v>
      </c>
      <c r="J50" s="344" t="s">
        <v>837</v>
      </c>
      <c r="K50" s="385" t="s">
        <v>1067</v>
      </c>
      <c r="L50" s="392">
        <v>1</v>
      </c>
      <c r="M50" s="392">
        <v>1</v>
      </c>
      <c r="N50" s="392">
        <v>0</v>
      </c>
      <c r="O50" s="392">
        <v>0</v>
      </c>
      <c r="P50" s="392">
        <v>0</v>
      </c>
      <c r="Q50" s="368" t="s">
        <v>847</v>
      </c>
      <c r="R50" s="863" t="s">
        <v>1801</v>
      </c>
      <c r="S50" s="386" t="s">
        <v>1787</v>
      </c>
      <c r="T50" s="849" t="s">
        <v>1042</v>
      </c>
      <c r="U50" s="387"/>
      <c r="V50" s="919"/>
      <c r="W50" s="950"/>
      <c r="X50" s="524"/>
      <c r="Y50" s="350">
        <f t="shared" si="6"/>
        <v>0</v>
      </c>
      <c r="Z50" s="380">
        <v>0</v>
      </c>
      <c r="AA50" s="380">
        <v>0</v>
      </c>
      <c r="AB50" s="380">
        <v>0</v>
      </c>
      <c r="AC50" s="944">
        <v>0</v>
      </c>
      <c r="AD50" s="525" t="s">
        <v>1068</v>
      </c>
      <c r="AE50" s="353"/>
      <c r="AF50" s="354">
        <f t="shared" si="8"/>
        <v>0</v>
      </c>
      <c r="AG50" s="355">
        <v>0</v>
      </c>
      <c r="AH50" s="355">
        <f t="shared" si="21"/>
        <v>0</v>
      </c>
      <c r="AI50" s="355">
        <f t="shared" si="21"/>
        <v>0</v>
      </c>
      <c r="AJ50" s="356">
        <f t="shared" si="21"/>
        <v>0</v>
      </c>
      <c r="AK50" s="354">
        <f t="shared" si="10"/>
        <v>0</v>
      </c>
      <c r="AL50" s="355"/>
      <c r="AM50" s="355"/>
      <c r="AN50" s="355"/>
      <c r="AO50" s="356"/>
      <c r="AP50" s="904"/>
      <c r="AQ50" s="524"/>
      <c r="AR50" s="357">
        <f t="shared" si="16"/>
        <v>0</v>
      </c>
      <c r="AS50" s="358">
        <f t="shared" si="17"/>
        <v>0</v>
      </c>
      <c r="AT50" s="358">
        <f t="shared" si="18"/>
        <v>0</v>
      </c>
      <c r="AU50" s="358">
        <f t="shared" si="19"/>
        <v>0</v>
      </c>
      <c r="AV50" s="359">
        <f t="shared" si="20"/>
        <v>0</v>
      </c>
      <c r="AW50" s="359"/>
      <c r="AX50" s="884" t="s">
        <v>847</v>
      </c>
    </row>
    <row r="51" spans="1:50" ht="144">
      <c r="A51" s="515" t="s">
        <v>1504</v>
      </c>
      <c r="B51" s="516" t="s">
        <v>1493</v>
      </c>
      <c r="C51" s="519">
        <v>5.5</v>
      </c>
      <c r="D51" s="373" t="s">
        <v>1069</v>
      </c>
      <c r="E51" s="462" t="s">
        <v>1070</v>
      </c>
      <c r="F51" s="373" t="s">
        <v>1071</v>
      </c>
      <c r="G51" s="696" t="str">
        <f t="shared" si="15"/>
        <v>5.5.1 Definición e implementación de metodología para el seguimiento y monitoreo a los instrumentos de planificación concertados en el cuatrienio</v>
      </c>
      <c r="H51" s="373" t="s">
        <v>1072</v>
      </c>
      <c r="I51" s="385" t="s">
        <v>836</v>
      </c>
      <c r="J51" s="373" t="s">
        <v>845</v>
      </c>
      <c r="K51" s="385" t="s">
        <v>829</v>
      </c>
      <c r="L51" s="369">
        <f>6/80</f>
        <v>7.4999999999999997E-2</v>
      </c>
      <c r="M51" s="347">
        <v>0</v>
      </c>
      <c r="N51" s="369">
        <f>2/80</f>
        <v>2.5000000000000001E-2</v>
      </c>
      <c r="O51" s="347">
        <f>+(2+2)/80</f>
        <v>0.05</v>
      </c>
      <c r="P51" s="347">
        <f>+(2+2+2)/80</f>
        <v>7.4999999999999997E-2</v>
      </c>
      <c r="Q51" s="368" t="s">
        <v>830</v>
      </c>
      <c r="R51" s="863" t="s">
        <v>1801</v>
      </c>
      <c r="S51" s="386" t="s">
        <v>1787</v>
      </c>
      <c r="T51" s="849" t="s">
        <v>1042</v>
      </c>
      <c r="U51" s="387"/>
      <c r="V51" s="919"/>
      <c r="W51" s="950"/>
      <c r="X51" s="526">
        <f>Y51</f>
        <v>0</v>
      </c>
      <c r="Y51" s="350">
        <f t="shared" si="6"/>
        <v>0</v>
      </c>
      <c r="Z51" s="363">
        <v>0</v>
      </c>
      <c r="AA51" s="363">
        <v>0</v>
      </c>
      <c r="AB51" s="363">
        <v>0</v>
      </c>
      <c r="AC51" s="943">
        <v>0</v>
      </c>
      <c r="AD51" s="381" t="s">
        <v>1073</v>
      </c>
      <c r="AE51" s="353"/>
      <c r="AF51" s="354">
        <f t="shared" si="8"/>
        <v>636366875.58264959</v>
      </c>
      <c r="AG51" s="355">
        <f>86355787.5300538+59112266.2563013</f>
        <v>145468053.78635508</v>
      </c>
      <c r="AH51" s="355">
        <f t="shared" si="21"/>
        <v>154196137.01353639</v>
      </c>
      <c r="AI51" s="355">
        <f t="shared" si="21"/>
        <v>163447905.2343486</v>
      </c>
      <c r="AJ51" s="356">
        <f t="shared" si="21"/>
        <v>173254779.54840952</v>
      </c>
      <c r="AK51" s="354">
        <f t="shared" si="10"/>
        <v>0</v>
      </c>
      <c r="AL51" s="355"/>
      <c r="AM51" s="355"/>
      <c r="AN51" s="355"/>
      <c r="AO51" s="356"/>
      <c r="AP51" s="904"/>
      <c r="AQ51" s="526">
        <f>AR51</f>
        <v>636366875.58264959</v>
      </c>
      <c r="AR51" s="357">
        <f t="shared" si="16"/>
        <v>636366875.58264959</v>
      </c>
      <c r="AS51" s="358">
        <f t="shared" si="17"/>
        <v>145468053.78635508</v>
      </c>
      <c r="AT51" s="358">
        <f t="shared" si="18"/>
        <v>154196137.01353639</v>
      </c>
      <c r="AU51" s="358">
        <f t="shared" si="19"/>
        <v>163447905.2343486</v>
      </c>
      <c r="AV51" s="359">
        <f t="shared" si="20"/>
        <v>173254779.54840952</v>
      </c>
      <c r="AW51" s="359"/>
      <c r="AX51" s="883" t="s">
        <v>830</v>
      </c>
    </row>
    <row r="52" spans="1:50" ht="108">
      <c r="A52" s="515" t="s">
        <v>1504</v>
      </c>
      <c r="B52" s="516" t="s">
        <v>1493</v>
      </c>
      <c r="C52" s="461">
        <v>5.6</v>
      </c>
      <c r="D52" s="493" t="s">
        <v>1074</v>
      </c>
      <c r="E52" s="462" t="s">
        <v>1075</v>
      </c>
      <c r="F52" s="493" t="s">
        <v>1076</v>
      </c>
      <c r="G52" s="696" t="str">
        <f t="shared" si="15"/>
        <v>5.6.1 Armonización de los componentes programáticos de instrumentos de planificación</v>
      </c>
      <c r="H52" s="344" t="s">
        <v>1533</v>
      </c>
      <c r="I52" s="385" t="s">
        <v>836</v>
      </c>
      <c r="J52" s="344" t="s">
        <v>437</v>
      </c>
      <c r="K52" s="385" t="s">
        <v>1077</v>
      </c>
      <c r="L52" s="392">
        <v>1</v>
      </c>
      <c r="M52" s="370">
        <f>1/8</f>
        <v>0.125</v>
      </c>
      <c r="N52" s="369">
        <f>12.5%*3</f>
        <v>0.375</v>
      </c>
      <c r="O52" s="369">
        <f>12.5%*5</f>
        <v>0.625</v>
      </c>
      <c r="P52" s="369">
        <f>12.5%*8</f>
        <v>1</v>
      </c>
      <c r="Q52" s="368" t="s">
        <v>847</v>
      </c>
      <c r="R52" s="860" t="s">
        <v>1807</v>
      </c>
      <c r="S52" s="386" t="s">
        <v>1785</v>
      </c>
      <c r="T52" s="849" t="s">
        <v>1042</v>
      </c>
      <c r="U52" s="387"/>
      <c r="V52" s="919"/>
      <c r="W52" s="950"/>
      <c r="X52" s="527">
        <f>SUM(Y52:Y53)</f>
        <v>354550000</v>
      </c>
      <c r="Y52" s="350">
        <f t="shared" si="6"/>
        <v>342550000</v>
      </c>
      <c r="Z52" s="380">
        <f>(5250000*11+5250000*10)+100000000</f>
        <v>210250000</v>
      </c>
      <c r="AA52" s="380">
        <f>5250000*1.05*12+5250000*12*1.05</f>
        <v>132300000</v>
      </c>
      <c r="AB52" s="380">
        <v>0</v>
      </c>
      <c r="AC52" s="944">
        <v>0</v>
      </c>
      <c r="AD52" s="381" t="s">
        <v>1078</v>
      </c>
      <c r="AE52" s="353"/>
      <c r="AF52" s="354">
        <f t="shared" si="8"/>
        <v>1933167684.4692895</v>
      </c>
      <c r="AG52" s="355">
        <f>225884322.840026+48519800.7160707+ 127214185.103853+40287377.3406706</f>
        <v>441905686.00062025</v>
      </c>
      <c r="AH52" s="355">
        <f t="shared" si="21"/>
        <v>468420027.16065747</v>
      </c>
      <c r="AI52" s="355">
        <f t="shared" si="21"/>
        <v>496525228.79029691</v>
      </c>
      <c r="AJ52" s="356">
        <f t="shared" si="21"/>
        <v>526316742.51771474</v>
      </c>
      <c r="AK52" s="354">
        <f t="shared" si="10"/>
        <v>0</v>
      </c>
      <c r="AL52" s="355"/>
      <c r="AM52" s="355"/>
      <c r="AN52" s="355"/>
      <c r="AO52" s="356"/>
      <c r="AP52" s="904"/>
      <c r="AQ52" s="527">
        <f>SUM(AR52:AR53)</f>
        <v>2287717684.4692898</v>
      </c>
      <c r="AR52" s="357">
        <f t="shared" si="16"/>
        <v>2275717684.4692898</v>
      </c>
      <c r="AS52" s="358">
        <f t="shared" si="17"/>
        <v>652155686.00062025</v>
      </c>
      <c r="AT52" s="358">
        <f t="shared" si="18"/>
        <v>600720027.16065741</v>
      </c>
      <c r="AU52" s="358">
        <f t="shared" si="19"/>
        <v>496525228.79029691</v>
      </c>
      <c r="AV52" s="359">
        <f t="shared" si="20"/>
        <v>526316742.51771474</v>
      </c>
      <c r="AW52" s="359"/>
      <c r="AX52" s="883" t="s">
        <v>847</v>
      </c>
    </row>
    <row r="53" spans="1:50" ht="120.75" thickBot="1">
      <c r="A53" s="515" t="s">
        <v>1504</v>
      </c>
      <c r="B53" s="516" t="s">
        <v>1493</v>
      </c>
      <c r="C53" s="528">
        <v>5.6</v>
      </c>
      <c r="D53" s="499" t="s">
        <v>1074</v>
      </c>
      <c r="E53" s="529" t="s">
        <v>1079</v>
      </c>
      <c r="F53" s="407" t="s">
        <v>1560</v>
      </c>
      <c r="G53" s="732" t="str">
        <f t="shared" si="15"/>
        <v>5.6.2 Armonización de los instrumentos de Planificación Ambiental presentes en el territorio y orientados a una gestión articulada con las demás autoridades ambientales hacia la sostenibilidad ambiental del territorio</v>
      </c>
      <c r="H53" s="407" t="s">
        <v>1080</v>
      </c>
      <c r="I53" s="475" t="s">
        <v>828</v>
      </c>
      <c r="J53" s="407" t="s">
        <v>845</v>
      </c>
      <c r="K53" s="475" t="s">
        <v>1081</v>
      </c>
      <c r="L53" s="409">
        <v>1</v>
      </c>
      <c r="M53" s="530">
        <v>0.25</v>
      </c>
      <c r="N53" s="531">
        <v>0.5</v>
      </c>
      <c r="O53" s="531">
        <v>0.75</v>
      </c>
      <c r="P53" s="531">
        <f>12.5%*8</f>
        <v>1</v>
      </c>
      <c r="Q53" s="502" t="s">
        <v>847</v>
      </c>
      <c r="R53" s="861" t="s">
        <v>1807</v>
      </c>
      <c r="S53" s="507" t="s">
        <v>1785</v>
      </c>
      <c r="T53" s="855" t="s">
        <v>1042</v>
      </c>
      <c r="U53" s="508"/>
      <c r="V53" s="925"/>
      <c r="W53" s="951"/>
      <c r="X53" s="532"/>
      <c r="Y53" s="450">
        <f t="shared" si="6"/>
        <v>12000000</v>
      </c>
      <c r="Z53" s="533">
        <v>3000000</v>
      </c>
      <c r="AA53" s="533">
        <v>3000000</v>
      </c>
      <c r="AB53" s="533">
        <v>3000000</v>
      </c>
      <c r="AC53" s="955">
        <v>3000000</v>
      </c>
      <c r="AD53" s="506" t="s">
        <v>1082</v>
      </c>
      <c r="AE53" s="443"/>
      <c r="AF53" s="354">
        <f t="shared" si="8"/>
        <v>0</v>
      </c>
      <c r="AG53" s="355">
        <v>0</v>
      </c>
      <c r="AH53" s="355">
        <f t="shared" si="21"/>
        <v>0</v>
      </c>
      <c r="AI53" s="355">
        <f t="shared" si="21"/>
        <v>0</v>
      </c>
      <c r="AJ53" s="356">
        <f t="shared" si="21"/>
        <v>0</v>
      </c>
      <c r="AK53" s="354">
        <f t="shared" si="10"/>
        <v>0</v>
      </c>
      <c r="AL53" s="355"/>
      <c r="AM53" s="355"/>
      <c r="AN53" s="355"/>
      <c r="AO53" s="356"/>
      <c r="AP53" s="905"/>
      <c r="AQ53" s="532"/>
      <c r="AR53" s="357">
        <f t="shared" si="16"/>
        <v>12000000</v>
      </c>
      <c r="AS53" s="358">
        <f t="shared" si="17"/>
        <v>3000000</v>
      </c>
      <c r="AT53" s="358">
        <f t="shared" si="18"/>
        <v>3000000</v>
      </c>
      <c r="AU53" s="358">
        <f t="shared" si="19"/>
        <v>3000000</v>
      </c>
      <c r="AV53" s="359">
        <f t="shared" si="20"/>
        <v>3000000</v>
      </c>
      <c r="AW53" s="359"/>
      <c r="AX53" s="895" t="s">
        <v>847</v>
      </c>
    </row>
    <row r="54" spans="1:50" ht="60">
      <c r="A54" s="515" t="s">
        <v>1504</v>
      </c>
      <c r="B54" s="534" t="s">
        <v>1498</v>
      </c>
      <c r="C54" s="467">
        <v>6.1</v>
      </c>
      <c r="D54" s="490" t="s">
        <v>1083</v>
      </c>
      <c r="E54" s="535" t="s">
        <v>1084</v>
      </c>
      <c r="F54" s="346" t="s">
        <v>1085</v>
      </c>
      <c r="G54" s="731" t="str">
        <f t="shared" si="15"/>
        <v>6.1.1 Realización de estudios de conocimiento y amenaza del riesgo realizados en los municipios de la jurisdicción</v>
      </c>
      <c r="H54" s="346" t="s">
        <v>1086</v>
      </c>
      <c r="I54" s="454" t="s">
        <v>930</v>
      </c>
      <c r="J54" s="346" t="s">
        <v>437</v>
      </c>
      <c r="K54" s="454" t="s">
        <v>846</v>
      </c>
      <c r="L54" s="455">
        <v>0.17</v>
      </c>
      <c r="M54" s="455">
        <v>2.5000000000000001E-2</v>
      </c>
      <c r="N54" s="455">
        <v>7.0000000000000007E-2</v>
      </c>
      <c r="O54" s="455">
        <v>0.12</v>
      </c>
      <c r="P54" s="455">
        <v>0.17</v>
      </c>
      <c r="Q54" s="423" t="s">
        <v>975</v>
      </c>
      <c r="R54" s="873" t="s">
        <v>1803</v>
      </c>
      <c r="S54" s="458" t="s">
        <v>1787</v>
      </c>
      <c r="T54" s="853" t="s">
        <v>832</v>
      </c>
      <c r="U54" s="459" t="s">
        <v>1088</v>
      </c>
      <c r="V54" s="923" t="s">
        <v>1012</v>
      </c>
      <c r="W54" s="956">
        <f>SUM(X54:X59)</f>
        <v>14375723888.936695</v>
      </c>
      <c r="X54" s="536">
        <f>+Y54</f>
        <v>3234309193</v>
      </c>
      <c r="Y54" s="350">
        <f t="shared" si="6"/>
        <v>3234309193</v>
      </c>
      <c r="Z54" s="425">
        <f>298400000+4240000+2189193</f>
        <v>304829193</v>
      </c>
      <c r="AA54" s="425">
        <f>800000000+4240000*2</f>
        <v>808480000</v>
      </c>
      <c r="AB54" s="425">
        <f>1000000000+10000000</f>
        <v>1010000000</v>
      </c>
      <c r="AC54" s="949">
        <f>1100000000+11000000</f>
        <v>1111000000</v>
      </c>
      <c r="AD54" s="933" t="s">
        <v>1087</v>
      </c>
      <c r="AE54" s="427"/>
      <c r="AF54" s="354">
        <f t="shared" si="8"/>
        <v>462721704.38775694</v>
      </c>
      <c r="AG54" s="355">
        <f>61289697.3218709+44484547.6376311</f>
        <v>105774244.95950201</v>
      </c>
      <c r="AH54" s="355">
        <f t="shared" si="21"/>
        <v>112120699.65707214</v>
      </c>
      <c r="AI54" s="355">
        <f t="shared" si="21"/>
        <v>118847941.63649647</v>
      </c>
      <c r="AJ54" s="356">
        <f t="shared" si="21"/>
        <v>125978818.13468626</v>
      </c>
      <c r="AK54" s="354">
        <f t="shared" si="10"/>
        <v>1300000000</v>
      </c>
      <c r="AL54" s="355">
        <v>150000000</v>
      </c>
      <c r="AM54" s="355">
        <v>300000000</v>
      </c>
      <c r="AN54" s="355">
        <v>400000000</v>
      </c>
      <c r="AO54" s="356">
        <v>450000000</v>
      </c>
      <c r="AP54" s="907">
        <f>SUM(AQ54:AQ59)</f>
        <v>15693107063.756508</v>
      </c>
      <c r="AQ54" s="536">
        <f>+AR54</f>
        <v>3697030897.3877568</v>
      </c>
      <c r="AR54" s="357">
        <f t="shared" si="16"/>
        <v>3697030897.3877568</v>
      </c>
      <c r="AS54" s="358">
        <f t="shared" si="17"/>
        <v>410603437.95950198</v>
      </c>
      <c r="AT54" s="358">
        <f t="shared" si="18"/>
        <v>920600699.65707219</v>
      </c>
      <c r="AU54" s="358">
        <f t="shared" si="19"/>
        <v>1128847941.6364965</v>
      </c>
      <c r="AV54" s="359">
        <f t="shared" si="20"/>
        <v>1236978818.1346862</v>
      </c>
      <c r="AW54" s="359"/>
      <c r="AX54" s="887" t="s">
        <v>975</v>
      </c>
    </row>
    <row r="55" spans="1:50" ht="135">
      <c r="A55" s="515" t="s">
        <v>1504</v>
      </c>
      <c r="B55" s="537" t="s">
        <v>1498</v>
      </c>
      <c r="C55" s="538">
        <v>6.2</v>
      </c>
      <c r="D55" s="373" t="s">
        <v>1089</v>
      </c>
      <c r="E55" s="539" t="s">
        <v>1090</v>
      </c>
      <c r="F55" s="373" t="s">
        <v>1739</v>
      </c>
      <c r="G55" s="696" t="str">
        <f t="shared" si="15"/>
        <v>6.2.1 Asesoramiento a entidades territoriales en la formulación e incorporación de acciones de adaptación y mitigación del cambio climático en instrumentos de planificación, en ejecución y en concordancia con los 8 PIGCCS o los que se hayan formulado</v>
      </c>
      <c r="H55" s="344" t="s">
        <v>1517</v>
      </c>
      <c r="I55" s="385" t="s">
        <v>836</v>
      </c>
      <c r="J55" s="344" t="s">
        <v>845</v>
      </c>
      <c r="K55" s="385" t="s">
        <v>1091</v>
      </c>
      <c r="L55" s="392">
        <v>0.17</v>
      </c>
      <c r="M55" s="392">
        <v>0.03</v>
      </c>
      <c r="N55" s="392">
        <v>7.0000000000000007E-2</v>
      </c>
      <c r="O55" s="392">
        <v>0.12</v>
      </c>
      <c r="P55" s="392">
        <v>0.17</v>
      </c>
      <c r="Q55" s="877" t="s">
        <v>1092</v>
      </c>
      <c r="R55" s="867" t="s">
        <v>1803</v>
      </c>
      <c r="S55" s="849" t="s">
        <v>1787</v>
      </c>
      <c r="T55" s="849" t="s">
        <v>832</v>
      </c>
      <c r="U55" s="387"/>
      <c r="V55" s="919"/>
      <c r="W55" s="956"/>
      <c r="X55" s="540">
        <f>Y55</f>
        <v>3957128000</v>
      </c>
      <c r="Y55" s="350">
        <f t="shared" si="6"/>
        <v>3957128000</v>
      </c>
      <c r="Z55" s="363">
        <f>398000000+4876000+2000000</f>
        <v>404876000</v>
      </c>
      <c r="AA55" s="363">
        <f>1000000000+4876000*2</f>
        <v>1009752000</v>
      </c>
      <c r="AB55" s="363">
        <f>1200000000+11000000</f>
        <v>1211000000</v>
      </c>
      <c r="AC55" s="943">
        <f>1320000000+11500000</f>
        <v>1331500000</v>
      </c>
      <c r="AD55" s="381" t="s">
        <v>1093</v>
      </c>
      <c r="AE55" s="353"/>
      <c r="AF55" s="354">
        <f t="shared" si="8"/>
        <v>429796844.055632</v>
      </c>
      <c r="AG55" s="355">
        <v>98247902</v>
      </c>
      <c r="AH55" s="355">
        <f t="shared" si="21"/>
        <v>104142776.12</v>
      </c>
      <c r="AI55" s="355">
        <f t="shared" si="21"/>
        <v>110391342.68720001</v>
      </c>
      <c r="AJ55" s="356">
        <f t="shared" si="21"/>
        <v>117014823.24843201</v>
      </c>
      <c r="AK55" s="354">
        <f t="shared" si="10"/>
        <v>930000000</v>
      </c>
      <c r="AL55" s="355">
        <v>120000000</v>
      </c>
      <c r="AM55" s="355">
        <v>240000000</v>
      </c>
      <c r="AN55" s="355">
        <v>270000000</v>
      </c>
      <c r="AO55" s="356">
        <v>300000000</v>
      </c>
      <c r="AP55" s="907"/>
      <c r="AQ55" s="540">
        <f>AR55</f>
        <v>4386924844.0556316</v>
      </c>
      <c r="AR55" s="357">
        <f t="shared" si="16"/>
        <v>4386924844.0556316</v>
      </c>
      <c r="AS55" s="358">
        <f t="shared" si="17"/>
        <v>503123902</v>
      </c>
      <c r="AT55" s="358">
        <f t="shared" si="18"/>
        <v>1113894776.1199999</v>
      </c>
      <c r="AU55" s="358">
        <f t="shared" si="19"/>
        <v>1321391342.6872001</v>
      </c>
      <c r="AV55" s="359">
        <f t="shared" si="20"/>
        <v>1448514823.2484319</v>
      </c>
      <c r="AW55" s="359"/>
      <c r="AX55" s="885" t="s">
        <v>1092</v>
      </c>
    </row>
    <row r="56" spans="1:50" ht="120">
      <c r="A56" s="515" t="s">
        <v>1504</v>
      </c>
      <c r="B56" s="537" t="s">
        <v>1498</v>
      </c>
      <c r="C56" s="538">
        <v>6.3</v>
      </c>
      <c r="D56" s="541" t="s">
        <v>1767</v>
      </c>
      <c r="E56" s="539" t="s">
        <v>1094</v>
      </c>
      <c r="F56" s="344" t="s">
        <v>1768</v>
      </c>
      <c r="G56" s="696" t="str">
        <f t="shared" si="15"/>
        <v>6.3.1 Coordinación con los sectores formuladores de los PIGCCS de la ejecución de medidas de gestión del riesgo, adaptación y mitigación de cambio climático en articulación con entidades territoriales</v>
      </c>
      <c r="H56" s="344" t="s">
        <v>1770</v>
      </c>
      <c r="I56" s="385" t="s">
        <v>836</v>
      </c>
      <c r="J56" s="401" t="s">
        <v>845</v>
      </c>
      <c r="K56" s="385" t="s">
        <v>1095</v>
      </c>
      <c r="L56" s="392">
        <f>2/8</f>
        <v>0.25</v>
      </c>
      <c r="M56" s="392">
        <f>1/8</f>
        <v>0.125</v>
      </c>
      <c r="N56" s="392">
        <f>1/8</f>
        <v>0.125</v>
      </c>
      <c r="O56" s="392">
        <f>2/8</f>
        <v>0.25</v>
      </c>
      <c r="P56" s="392">
        <f>2/8</f>
        <v>0.25</v>
      </c>
      <c r="Q56" s="368" t="s">
        <v>847</v>
      </c>
      <c r="R56" s="860" t="s">
        <v>1803</v>
      </c>
      <c r="S56" s="386" t="s">
        <v>1787</v>
      </c>
      <c r="T56" s="849" t="s">
        <v>832</v>
      </c>
      <c r="U56" s="387" t="s">
        <v>1097</v>
      </c>
      <c r="V56" s="919" t="s">
        <v>1098</v>
      </c>
      <c r="W56" s="956"/>
      <c r="X56" s="542">
        <f>Y56</f>
        <v>3486179054.00945</v>
      </c>
      <c r="Y56" s="350">
        <f t="shared" si="6"/>
        <v>3486179054.00945</v>
      </c>
      <c r="Z56" s="380">
        <f>748493009.00945+8480000+4246045</f>
        <v>761219054.00944996</v>
      </c>
      <c r="AA56" s="380">
        <f>800000000+7480000</f>
        <v>807480000</v>
      </c>
      <c r="AB56" s="380">
        <f>900000000+8480000</f>
        <v>908480000</v>
      </c>
      <c r="AC56" s="944">
        <f>1000000000+9000000</f>
        <v>1009000000</v>
      </c>
      <c r="AD56" s="381" t="s">
        <v>1096</v>
      </c>
      <c r="AE56" s="353"/>
      <c r="AF56" s="354">
        <f t="shared" si="8"/>
        <v>424864626.37642407</v>
      </c>
      <c r="AG56" s="543">
        <v>97120439</v>
      </c>
      <c r="AH56" s="355">
        <f t="shared" si="21"/>
        <v>102947665.34</v>
      </c>
      <c r="AI56" s="355">
        <f t="shared" si="21"/>
        <v>109124525.26040001</v>
      </c>
      <c r="AJ56" s="356">
        <f t="shared" si="21"/>
        <v>115671996.77602401</v>
      </c>
      <c r="AK56" s="354">
        <f t="shared" si="10"/>
        <v>2260000000</v>
      </c>
      <c r="AL56" s="355">
        <v>600000000</v>
      </c>
      <c r="AM56" s="355">
        <v>500000000</v>
      </c>
      <c r="AN56" s="355">
        <v>550000000</v>
      </c>
      <c r="AO56" s="356">
        <v>610000000</v>
      </c>
      <c r="AP56" s="907"/>
      <c r="AQ56" s="542">
        <f>AR56</f>
        <v>3911043680.3858738</v>
      </c>
      <c r="AR56" s="357">
        <f t="shared" si="16"/>
        <v>3911043680.3858738</v>
      </c>
      <c r="AS56" s="358">
        <f t="shared" si="17"/>
        <v>858339493.00944996</v>
      </c>
      <c r="AT56" s="358">
        <f t="shared" si="18"/>
        <v>910427665.34000003</v>
      </c>
      <c r="AU56" s="358">
        <f t="shared" si="19"/>
        <v>1017604525.2604001</v>
      </c>
      <c r="AV56" s="359">
        <f t="shared" si="20"/>
        <v>1124671996.7760241</v>
      </c>
      <c r="AW56" s="359"/>
      <c r="AX56" s="896" t="s">
        <v>847</v>
      </c>
    </row>
    <row r="57" spans="1:50" ht="120">
      <c r="A57" s="515" t="s">
        <v>1504</v>
      </c>
      <c r="B57" s="537" t="s">
        <v>1498</v>
      </c>
      <c r="C57" s="538">
        <v>6.4</v>
      </c>
      <c r="D57" s="373" t="s">
        <v>1099</v>
      </c>
      <c r="E57" s="539" t="s">
        <v>1100</v>
      </c>
      <c r="F57" s="373" t="s">
        <v>1101</v>
      </c>
      <c r="G57" s="696" t="str">
        <f t="shared" si="15"/>
        <v>6.4.1 Implementación de la estrategia de reconocimiento de la memoria adaptativa del territorio y apropiación socio-cultural de herramientas de participación y educación para la adaptación al cambio climático y la gestión del riesgo</v>
      </c>
      <c r="H57" s="353" t="s">
        <v>1102</v>
      </c>
      <c r="I57" s="488" t="s">
        <v>930</v>
      </c>
      <c r="J57" s="344" t="s">
        <v>437</v>
      </c>
      <c r="K57" s="454" t="s">
        <v>1103</v>
      </c>
      <c r="L57" s="392">
        <v>0.4</v>
      </c>
      <c r="M57" s="392">
        <v>0.1</v>
      </c>
      <c r="N57" s="392">
        <v>0.2</v>
      </c>
      <c r="O57" s="392">
        <v>0.3</v>
      </c>
      <c r="P57" s="392">
        <v>0.4</v>
      </c>
      <c r="Q57" s="368" t="s">
        <v>830</v>
      </c>
      <c r="R57" s="860" t="s">
        <v>1803</v>
      </c>
      <c r="S57" s="386" t="s">
        <v>1788</v>
      </c>
      <c r="T57" s="382" t="s">
        <v>900</v>
      </c>
      <c r="U57" s="388" t="s">
        <v>1105</v>
      </c>
      <c r="V57" s="919"/>
      <c r="W57" s="956"/>
      <c r="X57" s="544">
        <f>Y57</f>
        <v>986459835.66081607</v>
      </c>
      <c r="Y57" s="350">
        <f t="shared" si="6"/>
        <v>986459835.66081607</v>
      </c>
      <c r="Z57" s="380">
        <v>225496326</v>
      </c>
      <c r="AA57" s="380">
        <v>239026105.56</v>
      </c>
      <c r="AB57" s="380">
        <v>253367671.89360002</v>
      </c>
      <c r="AC57" s="944">
        <v>268569732.20721602</v>
      </c>
      <c r="AD57" s="545" t="s">
        <v>1104</v>
      </c>
      <c r="AE57" s="353"/>
      <c r="AF57" s="354">
        <f t="shared" si="8"/>
        <v>0</v>
      </c>
      <c r="AG57" s="355">
        <v>0</v>
      </c>
      <c r="AH57" s="355">
        <f t="shared" si="21"/>
        <v>0</v>
      </c>
      <c r="AI57" s="355">
        <f t="shared" si="21"/>
        <v>0</v>
      </c>
      <c r="AJ57" s="356">
        <f t="shared" si="21"/>
        <v>0</v>
      </c>
      <c r="AK57" s="354">
        <f t="shared" si="10"/>
        <v>266337228.38128561</v>
      </c>
      <c r="AL57" s="355"/>
      <c r="AM57" s="355">
        <f>AA57*0.35</f>
        <v>83659136.945999995</v>
      </c>
      <c r="AN57" s="355">
        <f>AB57*0.35</f>
        <v>88678685.162760004</v>
      </c>
      <c r="AO57" s="356">
        <f>AC57*0.35</f>
        <v>93999406.272525609</v>
      </c>
      <c r="AP57" s="907"/>
      <c r="AQ57" s="544">
        <f>AR57</f>
        <v>986459835.66081607</v>
      </c>
      <c r="AR57" s="357">
        <f t="shared" si="16"/>
        <v>986459835.66081607</v>
      </c>
      <c r="AS57" s="358">
        <f t="shared" si="17"/>
        <v>225496326</v>
      </c>
      <c r="AT57" s="358">
        <f t="shared" si="18"/>
        <v>239026105.56</v>
      </c>
      <c r="AU57" s="358">
        <f t="shared" si="19"/>
        <v>253367671.89360002</v>
      </c>
      <c r="AV57" s="359">
        <f t="shared" si="20"/>
        <v>268569732.20721602</v>
      </c>
      <c r="AW57" s="359"/>
      <c r="AX57" s="883" t="s">
        <v>830</v>
      </c>
    </row>
    <row r="58" spans="1:50" ht="84">
      <c r="A58" s="515" t="s">
        <v>1504</v>
      </c>
      <c r="B58" s="537" t="s">
        <v>1498</v>
      </c>
      <c r="C58" s="546">
        <v>6.5</v>
      </c>
      <c r="D58" s="493" t="s">
        <v>1106</v>
      </c>
      <c r="E58" s="539" t="s">
        <v>1107</v>
      </c>
      <c r="F58" s="433" t="s">
        <v>1108</v>
      </c>
      <c r="G58" s="696" t="str">
        <f t="shared" si="15"/>
        <v>6.5.1 Implementación del Plan de Gestión del Cambio Climático en la Jurisdicción de Corantioquia</v>
      </c>
      <c r="H58" s="344" t="s">
        <v>1109</v>
      </c>
      <c r="I58" s="385" t="s">
        <v>930</v>
      </c>
      <c r="J58" s="491" t="s">
        <v>845</v>
      </c>
      <c r="K58" s="488" t="s">
        <v>1110</v>
      </c>
      <c r="L58" s="392">
        <v>0.8</v>
      </c>
      <c r="M58" s="392">
        <v>0.4</v>
      </c>
      <c r="N58" s="392">
        <v>0.5</v>
      </c>
      <c r="O58" s="392">
        <v>0.6</v>
      </c>
      <c r="P58" s="392">
        <v>0.8</v>
      </c>
      <c r="Q58" s="368" t="s">
        <v>975</v>
      </c>
      <c r="R58" s="860" t="s">
        <v>1803</v>
      </c>
      <c r="S58" s="386" t="s">
        <v>1787</v>
      </c>
      <c r="T58" s="849" t="s">
        <v>832</v>
      </c>
      <c r="U58" s="387" t="s">
        <v>1112</v>
      </c>
      <c r="V58" s="919" t="s">
        <v>1113</v>
      </c>
      <c r="W58" s="956"/>
      <c r="X58" s="547">
        <f>SUM(Y58:Y59)</f>
        <v>2711647806.2664299</v>
      </c>
      <c r="Y58" s="350">
        <f t="shared" si="6"/>
        <v>457830000</v>
      </c>
      <c r="Z58" s="363">
        <v>139470000</v>
      </c>
      <c r="AA58" s="363">
        <v>100000000</v>
      </c>
      <c r="AB58" s="363">
        <v>106000000</v>
      </c>
      <c r="AC58" s="943">
        <v>112360000</v>
      </c>
      <c r="AD58" s="381" t="s">
        <v>1111</v>
      </c>
      <c r="AE58" s="353"/>
      <c r="AF58" s="354">
        <f t="shared" si="8"/>
        <v>0</v>
      </c>
      <c r="AG58" s="355">
        <v>0</v>
      </c>
      <c r="AH58" s="355">
        <f t="shared" si="21"/>
        <v>0</v>
      </c>
      <c r="AI58" s="355">
        <f t="shared" si="21"/>
        <v>0</v>
      </c>
      <c r="AJ58" s="356">
        <f t="shared" si="21"/>
        <v>0</v>
      </c>
      <c r="AK58" s="354">
        <f t="shared" si="10"/>
        <v>1490000000</v>
      </c>
      <c r="AL58" s="355">
        <v>300000000</v>
      </c>
      <c r="AM58" s="355">
        <v>350000000</v>
      </c>
      <c r="AN58" s="355">
        <v>390000000</v>
      </c>
      <c r="AO58" s="356">
        <v>450000000</v>
      </c>
      <c r="AP58" s="907"/>
      <c r="AQ58" s="547">
        <f>SUM(AR58:AR59)</f>
        <v>2711647806.2664299</v>
      </c>
      <c r="AR58" s="357">
        <f t="shared" si="16"/>
        <v>457830000</v>
      </c>
      <c r="AS58" s="358">
        <f t="shared" si="17"/>
        <v>139470000</v>
      </c>
      <c r="AT58" s="358">
        <f t="shared" si="18"/>
        <v>100000000</v>
      </c>
      <c r="AU58" s="358">
        <f t="shared" si="19"/>
        <v>106000000</v>
      </c>
      <c r="AV58" s="359">
        <f t="shared" si="20"/>
        <v>112360000</v>
      </c>
      <c r="AW58" s="359"/>
      <c r="AX58" s="883" t="s">
        <v>975</v>
      </c>
    </row>
    <row r="59" spans="1:50" ht="189.75" customHeight="1" thickBot="1">
      <c r="A59" s="515" t="s">
        <v>1504</v>
      </c>
      <c r="B59" s="537" t="s">
        <v>1498</v>
      </c>
      <c r="C59" s="548">
        <v>6.5</v>
      </c>
      <c r="D59" s="499" t="s">
        <v>1106</v>
      </c>
      <c r="E59" s="549" t="s">
        <v>1114</v>
      </c>
      <c r="F59" s="472" t="s">
        <v>1115</v>
      </c>
      <c r="G59" s="732" t="str">
        <f t="shared" si="15"/>
        <v>6.5.2 Implementación de las medidas acordadas para la reducción de gases de efecto invernadero</v>
      </c>
      <c r="H59" s="550" t="s">
        <v>1534</v>
      </c>
      <c r="I59" s="474" t="s">
        <v>930</v>
      </c>
      <c r="J59" s="551" t="s">
        <v>845</v>
      </c>
      <c r="K59" s="500" t="s">
        <v>1518</v>
      </c>
      <c r="L59" s="410">
        <v>1</v>
      </c>
      <c r="M59" s="410">
        <v>1</v>
      </c>
      <c r="N59" s="410">
        <v>1</v>
      </c>
      <c r="O59" s="410">
        <v>1</v>
      </c>
      <c r="P59" s="410">
        <v>1</v>
      </c>
      <c r="Q59" s="878" t="s">
        <v>876</v>
      </c>
      <c r="R59" s="861" t="s">
        <v>1803</v>
      </c>
      <c r="S59" s="478" t="s">
        <v>1787</v>
      </c>
      <c r="T59" s="854" t="s">
        <v>832</v>
      </c>
      <c r="U59" s="479" t="s">
        <v>1112</v>
      </c>
      <c r="V59" s="924"/>
      <c r="W59" s="957"/>
      <c r="X59" s="553"/>
      <c r="Y59" s="450">
        <f t="shared" si="6"/>
        <v>2253817806.2664299</v>
      </c>
      <c r="Z59" s="554">
        <f>408773806.26643+2544000+2000000</f>
        <v>413317806.26643002</v>
      </c>
      <c r="AA59" s="554">
        <f>550000000+3000000</f>
        <v>553000000</v>
      </c>
      <c r="AB59" s="554">
        <f>610000000+3500000</f>
        <v>613500000</v>
      </c>
      <c r="AC59" s="958">
        <f>670000000+4000000</f>
        <v>674000000</v>
      </c>
      <c r="AD59" s="555" t="s">
        <v>1116</v>
      </c>
      <c r="AE59" s="443"/>
      <c r="AF59" s="556">
        <f t="shared" si="8"/>
        <v>0</v>
      </c>
      <c r="AG59" s="557">
        <v>0</v>
      </c>
      <c r="AH59" s="557">
        <f t="shared" si="21"/>
        <v>0</v>
      </c>
      <c r="AI59" s="557">
        <f t="shared" si="21"/>
        <v>0</v>
      </c>
      <c r="AJ59" s="558">
        <f t="shared" si="21"/>
        <v>0</v>
      </c>
      <c r="AK59" s="556">
        <f t="shared" si="10"/>
        <v>2330000000</v>
      </c>
      <c r="AL59" s="557">
        <v>500000000</v>
      </c>
      <c r="AM59" s="557">
        <v>550000000</v>
      </c>
      <c r="AN59" s="557">
        <v>610000000</v>
      </c>
      <c r="AO59" s="558">
        <v>670000000</v>
      </c>
      <c r="AP59" s="552"/>
      <c r="AQ59" s="553"/>
      <c r="AR59" s="559">
        <f t="shared" si="16"/>
        <v>2253817806.2664299</v>
      </c>
      <c r="AS59" s="560">
        <f t="shared" si="17"/>
        <v>413317806.26643002</v>
      </c>
      <c r="AT59" s="560">
        <f t="shared" si="18"/>
        <v>553000000</v>
      </c>
      <c r="AU59" s="560">
        <f t="shared" si="19"/>
        <v>613500000</v>
      </c>
      <c r="AV59" s="561">
        <f t="shared" si="20"/>
        <v>674000000</v>
      </c>
      <c r="AW59" s="561"/>
      <c r="AX59" s="892" t="s">
        <v>876</v>
      </c>
    </row>
    <row r="60" spans="1:50" ht="150">
      <c r="A60" s="562" t="s">
        <v>1505</v>
      </c>
      <c r="B60" s="563" t="s">
        <v>1494</v>
      </c>
      <c r="C60" s="466">
        <v>7.1</v>
      </c>
      <c r="D60" s="511" t="s">
        <v>1117</v>
      </c>
      <c r="E60" s="512" t="s">
        <v>1118</v>
      </c>
      <c r="F60" s="346" t="s">
        <v>1119</v>
      </c>
      <c r="G60" s="731" t="str">
        <f t="shared" si="15"/>
        <v>7.1.1 Ejecución de planes de negocio asociativo en turismo de naturaleza por socioecosistema</v>
      </c>
      <c r="H60" s="875" t="s">
        <v>1535</v>
      </c>
      <c r="I60" s="513" t="s">
        <v>930</v>
      </c>
      <c r="J60" s="491" t="s">
        <v>437</v>
      </c>
      <c r="K60" s="513" t="s">
        <v>1046</v>
      </c>
      <c r="L60" s="514">
        <f>SUM(M60:P60)</f>
        <v>3</v>
      </c>
      <c r="M60" s="514">
        <v>0</v>
      </c>
      <c r="N60" s="514">
        <v>1</v>
      </c>
      <c r="O60" s="514">
        <v>1</v>
      </c>
      <c r="P60" s="514">
        <v>1</v>
      </c>
      <c r="Q60" s="423" t="s">
        <v>847</v>
      </c>
      <c r="R60" s="874" t="s">
        <v>1798</v>
      </c>
      <c r="S60" s="458" t="s">
        <v>1787</v>
      </c>
      <c r="T60" s="853" t="s">
        <v>832</v>
      </c>
      <c r="U60" s="459" t="s">
        <v>1121</v>
      </c>
      <c r="V60" s="923"/>
      <c r="W60" s="959">
        <f>SUM(X60:X71)</f>
        <v>12649330000</v>
      </c>
      <c r="X60" s="564">
        <f>SUM(Y60:Y66)</f>
        <v>8591500000</v>
      </c>
      <c r="Y60" s="350">
        <f t="shared" si="6"/>
        <v>1891500000</v>
      </c>
      <c r="Z60" s="425">
        <v>0</v>
      </c>
      <c r="AA60" s="425">
        <v>600000000</v>
      </c>
      <c r="AB60" s="425">
        <f>AA60*1.05</f>
        <v>630000000</v>
      </c>
      <c r="AC60" s="949">
        <f>AB60*1.05</f>
        <v>661500000</v>
      </c>
      <c r="AD60" s="933" t="s">
        <v>1120</v>
      </c>
      <c r="AE60" s="427"/>
      <c r="AF60" s="565">
        <f t="shared" si="8"/>
        <v>0</v>
      </c>
      <c r="AG60" s="566">
        <v>0</v>
      </c>
      <c r="AH60" s="566">
        <f t="shared" si="21"/>
        <v>0</v>
      </c>
      <c r="AI60" s="566">
        <f t="shared" si="21"/>
        <v>0</v>
      </c>
      <c r="AJ60" s="567">
        <f t="shared" si="21"/>
        <v>0</v>
      </c>
      <c r="AK60" s="565">
        <f t="shared" si="10"/>
        <v>0</v>
      </c>
      <c r="AL60" s="566"/>
      <c r="AM60" s="566"/>
      <c r="AN60" s="566"/>
      <c r="AO60" s="567"/>
      <c r="AP60" s="908">
        <f>SUM(AQ60:AQ71)</f>
        <v>13539607830.933807</v>
      </c>
      <c r="AQ60" s="564">
        <f>SUM(AR60:AR66)</f>
        <v>9481777830.9338074</v>
      </c>
      <c r="AR60" s="568">
        <f t="shared" si="16"/>
        <v>1891500000</v>
      </c>
      <c r="AS60" s="569">
        <f t="shared" si="17"/>
        <v>0</v>
      </c>
      <c r="AT60" s="569">
        <f t="shared" si="18"/>
        <v>600000000</v>
      </c>
      <c r="AU60" s="569">
        <f t="shared" si="19"/>
        <v>630000000</v>
      </c>
      <c r="AV60" s="570">
        <f t="shared" si="20"/>
        <v>661500000</v>
      </c>
      <c r="AW60" s="570"/>
      <c r="AX60" s="897" t="s">
        <v>847</v>
      </c>
    </row>
    <row r="61" spans="1:50" ht="150">
      <c r="A61" s="571" t="s">
        <v>1505</v>
      </c>
      <c r="B61" s="572" t="s">
        <v>1494</v>
      </c>
      <c r="C61" s="466">
        <v>7.1</v>
      </c>
      <c r="D61" s="377" t="s">
        <v>1117</v>
      </c>
      <c r="E61" s="462" t="s">
        <v>1122</v>
      </c>
      <c r="F61" s="344" t="s">
        <v>1123</v>
      </c>
      <c r="G61" s="696" t="str">
        <f t="shared" si="15"/>
        <v>7.1.2 Implementación de esquemas asociativos propios de las comunidades étnicas en lo productivo según regulación propia, que incorporan uso de la biodiversidad</v>
      </c>
      <c r="H61" s="344" t="s">
        <v>1124</v>
      </c>
      <c r="I61" s="402" t="s">
        <v>836</v>
      </c>
      <c r="J61" s="344" t="s">
        <v>437</v>
      </c>
      <c r="K61" s="402" t="s">
        <v>1067</v>
      </c>
      <c r="L61" s="368">
        <v>2</v>
      </c>
      <c r="M61" s="368">
        <v>0</v>
      </c>
      <c r="N61" s="368">
        <v>0</v>
      </c>
      <c r="O61" s="368">
        <v>1</v>
      </c>
      <c r="P61" s="368">
        <v>1</v>
      </c>
      <c r="Q61" s="368" t="s">
        <v>847</v>
      </c>
      <c r="R61" s="860" t="s">
        <v>1798</v>
      </c>
      <c r="S61" s="386" t="s">
        <v>1787</v>
      </c>
      <c r="T61" s="849" t="s">
        <v>878</v>
      </c>
      <c r="U61" s="352" t="s">
        <v>1126</v>
      </c>
      <c r="V61" s="919" t="s">
        <v>1127</v>
      </c>
      <c r="W61" s="959"/>
      <c r="X61" s="564"/>
      <c r="Y61" s="350">
        <f t="shared" si="6"/>
        <v>200000000</v>
      </c>
      <c r="Z61" s="363">
        <v>0</v>
      </c>
      <c r="AA61" s="363">
        <v>0</v>
      </c>
      <c r="AB61" s="363">
        <v>100000000</v>
      </c>
      <c r="AC61" s="943">
        <v>100000000</v>
      </c>
      <c r="AD61" s="381" t="s">
        <v>1125</v>
      </c>
      <c r="AE61" s="353"/>
      <c r="AF61" s="354">
        <f t="shared" si="8"/>
        <v>0</v>
      </c>
      <c r="AG61" s="428">
        <v>0</v>
      </c>
      <c r="AH61" s="355">
        <f t="shared" si="21"/>
        <v>0</v>
      </c>
      <c r="AI61" s="355">
        <f t="shared" si="21"/>
        <v>0</v>
      </c>
      <c r="AJ61" s="356">
        <f t="shared" si="21"/>
        <v>0</v>
      </c>
      <c r="AK61" s="354">
        <f t="shared" si="10"/>
        <v>0</v>
      </c>
      <c r="AL61" s="355"/>
      <c r="AM61" s="355"/>
      <c r="AN61" s="355"/>
      <c r="AO61" s="356"/>
      <c r="AP61" s="908"/>
      <c r="AQ61" s="564"/>
      <c r="AR61" s="357">
        <f t="shared" si="16"/>
        <v>200000000</v>
      </c>
      <c r="AS61" s="358">
        <f t="shared" si="17"/>
        <v>0</v>
      </c>
      <c r="AT61" s="358">
        <f t="shared" si="18"/>
        <v>0</v>
      </c>
      <c r="AU61" s="358">
        <f t="shared" si="19"/>
        <v>100000000</v>
      </c>
      <c r="AV61" s="359">
        <f t="shared" si="20"/>
        <v>100000000</v>
      </c>
      <c r="AW61" s="359"/>
      <c r="AX61" s="884" t="s">
        <v>847</v>
      </c>
    </row>
    <row r="62" spans="1:50" ht="150">
      <c r="A62" s="571" t="s">
        <v>1505</v>
      </c>
      <c r="B62" s="572" t="s">
        <v>1494</v>
      </c>
      <c r="C62" s="466">
        <v>7.1</v>
      </c>
      <c r="D62" s="377" t="s">
        <v>1117</v>
      </c>
      <c r="E62" s="462" t="s">
        <v>1128</v>
      </c>
      <c r="F62" s="344" t="s">
        <v>1129</v>
      </c>
      <c r="G62" s="696" t="str">
        <f t="shared" si="15"/>
        <v>7.1.3 Fortalecimiento de las prácticas de economía propia bajo principios de sostenibilidad</v>
      </c>
      <c r="H62" s="344" t="s">
        <v>1130</v>
      </c>
      <c r="I62" s="402" t="s">
        <v>836</v>
      </c>
      <c r="J62" s="344" t="s">
        <v>437</v>
      </c>
      <c r="K62" s="402" t="s">
        <v>1067</v>
      </c>
      <c r="L62" s="368">
        <f>4</f>
        <v>4</v>
      </c>
      <c r="M62" s="368">
        <v>0</v>
      </c>
      <c r="N62" s="368">
        <v>2</v>
      </c>
      <c r="O62" s="368">
        <v>0</v>
      </c>
      <c r="P62" s="368">
        <v>2</v>
      </c>
      <c r="Q62" s="368" t="s">
        <v>847</v>
      </c>
      <c r="R62" s="860" t="s">
        <v>1798</v>
      </c>
      <c r="S62" s="386" t="s">
        <v>1787</v>
      </c>
      <c r="T62" s="849" t="s">
        <v>878</v>
      </c>
      <c r="U62" s="352" t="s">
        <v>1131</v>
      </c>
      <c r="V62" s="919" t="s">
        <v>1132</v>
      </c>
      <c r="W62" s="959"/>
      <c r="X62" s="564"/>
      <c r="Y62" s="350">
        <f>SUM(Z62:AC62)</f>
        <v>360000000</v>
      </c>
      <c r="Z62" s="363">
        <v>0</v>
      </c>
      <c r="AA62" s="363">
        <v>180000000</v>
      </c>
      <c r="AB62" s="363">
        <v>0</v>
      </c>
      <c r="AC62" s="943">
        <v>180000000</v>
      </c>
      <c r="AD62" s="381" t="s">
        <v>1763</v>
      </c>
      <c r="AE62" s="353"/>
      <c r="AF62" s="354">
        <f t="shared" si="8"/>
        <v>0</v>
      </c>
      <c r="AG62" s="428">
        <v>0</v>
      </c>
      <c r="AH62" s="355">
        <f t="shared" si="21"/>
        <v>0</v>
      </c>
      <c r="AI62" s="355">
        <f t="shared" si="21"/>
        <v>0</v>
      </c>
      <c r="AJ62" s="356">
        <f t="shared" si="21"/>
        <v>0</v>
      </c>
      <c r="AK62" s="354">
        <f t="shared" si="10"/>
        <v>0</v>
      </c>
      <c r="AL62" s="355"/>
      <c r="AM62" s="355"/>
      <c r="AN62" s="355"/>
      <c r="AO62" s="356"/>
      <c r="AP62" s="908"/>
      <c r="AQ62" s="564"/>
      <c r="AR62" s="357">
        <f t="shared" si="16"/>
        <v>360000000</v>
      </c>
      <c r="AS62" s="358">
        <f t="shared" si="17"/>
        <v>0</v>
      </c>
      <c r="AT62" s="358">
        <f t="shared" si="18"/>
        <v>180000000</v>
      </c>
      <c r="AU62" s="358">
        <f t="shared" si="19"/>
        <v>0</v>
      </c>
      <c r="AV62" s="359">
        <f t="shared" si="20"/>
        <v>180000000</v>
      </c>
      <c r="AW62" s="359"/>
      <c r="AX62" s="884" t="s">
        <v>847</v>
      </c>
    </row>
    <row r="63" spans="1:50" ht="150">
      <c r="A63" s="571" t="s">
        <v>1505</v>
      </c>
      <c r="B63" s="572" t="s">
        <v>1494</v>
      </c>
      <c r="C63" s="466">
        <v>7.1</v>
      </c>
      <c r="D63" s="377" t="s">
        <v>1117</v>
      </c>
      <c r="E63" s="462" t="s">
        <v>1133</v>
      </c>
      <c r="F63" s="344" t="s">
        <v>1134</v>
      </c>
      <c r="G63" s="696" t="str">
        <f t="shared" si="15"/>
        <v>7.1.4 Acompañamiento a los sectores para la reconversión hacia sistemas sostenibles de producción</v>
      </c>
      <c r="H63" s="344" t="s">
        <v>1135</v>
      </c>
      <c r="I63" s="488" t="s">
        <v>836</v>
      </c>
      <c r="J63" s="344" t="s">
        <v>437</v>
      </c>
      <c r="K63" s="488" t="s">
        <v>1136</v>
      </c>
      <c r="L63" s="497">
        <v>1</v>
      </c>
      <c r="M63" s="497">
        <v>0.4</v>
      </c>
      <c r="N63" s="497">
        <v>1</v>
      </c>
      <c r="O63" s="497">
        <v>1</v>
      </c>
      <c r="P63" s="497">
        <v>1</v>
      </c>
      <c r="Q63" s="368" t="s">
        <v>127</v>
      </c>
      <c r="R63" s="860" t="s">
        <v>1802</v>
      </c>
      <c r="S63" s="386" t="s">
        <v>1787</v>
      </c>
      <c r="T63" s="849" t="s">
        <v>878</v>
      </c>
      <c r="U63" s="387" t="s">
        <v>1137</v>
      </c>
      <c r="V63" s="919" t="s">
        <v>1138</v>
      </c>
      <c r="W63" s="959"/>
      <c r="X63" s="564"/>
      <c r="Y63" s="350">
        <f t="shared" si="6"/>
        <v>3290000000</v>
      </c>
      <c r="Z63" s="380">
        <v>490000000</v>
      </c>
      <c r="AA63" s="363">
        <v>1000000000</v>
      </c>
      <c r="AB63" s="363">
        <v>900000000</v>
      </c>
      <c r="AC63" s="943">
        <v>900000000</v>
      </c>
      <c r="AD63" s="381" t="s">
        <v>1763</v>
      </c>
      <c r="AE63" s="353"/>
      <c r="AF63" s="354">
        <f t="shared" si="8"/>
        <v>890277830.93380797</v>
      </c>
      <c r="AG63" s="428">
        <f>66049485+63702954+73757499</f>
        <v>203509938</v>
      </c>
      <c r="AH63" s="355">
        <f t="shared" si="21"/>
        <v>215720534.28</v>
      </c>
      <c r="AI63" s="355">
        <f t="shared" si="21"/>
        <v>228663766.33680001</v>
      </c>
      <c r="AJ63" s="356">
        <f t="shared" si="21"/>
        <v>242383592.31700802</v>
      </c>
      <c r="AK63" s="354">
        <f t="shared" si="10"/>
        <v>3222400000</v>
      </c>
      <c r="AL63" s="355">
        <f>250000000+510000000</f>
        <v>760000000</v>
      </c>
      <c r="AM63" s="355">
        <f>AL63*4%+760000000</f>
        <v>790400000</v>
      </c>
      <c r="AN63" s="355">
        <f>AM63+30400000</f>
        <v>820800000</v>
      </c>
      <c r="AO63" s="356">
        <f>AN63+30400000</f>
        <v>851200000</v>
      </c>
      <c r="AP63" s="908"/>
      <c r="AQ63" s="564"/>
      <c r="AR63" s="357">
        <f t="shared" si="16"/>
        <v>4180277830.9338078</v>
      </c>
      <c r="AS63" s="358">
        <f t="shared" si="17"/>
        <v>693509938</v>
      </c>
      <c r="AT63" s="358">
        <f t="shared" si="18"/>
        <v>1215720534.28</v>
      </c>
      <c r="AU63" s="358">
        <f t="shared" si="19"/>
        <v>1128663766.3368001</v>
      </c>
      <c r="AV63" s="359">
        <f t="shared" si="20"/>
        <v>1142383592.317008</v>
      </c>
      <c r="AW63" s="359"/>
      <c r="AX63" s="883" t="s">
        <v>127</v>
      </c>
    </row>
    <row r="64" spans="1:50" ht="150">
      <c r="A64" s="571" t="s">
        <v>1505</v>
      </c>
      <c r="B64" s="572" t="s">
        <v>1494</v>
      </c>
      <c r="C64" s="466">
        <v>7.1</v>
      </c>
      <c r="D64" s="377" t="s">
        <v>1117</v>
      </c>
      <c r="E64" s="462" t="s">
        <v>1139</v>
      </c>
      <c r="F64" s="344" t="s">
        <v>1140</v>
      </c>
      <c r="G64" s="696" t="str">
        <f t="shared" si="15"/>
        <v>7.1.5 Verificación de negocios verdes</v>
      </c>
      <c r="H64" s="344" t="s">
        <v>1519</v>
      </c>
      <c r="I64" s="488" t="s">
        <v>930</v>
      </c>
      <c r="J64" s="344" t="s">
        <v>437</v>
      </c>
      <c r="K64" s="488" t="s">
        <v>846</v>
      </c>
      <c r="L64" s="368">
        <f>SUM(M64:P64)</f>
        <v>80</v>
      </c>
      <c r="M64" s="368">
        <v>20</v>
      </c>
      <c r="N64" s="368">
        <v>20</v>
      </c>
      <c r="O64" s="368">
        <v>20</v>
      </c>
      <c r="P64" s="368">
        <v>20</v>
      </c>
      <c r="Q64" s="368" t="s">
        <v>876</v>
      </c>
      <c r="R64" s="860" t="s">
        <v>1802</v>
      </c>
      <c r="S64" s="386" t="s">
        <v>1787</v>
      </c>
      <c r="T64" s="849" t="s">
        <v>878</v>
      </c>
      <c r="U64" s="387"/>
      <c r="V64" s="919"/>
      <c r="W64" s="959"/>
      <c r="X64" s="564"/>
      <c r="Y64" s="350">
        <f t="shared" si="6"/>
        <v>900000000</v>
      </c>
      <c r="Z64" s="380">
        <v>200000000</v>
      </c>
      <c r="AA64" s="363">
        <v>200000000</v>
      </c>
      <c r="AB64" s="363">
        <v>250000000</v>
      </c>
      <c r="AC64" s="943">
        <v>250000000</v>
      </c>
      <c r="AD64" s="380" t="s">
        <v>1141</v>
      </c>
      <c r="AE64" s="353"/>
      <c r="AF64" s="354">
        <f t="shared" si="8"/>
        <v>0</v>
      </c>
      <c r="AG64" s="428">
        <v>0</v>
      </c>
      <c r="AH64" s="355">
        <f t="shared" si="21"/>
        <v>0</v>
      </c>
      <c r="AI64" s="355">
        <f t="shared" si="21"/>
        <v>0</v>
      </c>
      <c r="AJ64" s="356">
        <f t="shared" si="21"/>
        <v>0</v>
      </c>
      <c r="AK64" s="354">
        <f t="shared" si="10"/>
        <v>0</v>
      </c>
      <c r="AL64" s="355"/>
      <c r="AM64" s="355"/>
      <c r="AN64" s="355"/>
      <c r="AO64" s="356"/>
      <c r="AP64" s="908"/>
      <c r="AQ64" s="564"/>
      <c r="AR64" s="357">
        <f t="shared" si="16"/>
        <v>900000000</v>
      </c>
      <c r="AS64" s="358">
        <f t="shared" si="17"/>
        <v>200000000</v>
      </c>
      <c r="AT64" s="358">
        <f t="shared" si="18"/>
        <v>200000000</v>
      </c>
      <c r="AU64" s="358">
        <f t="shared" si="19"/>
        <v>250000000</v>
      </c>
      <c r="AV64" s="359">
        <f t="shared" si="20"/>
        <v>250000000</v>
      </c>
      <c r="AW64" s="359"/>
      <c r="AX64" s="883" t="s">
        <v>876</v>
      </c>
    </row>
    <row r="65" spans="1:50" ht="150">
      <c r="A65" s="571" t="s">
        <v>1505</v>
      </c>
      <c r="B65" s="572" t="s">
        <v>1494</v>
      </c>
      <c r="C65" s="466">
        <v>7.1</v>
      </c>
      <c r="D65" s="377" t="s">
        <v>1117</v>
      </c>
      <c r="E65" s="462" t="s">
        <v>1142</v>
      </c>
      <c r="F65" s="344" t="s">
        <v>1143</v>
      </c>
      <c r="G65" s="696" t="str">
        <f t="shared" si="15"/>
        <v>7.1.6 Implementación del programa regional de negocios verdes</v>
      </c>
      <c r="H65" s="344" t="s">
        <v>1144</v>
      </c>
      <c r="I65" s="488" t="s">
        <v>930</v>
      </c>
      <c r="J65" s="344" t="s">
        <v>437</v>
      </c>
      <c r="K65" s="488" t="s">
        <v>1145</v>
      </c>
      <c r="L65" s="497">
        <v>1</v>
      </c>
      <c r="M65" s="497">
        <v>1</v>
      </c>
      <c r="N65" s="497">
        <v>1</v>
      </c>
      <c r="O65" s="497">
        <v>1</v>
      </c>
      <c r="P65" s="497">
        <v>1</v>
      </c>
      <c r="Q65" s="368" t="s">
        <v>127</v>
      </c>
      <c r="R65" s="860" t="s">
        <v>1802</v>
      </c>
      <c r="S65" s="386" t="s">
        <v>1787</v>
      </c>
      <c r="T65" s="849" t="s">
        <v>878</v>
      </c>
      <c r="U65" s="387"/>
      <c r="V65" s="919"/>
      <c r="W65" s="959"/>
      <c r="X65" s="564"/>
      <c r="Y65" s="350">
        <f t="shared" si="6"/>
        <v>750000000</v>
      </c>
      <c r="Z65" s="384">
        <v>200000000</v>
      </c>
      <c r="AA65" s="363">
        <v>150000000</v>
      </c>
      <c r="AB65" s="363">
        <v>200000000</v>
      </c>
      <c r="AC65" s="943">
        <v>200000000</v>
      </c>
      <c r="AD65" s="380" t="s">
        <v>1141</v>
      </c>
      <c r="AE65" s="353"/>
      <c r="AF65" s="354">
        <f t="shared" si="8"/>
        <v>0</v>
      </c>
      <c r="AG65" s="428">
        <v>0</v>
      </c>
      <c r="AH65" s="355">
        <f t="shared" si="21"/>
        <v>0</v>
      </c>
      <c r="AI65" s="355">
        <f t="shared" si="21"/>
        <v>0</v>
      </c>
      <c r="AJ65" s="356">
        <f t="shared" si="21"/>
        <v>0</v>
      </c>
      <c r="AK65" s="354">
        <f t="shared" si="10"/>
        <v>0</v>
      </c>
      <c r="AL65" s="355"/>
      <c r="AM65" s="355"/>
      <c r="AN65" s="355"/>
      <c r="AO65" s="356"/>
      <c r="AP65" s="908"/>
      <c r="AQ65" s="564"/>
      <c r="AR65" s="357">
        <f t="shared" si="16"/>
        <v>750000000</v>
      </c>
      <c r="AS65" s="358">
        <f t="shared" si="17"/>
        <v>200000000</v>
      </c>
      <c r="AT65" s="358">
        <f t="shared" si="18"/>
        <v>150000000</v>
      </c>
      <c r="AU65" s="358">
        <f t="shared" si="19"/>
        <v>200000000</v>
      </c>
      <c r="AV65" s="359">
        <f t="shared" si="20"/>
        <v>200000000</v>
      </c>
      <c r="AW65" s="359"/>
      <c r="AX65" s="883" t="s">
        <v>127</v>
      </c>
    </row>
    <row r="66" spans="1:50" ht="150">
      <c r="A66" s="571" t="s">
        <v>1505</v>
      </c>
      <c r="B66" s="572" t="s">
        <v>1494</v>
      </c>
      <c r="C66" s="467">
        <v>7.1</v>
      </c>
      <c r="D66" s="485" t="s">
        <v>1117</v>
      </c>
      <c r="E66" s="462" t="s">
        <v>1146</v>
      </c>
      <c r="F66" s="344" t="s">
        <v>1147</v>
      </c>
      <c r="G66" s="696" t="str">
        <f t="shared" ref="G66:G97" si="23">CONCATENATE(E66," ",F66)</f>
        <v>7.1.7 Implementación de estrategias de promoción de uso de energía alternativa</v>
      </c>
      <c r="H66" s="344" t="s">
        <v>1148</v>
      </c>
      <c r="I66" s="385" t="s">
        <v>930</v>
      </c>
      <c r="J66" s="401" t="s">
        <v>437</v>
      </c>
      <c r="K66" s="385" t="s">
        <v>829</v>
      </c>
      <c r="L66" s="497">
        <v>1</v>
      </c>
      <c r="M66" s="497">
        <v>0</v>
      </c>
      <c r="N66" s="497">
        <v>1</v>
      </c>
      <c r="O66" s="497">
        <v>1</v>
      </c>
      <c r="P66" s="497">
        <v>1</v>
      </c>
      <c r="Q66" s="368" t="s">
        <v>830</v>
      </c>
      <c r="R66" s="860" t="s">
        <v>1797</v>
      </c>
      <c r="S66" s="386" t="s">
        <v>1787</v>
      </c>
      <c r="T66" s="849" t="s">
        <v>878</v>
      </c>
      <c r="U66" s="387"/>
      <c r="V66" s="919"/>
      <c r="W66" s="959"/>
      <c r="X66" s="573"/>
      <c r="Y66" s="350">
        <f t="shared" si="6"/>
        <v>1200000000</v>
      </c>
      <c r="Z66" s="363">
        <v>0</v>
      </c>
      <c r="AA66" s="363">
        <v>400000000</v>
      </c>
      <c r="AB66" s="363">
        <v>400000000</v>
      </c>
      <c r="AC66" s="943">
        <v>400000000</v>
      </c>
      <c r="AD66" s="380" t="s">
        <v>1141</v>
      </c>
      <c r="AE66" s="353"/>
      <c r="AF66" s="354">
        <f t="shared" si="8"/>
        <v>0</v>
      </c>
      <c r="AG66" s="428">
        <v>0</v>
      </c>
      <c r="AH66" s="355">
        <f t="shared" si="21"/>
        <v>0</v>
      </c>
      <c r="AI66" s="355">
        <f t="shared" si="21"/>
        <v>0</v>
      </c>
      <c r="AJ66" s="356">
        <f t="shared" si="21"/>
        <v>0</v>
      </c>
      <c r="AK66" s="354">
        <f t="shared" si="10"/>
        <v>2120000000</v>
      </c>
      <c r="AL66" s="355">
        <v>500000000</v>
      </c>
      <c r="AM66" s="355">
        <f>AL66*4%+500000000</f>
        <v>520000000</v>
      </c>
      <c r="AN66" s="355">
        <f>AM66+20000000</f>
        <v>540000000</v>
      </c>
      <c r="AO66" s="356">
        <f>AN66+20000000</f>
        <v>560000000</v>
      </c>
      <c r="AP66" s="908"/>
      <c r="AQ66" s="573"/>
      <c r="AR66" s="357">
        <f t="shared" ref="AR66:AR97" si="24">Y66+AF66</f>
        <v>1200000000</v>
      </c>
      <c r="AS66" s="358">
        <f t="shared" ref="AS66:AS97" si="25">IFERROR(Z66+AG66,0)</f>
        <v>0</v>
      </c>
      <c r="AT66" s="358">
        <f t="shared" ref="AT66:AT97" si="26">IFERROR(AA66+AH66,0)</f>
        <v>400000000</v>
      </c>
      <c r="AU66" s="358">
        <f t="shared" ref="AU66:AU97" si="27">IFERROR(AB66+AI66,0)</f>
        <v>400000000</v>
      </c>
      <c r="AV66" s="359">
        <f t="shared" ref="AV66:AV97" si="28">IFERROR(AC66+AJ66,0)</f>
        <v>400000000</v>
      </c>
      <c r="AW66" s="359"/>
      <c r="AX66" s="883" t="s">
        <v>830</v>
      </c>
    </row>
    <row r="67" spans="1:50" ht="108">
      <c r="A67" s="571" t="s">
        <v>1505</v>
      </c>
      <c r="B67" s="572" t="s">
        <v>1494</v>
      </c>
      <c r="C67" s="466">
        <v>7.2</v>
      </c>
      <c r="D67" s="446" t="s">
        <v>1149</v>
      </c>
      <c r="E67" s="462" t="s">
        <v>1150</v>
      </c>
      <c r="F67" s="344" t="s">
        <v>1151</v>
      </c>
      <c r="G67" s="696" t="str">
        <f t="shared" si="23"/>
        <v>7.2.1 Acompañamiento a los sectores en la generación de articulaciones socio-cultural que permitan consolidar escenarios económicos locales y regionales sostenibles</v>
      </c>
      <c r="H67" s="344" t="s">
        <v>1152</v>
      </c>
      <c r="I67" s="488" t="s">
        <v>836</v>
      </c>
      <c r="J67" s="446" t="s">
        <v>437</v>
      </c>
      <c r="K67" s="385" t="s">
        <v>829</v>
      </c>
      <c r="L67" s="469">
        <v>2</v>
      </c>
      <c r="M67" s="469">
        <v>2</v>
      </c>
      <c r="N67" s="469">
        <v>2</v>
      </c>
      <c r="O67" s="469">
        <v>2</v>
      </c>
      <c r="P67" s="469">
        <v>2</v>
      </c>
      <c r="Q67" s="368" t="s">
        <v>830</v>
      </c>
      <c r="R67" s="860" t="s">
        <v>1807</v>
      </c>
      <c r="S67" s="386" t="s">
        <v>1788</v>
      </c>
      <c r="T67" s="849" t="s">
        <v>900</v>
      </c>
      <c r="U67" s="387"/>
      <c r="V67" s="919"/>
      <c r="W67" s="959"/>
      <c r="X67" s="574">
        <f>Y67</f>
        <v>457830000</v>
      </c>
      <c r="Y67" s="350">
        <f t="shared" si="6"/>
        <v>457830000</v>
      </c>
      <c r="Z67" s="363">
        <v>139470000</v>
      </c>
      <c r="AA67" s="363">
        <v>100000000</v>
      </c>
      <c r="AB67" s="363">
        <f t="shared" ref="AB67:AC67" si="29">AA67*1.06</f>
        <v>106000000</v>
      </c>
      <c r="AC67" s="943">
        <f t="shared" si="29"/>
        <v>112360000</v>
      </c>
      <c r="AD67" s="545" t="s">
        <v>1153</v>
      </c>
      <c r="AE67" s="353"/>
      <c r="AF67" s="354">
        <f t="shared" ref="AF67:AF133" si="30">SUM(AG67:AJ67)</f>
        <v>0</v>
      </c>
      <c r="AG67" s="355">
        <v>0</v>
      </c>
      <c r="AH67" s="355">
        <f t="shared" ref="AH67:AJ98" si="31">IFERROR(AG67*1.06,AG67)</f>
        <v>0</v>
      </c>
      <c r="AI67" s="355">
        <f t="shared" si="31"/>
        <v>0</v>
      </c>
      <c r="AJ67" s="356">
        <f t="shared" si="31"/>
        <v>0</v>
      </c>
      <c r="AK67" s="354">
        <f t="shared" ref="AK67:AK133" si="32">+SUM(AL67:AO67)</f>
        <v>111426000</v>
      </c>
      <c r="AL67" s="355"/>
      <c r="AM67" s="355">
        <f>AA67*0.35</f>
        <v>35000000</v>
      </c>
      <c r="AN67" s="355">
        <f>AB67*0.35</f>
        <v>37100000</v>
      </c>
      <c r="AO67" s="356">
        <f>AC67*0.35</f>
        <v>39326000</v>
      </c>
      <c r="AP67" s="908"/>
      <c r="AQ67" s="574">
        <f>AR67</f>
        <v>457830000</v>
      </c>
      <c r="AR67" s="357">
        <f t="shared" si="24"/>
        <v>457830000</v>
      </c>
      <c r="AS67" s="358">
        <f t="shared" si="25"/>
        <v>139470000</v>
      </c>
      <c r="AT67" s="358">
        <f t="shared" si="26"/>
        <v>100000000</v>
      </c>
      <c r="AU67" s="358">
        <f t="shared" si="27"/>
        <v>106000000</v>
      </c>
      <c r="AV67" s="359">
        <f t="shared" si="28"/>
        <v>112360000</v>
      </c>
      <c r="AW67" s="359"/>
      <c r="AX67" s="883" t="s">
        <v>830</v>
      </c>
    </row>
    <row r="68" spans="1:50" ht="75">
      <c r="A68" s="571" t="s">
        <v>1505</v>
      </c>
      <c r="B68" s="572" t="s">
        <v>1494</v>
      </c>
      <c r="C68" s="575">
        <v>7.3</v>
      </c>
      <c r="D68" s="493" t="s">
        <v>1154</v>
      </c>
      <c r="E68" s="539" t="s">
        <v>1155</v>
      </c>
      <c r="F68" s="344" t="s">
        <v>1561</v>
      </c>
      <c r="G68" s="696" t="str">
        <f t="shared" si="23"/>
        <v>7.3.1 Aplicación de criterios de sostenibilidad para bienes y servicios incluidos en el plan anual de adquisiciones</v>
      </c>
      <c r="H68" s="344" t="s">
        <v>1156</v>
      </c>
      <c r="I68" s="488" t="s">
        <v>836</v>
      </c>
      <c r="J68" s="344" t="s">
        <v>437</v>
      </c>
      <c r="K68" s="402" t="s">
        <v>1067</v>
      </c>
      <c r="L68" s="369">
        <v>0.33</v>
      </c>
      <c r="M68" s="369">
        <v>0.08</v>
      </c>
      <c r="N68" s="369">
        <v>0.17</v>
      </c>
      <c r="O68" s="369">
        <v>0.25</v>
      </c>
      <c r="P68" s="369">
        <v>0.33</v>
      </c>
      <c r="Q68" s="368" t="s">
        <v>847</v>
      </c>
      <c r="R68" s="860" t="s">
        <v>1802</v>
      </c>
      <c r="S68" s="386" t="s">
        <v>1789</v>
      </c>
      <c r="T68" s="849" t="s">
        <v>1157</v>
      </c>
      <c r="U68" s="387"/>
      <c r="V68" s="919"/>
      <c r="W68" s="959"/>
      <c r="X68" s="576">
        <f>SUM(Y68:Y69)</f>
        <v>1200000000</v>
      </c>
      <c r="Y68" s="350">
        <f t="shared" ref="Y68:Y135" si="33">SUM(Z68:AC68)</f>
        <v>0</v>
      </c>
      <c r="Z68" s="363">
        <v>0</v>
      </c>
      <c r="AA68" s="363">
        <v>0</v>
      </c>
      <c r="AB68" s="363">
        <v>0</v>
      </c>
      <c r="AC68" s="943">
        <v>0</v>
      </c>
      <c r="AD68" s="381"/>
      <c r="AE68" s="353"/>
      <c r="AF68" s="354">
        <f t="shared" si="30"/>
        <v>0</v>
      </c>
      <c r="AG68" s="428">
        <v>0</v>
      </c>
      <c r="AH68" s="355">
        <f t="shared" si="31"/>
        <v>0</v>
      </c>
      <c r="AI68" s="355">
        <f t="shared" si="31"/>
        <v>0</v>
      </c>
      <c r="AJ68" s="356">
        <f t="shared" si="31"/>
        <v>0</v>
      </c>
      <c r="AK68" s="354">
        <f t="shared" si="32"/>
        <v>0</v>
      </c>
      <c r="AL68" s="355"/>
      <c r="AM68" s="355"/>
      <c r="AN68" s="355"/>
      <c r="AO68" s="356"/>
      <c r="AP68" s="908"/>
      <c r="AQ68" s="576">
        <f>SUM(AR68:AR69)</f>
        <v>1200000000</v>
      </c>
      <c r="AR68" s="357">
        <f t="shared" si="24"/>
        <v>0</v>
      </c>
      <c r="AS68" s="358">
        <f t="shared" si="25"/>
        <v>0</v>
      </c>
      <c r="AT68" s="358">
        <f t="shared" si="26"/>
        <v>0</v>
      </c>
      <c r="AU68" s="358">
        <f t="shared" si="27"/>
        <v>0</v>
      </c>
      <c r="AV68" s="359">
        <f t="shared" si="28"/>
        <v>0</v>
      </c>
      <c r="AW68" s="359"/>
      <c r="AX68" s="884" t="s">
        <v>847</v>
      </c>
    </row>
    <row r="69" spans="1:50" ht="75">
      <c r="A69" s="571" t="s">
        <v>1505</v>
      </c>
      <c r="B69" s="572" t="s">
        <v>1494</v>
      </c>
      <c r="C69" s="577">
        <v>7.3</v>
      </c>
      <c r="D69" s="377" t="s">
        <v>1154</v>
      </c>
      <c r="E69" s="539" t="s">
        <v>1158</v>
      </c>
      <c r="F69" s="344" t="s">
        <v>1776</v>
      </c>
      <c r="G69" s="696" t="str">
        <f>CONCATENATE(E69," ",F69)</f>
        <v>7.3.2 Acompañamiento en la formalización de acuerdos y agendas de relacionamientos comerciales entre productores cero deforestación y compradores</v>
      </c>
      <c r="H69" s="344" t="s">
        <v>1764</v>
      </c>
      <c r="I69" s="488" t="s">
        <v>930</v>
      </c>
      <c r="J69" s="344" t="s">
        <v>837</v>
      </c>
      <c r="K69" s="402" t="s">
        <v>1067</v>
      </c>
      <c r="L69" s="469">
        <v>2</v>
      </c>
      <c r="M69" s="469">
        <v>0</v>
      </c>
      <c r="N69" s="469">
        <v>1</v>
      </c>
      <c r="O69" s="469">
        <v>0</v>
      </c>
      <c r="P69" s="469">
        <v>1</v>
      </c>
      <c r="Q69" s="368" t="s">
        <v>872</v>
      </c>
      <c r="R69" s="860" t="s">
        <v>1802</v>
      </c>
      <c r="S69" s="386" t="s">
        <v>1787</v>
      </c>
      <c r="T69" s="849" t="s">
        <v>878</v>
      </c>
      <c r="U69" s="387"/>
      <c r="V69" s="919"/>
      <c r="W69" s="959"/>
      <c r="X69" s="578"/>
      <c r="Y69" s="350">
        <f t="shared" si="33"/>
        <v>1200000000</v>
      </c>
      <c r="Z69" s="363">
        <v>0</v>
      </c>
      <c r="AA69" s="363">
        <v>600000000</v>
      </c>
      <c r="AB69" s="363">
        <v>0</v>
      </c>
      <c r="AC69" s="943">
        <v>600000000</v>
      </c>
      <c r="AD69" s="381" t="s">
        <v>1159</v>
      </c>
      <c r="AE69" s="353"/>
      <c r="AF69" s="354">
        <f t="shared" si="30"/>
        <v>0</v>
      </c>
      <c r="AG69" s="428">
        <v>0</v>
      </c>
      <c r="AH69" s="355">
        <f t="shared" si="31"/>
        <v>0</v>
      </c>
      <c r="AI69" s="355">
        <f t="shared" si="31"/>
        <v>0</v>
      </c>
      <c r="AJ69" s="356">
        <f t="shared" si="31"/>
        <v>0</v>
      </c>
      <c r="AK69" s="354">
        <f t="shared" si="32"/>
        <v>0</v>
      </c>
      <c r="AL69" s="355"/>
      <c r="AM69" s="355"/>
      <c r="AN69" s="355"/>
      <c r="AO69" s="356"/>
      <c r="AP69" s="908"/>
      <c r="AQ69" s="578"/>
      <c r="AR69" s="357">
        <f t="shared" si="24"/>
        <v>1200000000</v>
      </c>
      <c r="AS69" s="358">
        <f t="shared" si="25"/>
        <v>0</v>
      </c>
      <c r="AT69" s="358">
        <f t="shared" si="26"/>
        <v>600000000</v>
      </c>
      <c r="AU69" s="358">
        <f t="shared" si="27"/>
        <v>0</v>
      </c>
      <c r="AV69" s="359">
        <f t="shared" si="28"/>
        <v>600000000</v>
      </c>
      <c r="AW69" s="359"/>
      <c r="AX69" s="884" t="s">
        <v>872</v>
      </c>
    </row>
    <row r="70" spans="1:50" ht="90">
      <c r="A70" s="571" t="s">
        <v>1505</v>
      </c>
      <c r="B70" s="572" t="s">
        <v>1494</v>
      </c>
      <c r="C70" s="575">
        <v>7.4</v>
      </c>
      <c r="D70" s="373" t="s">
        <v>1160</v>
      </c>
      <c r="E70" s="539" t="s">
        <v>1161</v>
      </c>
      <c r="F70" s="373" t="s">
        <v>1162</v>
      </c>
      <c r="G70" s="696" t="str">
        <f t="shared" si="23"/>
        <v>7.4.1 Definición e implementación de metodología para el seguimiento y monitoreo a los acuerdos establecidos con los sectores</v>
      </c>
      <c r="H70" s="373" t="s">
        <v>1810</v>
      </c>
      <c r="I70" s="488" t="s">
        <v>930</v>
      </c>
      <c r="J70" s="373" t="s">
        <v>837</v>
      </c>
      <c r="K70" s="385" t="s">
        <v>829</v>
      </c>
      <c r="L70" s="369">
        <v>1</v>
      </c>
      <c r="M70" s="369">
        <v>0</v>
      </c>
      <c r="N70" s="369">
        <v>0.7</v>
      </c>
      <c r="O70" s="369">
        <v>0.9</v>
      </c>
      <c r="P70" s="369">
        <v>1</v>
      </c>
      <c r="Q70" s="368" t="s">
        <v>830</v>
      </c>
      <c r="R70" s="860" t="s">
        <v>1802</v>
      </c>
      <c r="S70" s="386" t="s">
        <v>1787</v>
      </c>
      <c r="T70" s="849" t="s">
        <v>878</v>
      </c>
      <c r="U70" s="387"/>
      <c r="V70" s="919"/>
      <c r="W70" s="959"/>
      <c r="X70" s="579">
        <f>Y70</f>
        <v>600000000</v>
      </c>
      <c r="Y70" s="350">
        <f t="shared" si="33"/>
        <v>600000000</v>
      </c>
      <c r="Z70" s="363">
        <v>0</v>
      </c>
      <c r="AA70" s="363">
        <v>200000000</v>
      </c>
      <c r="AB70" s="363">
        <v>200000000</v>
      </c>
      <c r="AC70" s="943">
        <v>200000000</v>
      </c>
      <c r="AD70" s="381" t="s">
        <v>1163</v>
      </c>
      <c r="AE70" s="353"/>
      <c r="AF70" s="354">
        <f t="shared" si="30"/>
        <v>0</v>
      </c>
      <c r="AG70" s="428">
        <v>0</v>
      </c>
      <c r="AH70" s="355">
        <f t="shared" si="31"/>
        <v>0</v>
      </c>
      <c r="AI70" s="355">
        <f t="shared" si="31"/>
        <v>0</v>
      </c>
      <c r="AJ70" s="356">
        <f t="shared" si="31"/>
        <v>0</v>
      </c>
      <c r="AK70" s="354">
        <f t="shared" si="32"/>
        <v>636000000</v>
      </c>
      <c r="AL70" s="355">
        <v>150000000</v>
      </c>
      <c r="AM70" s="355">
        <f>AL70*4%+150000000</f>
        <v>156000000</v>
      </c>
      <c r="AN70" s="355">
        <f>AM70+6000000</f>
        <v>162000000</v>
      </c>
      <c r="AO70" s="356">
        <f>AN70+6000000</f>
        <v>168000000</v>
      </c>
      <c r="AP70" s="908"/>
      <c r="AQ70" s="579">
        <f>AR70</f>
        <v>600000000</v>
      </c>
      <c r="AR70" s="357">
        <f t="shared" si="24"/>
        <v>600000000</v>
      </c>
      <c r="AS70" s="358">
        <f t="shared" si="25"/>
        <v>0</v>
      </c>
      <c r="AT70" s="358">
        <f t="shared" si="26"/>
        <v>200000000</v>
      </c>
      <c r="AU70" s="358">
        <f t="shared" si="27"/>
        <v>200000000</v>
      </c>
      <c r="AV70" s="359">
        <f t="shared" si="28"/>
        <v>200000000</v>
      </c>
      <c r="AW70" s="359"/>
      <c r="AX70" s="883" t="s">
        <v>830</v>
      </c>
    </row>
    <row r="71" spans="1:50" ht="90.75" thickBot="1">
      <c r="A71" s="571" t="s">
        <v>1505</v>
      </c>
      <c r="B71" s="572" t="s">
        <v>1494</v>
      </c>
      <c r="C71" s="580">
        <v>7.5</v>
      </c>
      <c r="D71" s="473" t="s">
        <v>1164</v>
      </c>
      <c r="E71" s="581" t="s">
        <v>1165</v>
      </c>
      <c r="F71" s="582" t="s">
        <v>1774</v>
      </c>
      <c r="G71" s="732" t="str">
        <f>CONCATENATE(E71," ",F71)</f>
        <v>7.5.1 Generación de desarrollos tecnológicos apropiados para el uso eficiente del recurso natural y el uso de la biodiversidad</v>
      </c>
      <c r="H71" s="407" t="s">
        <v>1765</v>
      </c>
      <c r="I71" s="500" t="s">
        <v>836</v>
      </c>
      <c r="J71" s="582" t="s">
        <v>837</v>
      </c>
      <c r="K71" s="408" t="s">
        <v>1067</v>
      </c>
      <c r="L71" s="502">
        <f>P71</f>
        <v>20</v>
      </c>
      <c r="M71" s="502">
        <v>0</v>
      </c>
      <c r="N71" s="502">
        <v>6</v>
      </c>
      <c r="O71" s="502">
        <f>N71+6</f>
        <v>12</v>
      </c>
      <c r="P71" s="502">
        <f>O71+8</f>
        <v>20</v>
      </c>
      <c r="Q71" s="502" t="s">
        <v>847</v>
      </c>
      <c r="R71" s="870" t="s">
        <v>1799</v>
      </c>
      <c r="S71" s="507" t="s">
        <v>1787</v>
      </c>
      <c r="T71" s="855" t="s">
        <v>878</v>
      </c>
      <c r="U71" s="508"/>
      <c r="V71" s="925" t="s">
        <v>1138</v>
      </c>
      <c r="W71" s="960"/>
      <c r="X71" s="583">
        <f>Y71</f>
        <v>1800000000</v>
      </c>
      <c r="Y71" s="450">
        <f t="shared" si="33"/>
        <v>1800000000</v>
      </c>
      <c r="Z71" s="533">
        <v>0</v>
      </c>
      <c r="AA71" s="533">
        <v>650000000</v>
      </c>
      <c r="AB71" s="533">
        <v>650000000</v>
      </c>
      <c r="AC71" s="955">
        <v>500000000</v>
      </c>
      <c r="AD71" s="506" t="s">
        <v>1763</v>
      </c>
      <c r="AE71" s="443"/>
      <c r="AF71" s="354">
        <f t="shared" si="30"/>
        <v>0</v>
      </c>
      <c r="AG71" s="428">
        <v>0</v>
      </c>
      <c r="AH71" s="355">
        <f t="shared" si="31"/>
        <v>0</v>
      </c>
      <c r="AI71" s="355">
        <f t="shared" si="31"/>
        <v>0</v>
      </c>
      <c r="AJ71" s="356">
        <f t="shared" si="31"/>
        <v>0</v>
      </c>
      <c r="AK71" s="354">
        <f t="shared" si="32"/>
        <v>1908000000</v>
      </c>
      <c r="AL71" s="355">
        <v>450000000</v>
      </c>
      <c r="AM71" s="355">
        <f>AL71*4%+450000000</f>
        <v>468000000</v>
      </c>
      <c r="AN71" s="355">
        <f>AM71+18000000</f>
        <v>486000000</v>
      </c>
      <c r="AO71" s="356">
        <f>AN71+18000000</f>
        <v>504000000</v>
      </c>
      <c r="AP71" s="909"/>
      <c r="AQ71" s="583">
        <f>AR71</f>
        <v>1800000000</v>
      </c>
      <c r="AR71" s="357">
        <f t="shared" si="24"/>
        <v>1800000000</v>
      </c>
      <c r="AS71" s="358">
        <f t="shared" si="25"/>
        <v>0</v>
      </c>
      <c r="AT71" s="358">
        <f t="shared" si="26"/>
        <v>650000000</v>
      </c>
      <c r="AU71" s="358">
        <f t="shared" si="27"/>
        <v>650000000</v>
      </c>
      <c r="AV71" s="359">
        <f t="shared" si="28"/>
        <v>500000000</v>
      </c>
      <c r="AW71" s="359"/>
      <c r="AX71" s="898" t="s">
        <v>847</v>
      </c>
    </row>
    <row r="72" spans="1:50" ht="60.95" customHeight="1">
      <c r="A72" s="571" t="s">
        <v>1505</v>
      </c>
      <c r="B72" s="584" t="s">
        <v>1499</v>
      </c>
      <c r="C72" s="400">
        <v>8.1</v>
      </c>
      <c r="D72" s="433" t="s">
        <v>1166</v>
      </c>
      <c r="E72" s="343" t="s">
        <v>1167</v>
      </c>
      <c r="F72" s="344" t="s">
        <v>1168</v>
      </c>
      <c r="G72" s="731" t="str">
        <f t="shared" si="23"/>
        <v>8.1.1 Intervención de las entidades territoriales del orden municipal con elementos naturales del espacio público verde</v>
      </c>
      <c r="H72" s="344" t="s">
        <v>1169</v>
      </c>
      <c r="I72" s="345" t="s">
        <v>930</v>
      </c>
      <c r="J72" s="344" t="s">
        <v>437</v>
      </c>
      <c r="K72" s="454" t="s">
        <v>1170</v>
      </c>
      <c r="L72" s="585">
        <f>SUM(M72:P72)</f>
        <v>17140</v>
      </c>
      <c r="M72" s="585">
        <v>4285</v>
      </c>
      <c r="N72" s="585">
        <v>4285</v>
      </c>
      <c r="O72" s="585">
        <v>4285</v>
      </c>
      <c r="P72" s="585">
        <v>4285</v>
      </c>
      <c r="Q72" s="368" t="s">
        <v>830</v>
      </c>
      <c r="R72" s="863" t="s">
        <v>1801</v>
      </c>
      <c r="S72" s="386" t="s">
        <v>1787</v>
      </c>
      <c r="T72" s="848" t="s">
        <v>832</v>
      </c>
      <c r="U72" s="352"/>
      <c r="V72" s="918"/>
      <c r="W72" s="961">
        <f>SUM(X72:X80)</f>
        <v>27928200496.488125</v>
      </c>
      <c r="X72" s="586">
        <f>Y72</f>
        <v>8976382308.3281269</v>
      </c>
      <c r="Y72" s="350">
        <f t="shared" si="33"/>
        <v>8976382308.3281269</v>
      </c>
      <c r="Z72" s="363">
        <f>1784000000+10198677+319650000</f>
        <v>2113848677</v>
      </c>
      <c r="AA72" s="363">
        <f>+Z72*(1+4%)</f>
        <v>2198402624.0799999</v>
      </c>
      <c r="AB72" s="363">
        <f t="shared" ref="AB72:AC72" si="34">+AA72*(1+4%)</f>
        <v>2286338729.0432</v>
      </c>
      <c r="AC72" s="943">
        <f t="shared" si="34"/>
        <v>2377792278.2049279</v>
      </c>
      <c r="AD72" s="381" t="s">
        <v>1171</v>
      </c>
      <c r="AE72" s="427"/>
      <c r="AF72" s="354">
        <f t="shared" si="30"/>
        <v>0</v>
      </c>
      <c r="AG72" s="355">
        <v>0</v>
      </c>
      <c r="AH72" s="355">
        <f t="shared" si="31"/>
        <v>0</v>
      </c>
      <c r="AI72" s="355">
        <f t="shared" si="31"/>
        <v>0</v>
      </c>
      <c r="AJ72" s="356">
        <f t="shared" si="31"/>
        <v>0</v>
      </c>
      <c r="AK72" s="354">
        <f t="shared" si="32"/>
        <v>0</v>
      </c>
      <c r="AL72" s="355">
        <v>0</v>
      </c>
      <c r="AM72" s="355">
        <v>0</v>
      </c>
      <c r="AN72" s="355">
        <v>0</v>
      </c>
      <c r="AO72" s="356">
        <v>0</v>
      </c>
      <c r="AP72" s="910">
        <f>SUM(AQ72:AQ80)</f>
        <v>30497695983.401855</v>
      </c>
      <c r="AQ72" s="586">
        <f>AR72</f>
        <v>8976382308.3281269</v>
      </c>
      <c r="AR72" s="357">
        <f t="shared" si="24"/>
        <v>8976382308.3281269</v>
      </c>
      <c r="AS72" s="358">
        <f t="shared" si="25"/>
        <v>2113848677</v>
      </c>
      <c r="AT72" s="358">
        <f t="shared" si="26"/>
        <v>2198402624.0799999</v>
      </c>
      <c r="AU72" s="358">
        <f t="shared" si="27"/>
        <v>2286338729.0432</v>
      </c>
      <c r="AV72" s="359">
        <f t="shared" si="28"/>
        <v>2377792278.2049279</v>
      </c>
      <c r="AW72" s="359"/>
      <c r="AX72" s="883" t="s">
        <v>830</v>
      </c>
    </row>
    <row r="73" spans="1:50" ht="60">
      <c r="A73" s="571" t="s">
        <v>1505</v>
      </c>
      <c r="B73" s="587" t="s">
        <v>1499</v>
      </c>
      <c r="C73" s="461">
        <v>8.1999999999999993</v>
      </c>
      <c r="D73" s="493" t="s">
        <v>1172</v>
      </c>
      <c r="E73" s="462" t="s">
        <v>1173</v>
      </c>
      <c r="F73" s="493" t="s">
        <v>1174</v>
      </c>
      <c r="G73" s="696" t="str">
        <f t="shared" si="23"/>
        <v>8.2.1 Implementación del "Plan + aire puro"</v>
      </c>
      <c r="H73" s="344" t="s">
        <v>1175</v>
      </c>
      <c r="I73" s="385" t="s">
        <v>836</v>
      </c>
      <c r="J73" s="344" t="s">
        <v>437</v>
      </c>
      <c r="K73" s="454" t="s">
        <v>1176</v>
      </c>
      <c r="L73" s="369">
        <v>1</v>
      </c>
      <c r="M73" s="369">
        <v>0.4</v>
      </c>
      <c r="N73" s="369">
        <v>1</v>
      </c>
      <c r="O73" s="369">
        <v>1</v>
      </c>
      <c r="P73" s="369">
        <v>1</v>
      </c>
      <c r="Q73" s="368" t="s">
        <v>830</v>
      </c>
      <c r="R73" s="860" t="s">
        <v>1801</v>
      </c>
      <c r="S73" s="386" t="s">
        <v>1787</v>
      </c>
      <c r="T73" s="849" t="s">
        <v>878</v>
      </c>
      <c r="U73" s="387"/>
      <c r="V73" s="919"/>
      <c r="W73" s="952"/>
      <c r="X73" s="588">
        <f>SUM(Y73:Y74)</f>
        <v>7860136256</v>
      </c>
      <c r="Y73" s="350">
        <f t="shared" si="33"/>
        <v>7860136256</v>
      </c>
      <c r="Z73" s="363">
        <v>360136256</v>
      </c>
      <c r="AA73" s="363">
        <v>2500000000</v>
      </c>
      <c r="AB73" s="363">
        <v>2500000000</v>
      </c>
      <c r="AC73" s="943">
        <v>2500000000</v>
      </c>
      <c r="AD73" s="381" t="s">
        <v>1763</v>
      </c>
      <c r="AE73" s="353"/>
      <c r="AF73" s="354">
        <f t="shared" si="30"/>
        <v>0</v>
      </c>
      <c r="AG73" s="428">
        <v>0</v>
      </c>
      <c r="AH73" s="355">
        <f t="shared" si="31"/>
        <v>0</v>
      </c>
      <c r="AI73" s="355">
        <f t="shared" si="31"/>
        <v>0</v>
      </c>
      <c r="AJ73" s="356">
        <f t="shared" si="31"/>
        <v>0</v>
      </c>
      <c r="AK73" s="354">
        <f t="shared" si="32"/>
        <v>3639863744</v>
      </c>
      <c r="AL73" s="355">
        <v>2139863744</v>
      </c>
      <c r="AM73" s="355">
        <v>500000000</v>
      </c>
      <c r="AN73" s="355">
        <v>500000000</v>
      </c>
      <c r="AO73" s="356">
        <v>500000000</v>
      </c>
      <c r="AP73" s="906"/>
      <c r="AQ73" s="588">
        <f>SUM(AR73:AR74)</f>
        <v>7860136256</v>
      </c>
      <c r="AR73" s="357">
        <f t="shared" si="24"/>
        <v>7860136256</v>
      </c>
      <c r="AS73" s="358">
        <f t="shared" si="25"/>
        <v>360136256</v>
      </c>
      <c r="AT73" s="358">
        <f t="shared" si="26"/>
        <v>2500000000</v>
      </c>
      <c r="AU73" s="358">
        <f t="shared" si="27"/>
        <v>2500000000</v>
      </c>
      <c r="AV73" s="359">
        <f t="shared" si="28"/>
        <v>2500000000</v>
      </c>
      <c r="AW73" s="359"/>
      <c r="AX73" s="883" t="s">
        <v>830</v>
      </c>
    </row>
    <row r="74" spans="1:50" ht="75">
      <c r="A74" s="571" t="s">
        <v>1505</v>
      </c>
      <c r="B74" s="587" t="s">
        <v>1499</v>
      </c>
      <c r="C74" s="466">
        <v>8.1999999999999993</v>
      </c>
      <c r="D74" s="377" t="s">
        <v>1172</v>
      </c>
      <c r="E74" s="462" t="s">
        <v>1177</v>
      </c>
      <c r="F74" s="373" t="s">
        <v>1178</v>
      </c>
      <c r="G74" s="696" t="str">
        <f t="shared" si="23"/>
        <v>8.2.2 Formulación e implementación del Plan de movilidad empresarial sostenible-Plan MES</v>
      </c>
      <c r="H74" s="344" t="s">
        <v>1179</v>
      </c>
      <c r="I74" s="385" t="s">
        <v>836</v>
      </c>
      <c r="J74" s="344" t="s">
        <v>837</v>
      </c>
      <c r="K74" s="454" t="s">
        <v>1180</v>
      </c>
      <c r="L74" s="369">
        <v>0.6</v>
      </c>
      <c r="M74" s="369">
        <v>0.52500000000000002</v>
      </c>
      <c r="N74" s="369">
        <v>0.55000000000000004</v>
      </c>
      <c r="O74" s="369">
        <v>0.57499999999999996</v>
      </c>
      <c r="P74" s="369">
        <v>0.6</v>
      </c>
      <c r="Q74" s="368" t="s">
        <v>830</v>
      </c>
      <c r="R74" s="860" t="s">
        <v>1801</v>
      </c>
      <c r="S74" s="386" t="s">
        <v>1787</v>
      </c>
      <c r="T74" s="849" t="s">
        <v>878</v>
      </c>
      <c r="U74" s="387"/>
      <c r="V74" s="919"/>
      <c r="W74" s="952"/>
      <c r="X74" s="589"/>
      <c r="Y74" s="350">
        <f t="shared" si="33"/>
        <v>0</v>
      </c>
      <c r="Z74" s="363">
        <v>0</v>
      </c>
      <c r="AA74" s="363">
        <v>0</v>
      </c>
      <c r="AB74" s="363">
        <v>0</v>
      </c>
      <c r="AC74" s="943">
        <v>0</v>
      </c>
      <c r="AD74" s="381" t="s">
        <v>1181</v>
      </c>
      <c r="AE74" s="353"/>
      <c r="AF74" s="354">
        <f t="shared" si="30"/>
        <v>0</v>
      </c>
      <c r="AG74" s="428">
        <v>0</v>
      </c>
      <c r="AH74" s="355">
        <f t="shared" si="31"/>
        <v>0</v>
      </c>
      <c r="AI74" s="355">
        <f t="shared" si="31"/>
        <v>0</v>
      </c>
      <c r="AJ74" s="356">
        <f t="shared" si="31"/>
        <v>0</v>
      </c>
      <c r="AK74" s="354">
        <f t="shared" si="32"/>
        <v>0</v>
      </c>
      <c r="AL74" s="355"/>
      <c r="AM74" s="355"/>
      <c r="AN74" s="355"/>
      <c r="AO74" s="356"/>
      <c r="AP74" s="906"/>
      <c r="AQ74" s="589"/>
      <c r="AR74" s="357">
        <f t="shared" si="24"/>
        <v>0</v>
      </c>
      <c r="AS74" s="358">
        <f t="shared" si="25"/>
        <v>0</v>
      </c>
      <c r="AT74" s="358">
        <f t="shared" si="26"/>
        <v>0</v>
      </c>
      <c r="AU74" s="358">
        <f t="shared" si="27"/>
        <v>0</v>
      </c>
      <c r="AV74" s="359">
        <f t="shared" si="28"/>
        <v>0</v>
      </c>
      <c r="AW74" s="359"/>
      <c r="AX74" s="883" t="s">
        <v>830</v>
      </c>
    </row>
    <row r="75" spans="1:50" ht="60">
      <c r="A75" s="571" t="s">
        <v>1505</v>
      </c>
      <c r="B75" s="587" t="s">
        <v>1499</v>
      </c>
      <c r="C75" s="461">
        <v>8.3000000000000007</v>
      </c>
      <c r="D75" s="493" t="s">
        <v>1182</v>
      </c>
      <c r="E75" s="462" t="s">
        <v>1183</v>
      </c>
      <c r="F75" s="344" t="s">
        <v>1562</v>
      </c>
      <c r="G75" s="696" t="str">
        <f t="shared" si="23"/>
        <v>8.3.1 Seguimiento a los Planes de Gestión Integral de Residuos Sólidos con metas de aprovechamiento</v>
      </c>
      <c r="H75" s="344" t="s">
        <v>1563</v>
      </c>
      <c r="I75" s="385" t="s">
        <v>836</v>
      </c>
      <c r="J75" s="344" t="s">
        <v>437</v>
      </c>
      <c r="K75" s="385" t="s">
        <v>1184</v>
      </c>
      <c r="L75" s="497">
        <v>1</v>
      </c>
      <c r="M75" s="497">
        <v>0.5</v>
      </c>
      <c r="N75" s="497">
        <v>1</v>
      </c>
      <c r="O75" s="497">
        <v>1</v>
      </c>
      <c r="P75" s="497">
        <v>1</v>
      </c>
      <c r="Q75" s="368" t="s">
        <v>127</v>
      </c>
      <c r="R75" s="860" t="s">
        <v>1802</v>
      </c>
      <c r="S75" s="386" t="s">
        <v>1787</v>
      </c>
      <c r="T75" s="849" t="s">
        <v>878</v>
      </c>
      <c r="U75" s="387"/>
      <c r="V75" s="919"/>
      <c r="W75" s="952"/>
      <c r="X75" s="590">
        <f>SUM(Y75:Y77)</f>
        <v>5520204181</v>
      </c>
      <c r="Y75" s="350">
        <f t="shared" si="33"/>
        <v>2700000000</v>
      </c>
      <c r="Z75" s="363">
        <v>400000000</v>
      </c>
      <c r="AA75" s="363">
        <v>700000000</v>
      </c>
      <c r="AB75" s="363">
        <v>800000000</v>
      </c>
      <c r="AC75" s="943">
        <v>800000000</v>
      </c>
      <c r="AD75" s="381" t="s">
        <v>1763</v>
      </c>
      <c r="AE75" s="353"/>
      <c r="AF75" s="354">
        <f t="shared" si="30"/>
        <v>1333915286.322576</v>
      </c>
      <c r="AG75" s="428">
        <v>304921686</v>
      </c>
      <c r="AH75" s="355">
        <f t="shared" si="31"/>
        <v>323216987.16000003</v>
      </c>
      <c r="AI75" s="355">
        <f t="shared" si="31"/>
        <v>342610006.38960004</v>
      </c>
      <c r="AJ75" s="356">
        <f t="shared" si="31"/>
        <v>363166606.77297604</v>
      </c>
      <c r="AK75" s="354">
        <f t="shared" si="32"/>
        <v>2544000000</v>
      </c>
      <c r="AL75" s="355">
        <v>600000000</v>
      </c>
      <c r="AM75" s="355">
        <f>AL75*4%+600000000</f>
        <v>624000000</v>
      </c>
      <c r="AN75" s="355">
        <f>AM75+24000000</f>
        <v>648000000</v>
      </c>
      <c r="AO75" s="356">
        <f>AN75+24000000</f>
        <v>672000000</v>
      </c>
      <c r="AP75" s="906"/>
      <c r="AQ75" s="590">
        <f>SUM(AR75:AR77)</f>
        <v>6854119467.3225765</v>
      </c>
      <c r="AR75" s="357">
        <f t="shared" si="24"/>
        <v>4033915286.322576</v>
      </c>
      <c r="AS75" s="358">
        <f t="shared" si="25"/>
        <v>704921686</v>
      </c>
      <c r="AT75" s="358">
        <f t="shared" si="26"/>
        <v>1023216987.1600001</v>
      </c>
      <c r="AU75" s="358">
        <f t="shared" si="27"/>
        <v>1142610006.3896</v>
      </c>
      <c r="AV75" s="359">
        <f t="shared" si="28"/>
        <v>1163166606.7729759</v>
      </c>
      <c r="AW75" s="359"/>
      <c r="AX75" s="883" t="s">
        <v>127</v>
      </c>
    </row>
    <row r="76" spans="1:50" ht="45">
      <c r="A76" s="571" t="s">
        <v>1505</v>
      </c>
      <c r="B76" s="587" t="s">
        <v>1499</v>
      </c>
      <c r="C76" s="466">
        <v>8.3000000000000007</v>
      </c>
      <c r="D76" s="377" t="s">
        <v>1182</v>
      </c>
      <c r="E76" s="462" t="s">
        <v>1185</v>
      </c>
      <c r="F76" s="511" t="s">
        <v>1186</v>
      </c>
      <c r="G76" s="696" t="str">
        <f t="shared" si="23"/>
        <v>8.3.2 Seguimiento a las metas de aprovechamiento contempladas en los PGIRS</v>
      </c>
      <c r="H76" s="344" t="s">
        <v>1187</v>
      </c>
      <c r="I76" s="385" t="s">
        <v>836</v>
      </c>
      <c r="J76" s="344" t="s">
        <v>437</v>
      </c>
      <c r="K76" s="385" t="s">
        <v>846</v>
      </c>
      <c r="L76" s="369">
        <v>1</v>
      </c>
      <c r="M76" s="369">
        <v>0.7</v>
      </c>
      <c r="N76" s="369">
        <v>1</v>
      </c>
      <c r="O76" s="369">
        <v>1</v>
      </c>
      <c r="P76" s="369">
        <v>1</v>
      </c>
      <c r="Q76" s="368" t="s">
        <v>975</v>
      </c>
      <c r="R76" s="860" t="s">
        <v>1802</v>
      </c>
      <c r="S76" s="386" t="s">
        <v>1787</v>
      </c>
      <c r="T76" s="849" t="s">
        <v>878</v>
      </c>
      <c r="U76" s="387"/>
      <c r="V76" s="919"/>
      <c r="W76" s="952"/>
      <c r="X76" s="591"/>
      <c r="Y76" s="350">
        <f t="shared" si="33"/>
        <v>1365000000</v>
      </c>
      <c r="Z76" s="363">
        <f>450000000+15000000</f>
        <v>465000000</v>
      </c>
      <c r="AA76" s="363">
        <v>400000000</v>
      </c>
      <c r="AB76" s="363">
        <v>300000000</v>
      </c>
      <c r="AC76" s="943">
        <v>200000000</v>
      </c>
      <c r="AD76" s="380" t="s">
        <v>1188</v>
      </c>
      <c r="AE76" s="353"/>
      <c r="AF76" s="354">
        <f t="shared" si="30"/>
        <v>0</v>
      </c>
      <c r="AG76" s="428">
        <v>0</v>
      </c>
      <c r="AH76" s="355">
        <f t="shared" si="31"/>
        <v>0</v>
      </c>
      <c r="AI76" s="355">
        <f t="shared" si="31"/>
        <v>0</v>
      </c>
      <c r="AJ76" s="356">
        <f t="shared" si="31"/>
        <v>0</v>
      </c>
      <c r="AK76" s="354">
        <f t="shared" si="32"/>
        <v>666000000</v>
      </c>
      <c r="AL76" s="355">
        <v>150000000</v>
      </c>
      <c r="AM76" s="355">
        <f>AL76*4%+150000000</f>
        <v>156000000</v>
      </c>
      <c r="AN76" s="355">
        <f>AM76+4000000</f>
        <v>160000000</v>
      </c>
      <c r="AO76" s="356">
        <f>AN76+40000000</f>
        <v>200000000</v>
      </c>
      <c r="AP76" s="906"/>
      <c r="AQ76" s="591"/>
      <c r="AR76" s="357">
        <f t="shared" si="24"/>
        <v>1365000000</v>
      </c>
      <c r="AS76" s="358">
        <f t="shared" si="25"/>
        <v>465000000</v>
      </c>
      <c r="AT76" s="358">
        <f t="shared" si="26"/>
        <v>400000000</v>
      </c>
      <c r="AU76" s="358">
        <f t="shared" si="27"/>
        <v>300000000</v>
      </c>
      <c r="AV76" s="359">
        <f t="shared" si="28"/>
        <v>200000000</v>
      </c>
      <c r="AW76" s="359"/>
      <c r="AX76" s="883" t="s">
        <v>975</v>
      </c>
    </row>
    <row r="77" spans="1:50" ht="90">
      <c r="A77" s="571" t="s">
        <v>1505</v>
      </c>
      <c r="B77" s="587" t="s">
        <v>1499</v>
      </c>
      <c r="C77" s="466">
        <v>8.3000000000000007</v>
      </c>
      <c r="D77" s="377" t="s">
        <v>1182</v>
      </c>
      <c r="E77" s="462" t="s">
        <v>1189</v>
      </c>
      <c r="F77" s="431" t="s">
        <v>1190</v>
      </c>
      <c r="G77" s="696" t="str">
        <f t="shared" si="23"/>
        <v>8.3.3 Implementación de campañas para la disminución en la generación de residuos</v>
      </c>
      <c r="H77" s="344" t="s">
        <v>1191</v>
      </c>
      <c r="I77" s="385" t="s">
        <v>836</v>
      </c>
      <c r="J77" s="401" t="s">
        <v>437</v>
      </c>
      <c r="K77" s="454" t="s">
        <v>1192</v>
      </c>
      <c r="L77" s="369">
        <v>1</v>
      </c>
      <c r="M77" s="369">
        <v>0.5</v>
      </c>
      <c r="N77" s="369">
        <v>1</v>
      </c>
      <c r="O77" s="369">
        <v>1</v>
      </c>
      <c r="P77" s="369">
        <v>1</v>
      </c>
      <c r="Q77" s="368" t="s">
        <v>975</v>
      </c>
      <c r="R77" s="860" t="s">
        <v>1802</v>
      </c>
      <c r="S77" s="386" t="s">
        <v>1787</v>
      </c>
      <c r="T77" s="849" t="s">
        <v>878</v>
      </c>
      <c r="U77" s="387"/>
      <c r="V77" s="919" t="s">
        <v>1193</v>
      </c>
      <c r="W77" s="952"/>
      <c r="X77" s="592"/>
      <c r="Y77" s="350">
        <f t="shared" si="33"/>
        <v>1455204181</v>
      </c>
      <c r="Z77" s="363">
        <f>220000000+35204181</f>
        <v>255204181</v>
      </c>
      <c r="AA77" s="363">
        <v>400000000</v>
      </c>
      <c r="AB77" s="363">
        <v>400000000</v>
      </c>
      <c r="AC77" s="943">
        <v>400000000</v>
      </c>
      <c r="AD77" s="380" t="s">
        <v>1188</v>
      </c>
      <c r="AE77" s="353"/>
      <c r="AF77" s="354">
        <f t="shared" si="30"/>
        <v>0</v>
      </c>
      <c r="AG77" s="428">
        <v>0</v>
      </c>
      <c r="AH77" s="355">
        <f t="shared" si="31"/>
        <v>0</v>
      </c>
      <c r="AI77" s="355">
        <f t="shared" si="31"/>
        <v>0</v>
      </c>
      <c r="AJ77" s="356">
        <f t="shared" si="31"/>
        <v>0</v>
      </c>
      <c r="AK77" s="354">
        <f t="shared" si="32"/>
        <v>1187200000</v>
      </c>
      <c r="AL77" s="355">
        <v>280000000</v>
      </c>
      <c r="AM77" s="355">
        <f>AL77*4%+280000000</f>
        <v>291200000</v>
      </c>
      <c r="AN77" s="355">
        <f>AM77+11200000</f>
        <v>302400000</v>
      </c>
      <c r="AO77" s="356">
        <f>AN77+11200000</f>
        <v>313600000</v>
      </c>
      <c r="AP77" s="906"/>
      <c r="AQ77" s="592"/>
      <c r="AR77" s="357">
        <f t="shared" si="24"/>
        <v>1455204181</v>
      </c>
      <c r="AS77" s="358">
        <f t="shared" si="25"/>
        <v>255204181</v>
      </c>
      <c r="AT77" s="358">
        <f t="shared" si="26"/>
        <v>400000000</v>
      </c>
      <c r="AU77" s="358">
        <f t="shared" si="27"/>
        <v>400000000</v>
      </c>
      <c r="AV77" s="359">
        <f t="shared" si="28"/>
        <v>400000000</v>
      </c>
      <c r="AW77" s="359"/>
      <c r="AX77" s="883" t="s">
        <v>975</v>
      </c>
    </row>
    <row r="78" spans="1:50" ht="90">
      <c r="A78" s="571" t="s">
        <v>1505</v>
      </c>
      <c r="B78" s="587" t="s">
        <v>1499</v>
      </c>
      <c r="C78" s="400">
        <v>8.4</v>
      </c>
      <c r="D78" s="493" t="s">
        <v>1194</v>
      </c>
      <c r="E78" s="343" t="s">
        <v>1195</v>
      </c>
      <c r="F78" s="344" t="s">
        <v>1196</v>
      </c>
      <c r="G78" s="696" t="str">
        <f t="shared" si="23"/>
        <v>8.4.1 Implementación de prácticas ambientales sostenibles desde el reconocimiento de sus derechos, deberes y el fortalecimiento de lo cultural</v>
      </c>
      <c r="H78" s="344" t="s">
        <v>1197</v>
      </c>
      <c r="I78" s="385" t="s">
        <v>836</v>
      </c>
      <c r="J78" s="344" t="s">
        <v>437</v>
      </c>
      <c r="K78" s="402" t="s">
        <v>1067</v>
      </c>
      <c r="L78" s="368">
        <v>3</v>
      </c>
      <c r="M78" s="368">
        <v>3</v>
      </c>
      <c r="N78" s="368">
        <v>3</v>
      </c>
      <c r="O78" s="368">
        <v>3</v>
      </c>
      <c r="P78" s="368">
        <v>3</v>
      </c>
      <c r="Q78" s="368" t="s">
        <v>847</v>
      </c>
      <c r="R78" s="860" t="s">
        <v>1807</v>
      </c>
      <c r="S78" s="386" t="s">
        <v>1787</v>
      </c>
      <c r="T78" s="849" t="s">
        <v>900</v>
      </c>
      <c r="U78" s="387"/>
      <c r="V78" s="919"/>
      <c r="W78" s="952"/>
      <c r="X78" s="593">
        <f>Y78</f>
        <v>577248000</v>
      </c>
      <c r="Y78" s="350">
        <f t="shared" si="33"/>
        <v>577248000</v>
      </c>
      <c r="Z78" s="363">
        <v>4200000</v>
      </c>
      <c r="AA78" s="363">
        <v>180000000</v>
      </c>
      <c r="AB78" s="363">
        <f>AA78*1.06</f>
        <v>190800000</v>
      </c>
      <c r="AC78" s="943">
        <f>AB78*1.06</f>
        <v>202248000</v>
      </c>
      <c r="AD78" s="545" t="s">
        <v>1198</v>
      </c>
      <c r="AE78" s="353"/>
      <c r="AF78" s="354">
        <f t="shared" si="30"/>
        <v>0</v>
      </c>
      <c r="AG78" s="355">
        <v>0</v>
      </c>
      <c r="AH78" s="355">
        <f t="shared" si="31"/>
        <v>0</v>
      </c>
      <c r="AI78" s="355">
        <f t="shared" si="31"/>
        <v>0</v>
      </c>
      <c r="AJ78" s="356">
        <f t="shared" si="31"/>
        <v>0</v>
      </c>
      <c r="AK78" s="354">
        <f t="shared" si="32"/>
        <v>200566800</v>
      </c>
      <c r="AL78" s="355"/>
      <c r="AM78" s="355">
        <f t="shared" ref="AM78:AO79" si="35">AA78*0.35</f>
        <v>62999999.999999993</v>
      </c>
      <c r="AN78" s="355">
        <f t="shared" si="35"/>
        <v>66779999.999999993</v>
      </c>
      <c r="AO78" s="356">
        <f t="shared" si="35"/>
        <v>70786800</v>
      </c>
      <c r="AP78" s="906"/>
      <c r="AQ78" s="593">
        <f>AR78</f>
        <v>577248000</v>
      </c>
      <c r="AR78" s="357">
        <f t="shared" si="24"/>
        <v>577248000</v>
      </c>
      <c r="AS78" s="358">
        <f t="shared" si="25"/>
        <v>4200000</v>
      </c>
      <c r="AT78" s="358">
        <f t="shared" si="26"/>
        <v>180000000</v>
      </c>
      <c r="AU78" s="358">
        <f t="shared" si="27"/>
        <v>190800000</v>
      </c>
      <c r="AV78" s="359">
        <f t="shared" si="28"/>
        <v>202248000</v>
      </c>
      <c r="AW78" s="359"/>
      <c r="AX78" s="883" t="s">
        <v>847</v>
      </c>
    </row>
    <row r="79" spans="1:50" ht="33" customHeight="1">
      <c r="A79" s="571" t="s">
        <v>1505</v>
      </c>
      <c r="B79" s="587" t="s">
        <v>1499</v>
      </c>
      <c r="C79" s="400">
        <v>8.5</v>
      </c>
      <c r="D79" s="373" t="s">
        <v>1199</v>
      </c>
      <c r="E79" s="343" t="s">
        <v>1200</v>
      </c>
      <c r="F79" s="433" t="s">
        <v>1201</v>
      </c>
      <c r="G79" s="696" t="str">
        <f t="shared" si="23"/>
        <v>8.5.1 Fortalecimiento de hogares ecológicos</v>
      </c>
      <c r="H79" s="344" t="s">
        <v>1202</v>
      </c>
      <c r="I79" s="454" t="s">
        <v>836</v>
      </c>
      <c r="J79" s="344" t="s">
        <v>437</v>
      </c>
      <c r="K79" s="454" t="s">
        <v>1203</v>
      </c>
      <c r="L79" s="344">
        <f>SUM(M79:P79)</f>
        <v>1600</v>
      </c>
      <c r="M79" s="344">
        <v>400</v>
      </c>
      <c r="N79" s="344">
        <v>400</v>
      </c>
      <c r="O79" s="344">
        <v>400</v>
      </c>
      <c r="P79" s="344">
        <v>400</v>
      </c>
      <c r="Q79" s="368" t="s">
        <v>830</v>
      </c>
      <c r="R79" s="863" t="s">
        <v>1802</v>
      </c>
      <c r="S79" s="386" t="s">
        <v>1787</v>
      </c>
      <c r="T79" s="853" t="s">
        <v>900</v>
      </c>
      <c r="U79" s="459"/>
      <c r="V79" s="923"/>
      <c r="W79" s="952"/>
      <c r="X79" s="594">
        <f>Y79</f>
        <v>1992681334.1600001</v>
      </c>
      <c r="Y79" s="350">
        <f t="shared" si="33"/>
        <v>1992681334.1600001</v>
      </c>
      <c r="Z79" s="425">
        <v>455510000</v>
      </c>
      <c r="AA79" s="425">
        <f>Z79*1.06</f>
        <v>482840600</v>
      </c>
      <c r="AB79" s="425">
        <f t="shared" ref="AB79:AC79" si="36">AA79*1.06</f>
        <v>511811036</v>
      </c>
      <c r="AC79" s="949">
        <f t="shared" si="36"/>
        <v>542519698.16000009</v>
      </c>
      <c r="AD79" s="935" t="s">
        <v>1204</v>
      </c>
      <c r="AE79" s="427"/>
      <c r="AF79" s="354">
        <f t="shared" si="30"/>
        <v>0</v>
      </c>
      <c r="AG79" s="355">
        <v>0</v>
      </c>
      <c r="AH79" s="355">
        <f t="shared" si="31"/>
        <v>0</v>
      </c>
      <c r="AI79" s="355">
        <f t="shared" si="31"/>
        <v>0</v>
      </c>
      <c r="AJ79" s="356">
        <f t="shared" si="31"/>
        <v>0</v>
      </c>
      <c r="AK79" s="354">
        <f t="shared" si="32"/>
        <v>538009966.95600009</v>
      </c>
      <c r="AL79" s="355"/>
      <c r="AM79" s="355">
        <f t="shared" si="35"/>
        <v>168994210</v>
      </c>
      <c r="AN79" s="355">
        <f t="shared" si="35"/>
        <v>179133862.59999999</v>
      </c>
      <c r="AO79" s="356">
        <f t="shared" si="35"/>
        <v>189881894.35600001</v>
      </c>
      <c r="AP79" s="906"/>
      <c r="AQ79" s="594">
        <f>AR79</f>
        <v>1992681334.1600001</v>
      </c>
      <c r="AR79" s="357">
        <f t="shared" si="24"/>
        <v>1992681334.1600001</v>
      </c>
      <c r="AS79" s="358">
        <f t="shared" si="25"/>
        <v>455510000</v>
      </c>
      <c r="AT79" s="358">
        <f t="shared" si="26"/>
        <v>482840600</v>
      </c>
      <c r="AU79" s="358">
        <f t="shared" si="27"/>
        <v>511811036</v>
      </c>
      <c r="AV79" s="359">
        <f t="shared" si="28"/>
        <v>542519698.16000009</v>
      </c>
      <c r="AW79" s="359"/>
      <c r="AX79" s="883" t="s">
        <v>830</v>
      </c>
    </row>
    <row r="80" spans="1:50" ht="45" customHeight="1" thickBot="1">
      <c r="A80" s="571" t="s">
        <v>1505</v>
      </c>
      <c r="B80" s="587" t="s">
        <v>1499</v>
      </c>
      <c r="C80" s="580">
        <v>8.6</v>
      </c>
      <c r="D80" s="473" t="s">
        <v>1205</v>
      </c>
      <c r="E80" s="581" t="s">
        <v>1206</v>
      </c>
      <c r="F80" s="473" t="s">
        <v>1207</v>
      </c>
      <c r="G80" s="732" t="str">
        <f t="shared" si="23"/>
        <v>8.6.1 Operación de redes y estaciones de monitoreo</v>
      </c>
      <c r="H80" s="407" t="s">
        <v>1520</v>
      </c>
      <c r="I80" s="475" t="s">
        <v>836</v>
      </c>
      <c r="J80" s="407" t="s">
        <v>437</v>
      </c>
      <c r="K80" s="475" t="s">
        <v>1208</v>
      </c>
      <c r="L80" s="501">
        <v>0.9</v>
      </c>
      <c r="M80" s="501">
        <v>0.9</v>
      </c>
      <c r="N80" s="501">
        <v>0.9</v>
      </c>
      <c r="O80" s="501">
        <v>0.9</v>
      </c>
      <c r="P80" s="501">
        <v>0.9</v>
      </c>
      <c r="Q80" s="502" t="s">
        <v>975</v>
      </c>
      <c r="R80" s="866" t="s">
        <v>1793</v>
      </c>
      <c r="S80" s="507" t="s">
        <v>1787</v>
      </c>
      <c r="T80" s="855" t="s">
        <v>878</v>
      </c>
      <c r="U80" s="508" t="s">
        <v>1209</v>
      </c>
      <c r="V80" s="925"/>
      <c r="W80" s="953"/>
      <c r="X80" s="595">
        <f>Y80</f>
        <v>3001548417</v>
      </c>
      <c r="Y80" s="450">
        <f t="shared" si="33"/>
        <v>3001548417</v>
      </c>
      <c r="Z80" s="533">
        <f>600000000+201548417</f>
        <v>801548417</v>
      </c>
      <c r="AA80" s="533">
        <v>700000000</v>
      </c>
      <c r="AB80" s="533">
        <v>700000000</v>
      </c>
      <c r="AC80" s="955">
        <v>800000000</v>
      </c>
      <c r="AD80" s="506" t="s">
        <v>1763</v>
      </c>
      <c r="AE80" s="443"/>
      <c r="AF80" s="354">
        <f t="shared" si="30"/>
        <v>1235580200.591152</v>
      </c>
      <c r="AG80" s="428">
        <f>60542266+98247902+63702954+59950000</f>
        <v>282443122</v>
      </c>
      <c r="AH80" s="355">
        <f t="shared" si="31"/>
        <v>299389709.31999999</v>
      </c>
      <c r="AI80" s="355">
        <f t="shared" si="31"/>
        <v>317353091.87919998</v>
      </c>
      <c r="AJ80" s="356">
        <f t="shared" si="31"/>
        <v>336394277.39195198</v>
      </c>
      <c r="AK80" s="354">
        <f t="shared" si="32"/>
        <v>0</v>
      </c>
      <c r="AL80" s="355"/>
      <c r="AM80" s="355"/>
      <c r="AN80" s="355"/>
      <c r="AO80" s="356"/>
      <c r="AP80" s="503"/>
      <c r="AQ80" s="595">
        <f>AR80</f>
        <v>4237128617.5911522</v>
      </c>
      <c r="AR80" s="357">
        <f t="shared" si="24"/>
        <v>4237128617.5911522</v>
      </c>
      <c r="AS80" s="358">
        <f t="shared" si="25"/>
        <v>1083991539</v>
      </c>
      <c r="AT80" s="358">
        <f t="shared" si="26"/>
        <v>999389709.31999993</v>
      </c>
      <c r="AU80" s="358">
        <f t="shared" si="27"/>
        <v>1017353091.8792</v>
      </c>
      <c r="AV80" s="359">
        <f t="shared" si="28"/>
        <v>1136394277.391952</v>
      </c>
      <c r="AW80" s="359"/>
      <c r="AX80" s="895" t="s">
        <v>975</v>
      </c>
    </row>
    <row r="81" spans="1:50" ht="62.25" customHeight="1">
      <c r="A81" s="596" t="s">
        <v>1506</v>
      </c>
      <c r="B81" s="597" t="s">
        <v>1495</v>
      </c>
      <c r="C81" s="598">
        <v>9.1</v>
      </c>
      <c r="D81" s="511" t="s">
        <v>1210</v>
      </c>
      <c r="E81" s="599" t="s">
        <v>1211</v>
      </c>
      <c r="F81" s="511" t="s">
        <v>1212</v>
      </c>
      <c r="G81" s="731" t="str">
        <f t="shared" si="23"/>
        <v>9.1.1 Definición y adopción del Modelo de Administración de los Recursos Naturales, con enfoque diferencial</v>
      </c>
      <c r="H81" s="346" t="s">
        <v>1536</v>
      </c>
      <c r="I81" s="513" t="s">
        <v>836</v>
      </c>
      <c r="J81" s="346" t="s">
        <v>437</v>
      </c>
      <c r="K81" s="488" t="s">
        <v>1213</v>
      </c>
      <c r="L81" s="497">
        <v>1</v>
      </c>
      <c r="M81" s="497">
        <v>1</v>
      </c>
      <c r="N81" s="497"/>
      <c r="O81" s="497"/>
      <c r="P81" s="497"/>
      <c r="Q81" s="423" t="s">
        <v>847</v>
      </c>
      <c r="R81" s="860" t="s">
        <v>1806</v>
      </c>
      <c r="S81" s="458" t="s">
        <v>1787</v>
      </c>
      <c r="T81" s="853" t="s">
        <v>890</v>
      </c>
      <c r="U81" s="459" t="s">
        <v>1215</v>
      </c>
      <c r="V81" s="923" t="s">
        <v>1216</v>
      </c>
      <c r="W81" s="962">
        <f>SUM(X81:X96)</f>
        <v>19909957640.154999</v>
      </c>
      <c r="X81" s="600">
        <f>SUM(Y81:Y82)</f>
        <v>0</v>
      </c>
      <c r="Y81" s="350">
        <f t="shared" si="33"/>
        <v>0</v>
      </c>
      <c r="Z81" s="601">
        <v>0</v>
      </c>
      <c r="AA81" s="601">
        <v>0</v>
      </c>
      <c r="AB81" s="601">
        <v>0</v>
      </c>
      <c r="AC81" s="963">
        <v>0</v>
      </c>
      <c r="AD81" s="936" t="s">
        <v>1214</v>
      </c>
      <c r="AE81" s="427"/>
      <c r="AF81" s="354">
        <f t="shared" si="30"/>
        <v>0</v>
      </c>
      <c r="AG81" s="355">
        <v>0</v>
      </c>
      <c r="AH81" s="355">
        <f t="shared" si="31"/>
        <v>0</v>
      </c>
      <c r="AI81" s="355">
        <f t="shared" si="31"/>
        <v>0</v>
      </c>
      <c r="AJ81" s="356">
        <f t="shared" si="31"/>
        <v>0</v>
      </c>
      <c r="AK81" s="354">
        <f t="shared" si="32"/>
        <v>0</v>
      </c>
      <c r="AL81" s="355"/>
      <c r="AM81" s="355"/>
      <c r="AN81" s="355"/>
      <c r="AO81" s="356"/>
      <c r="AP81" s="911">
        <f>SUM(AQ81:AQ96)</f>
        <v>104930809481.54642</v>
      </c>
      <c r="AQ81" s="600">
        <f>SUM(AR81:AR82)</f>
        <v>0</v>
      </c>
      <c r="AR81" s="357">
        <f t="shared" si="24"/>
        <v>0</v>
      </c>
      <c r="AS81" s="358">
        <f t="shared" si="25"/>
        <v>0</v>
      </c>
      <c r="AT81" s="358">
        <f t="shared" si="26"/>
        <v>0</v>
      </c>
      <c r="AU81" s="358">
        <f t="shared" si="27"/>
        <v>0</v>
      </c>
      <c r="AV81" s="359">
        <f t="shared" si="28"/>
        <v>0</v>
      </c>
      <c r="AW81" s="359"/>
      <c r="AX81" s="887" t="s">
        <v>847</v>
      </c>
    </row>
    <row r="82" spans="1:50" ht="48" customHeight="1">
      <c r="A82" s="602" t="s">
        <v>1506</v>
      </c>
      <c r="B82" s="603" t="s">
        <v>1495</v>
      </c>
      <c r="C82" s="598">
        <v>9.1</v>
      </c>
      <c r="D82" s="377" t="s">
        <v>1217</v>
      </c>
      <c r="E82" s="604" t="s">
        <v>1218</v>
      </c>
      <c r="F82" s="344" t="s">
        <v>1219</v>
      </c>
      <c r="G82" s="696" t="str">
        <f t="shared" si="23"/>
        <v>9.1.2 Adopción de la Metodología de Evaluación de Daños y Análisis de Necesidades Ambientales</v>
      </c>
      <c r="H82" s="344" t="s">
        <v>1521</v>
      </c>
      <c r="I82" s="488" t="s">
        <v>836</v>
      </c>
      <c r="J82" s="344" t="s">
        <v>437</v>
      </c>
      <c r="K82" s="488" t="s">
        <v>1220</v>
      </c>
      <c r="L82" s="497">
        <v>1</v>
      </c>
      <c r="M82" s="497">
        <v>1</v>
      </c>
      <c r="N82" s="497">
        <v>1</v>
      </c>
      <c r="O82" s="497">
        <v>1</v>
      </c>
      <c r="P82" s="497">
        <v>1</v>
      </c>
      <c r="Q82" s="368" t="s">
        <v>876</v>
      </c>
      <c r="R82" s="860" t="s">
        <v>1806</v>
      </c>
      <c r="S82" s="386" t="s">
        <v>1787</v>
      </c>
      <c r="T82" s="849" t="s">
        <v>890</v>
      </c>
      <c r="U82" s="387"/>
      <c r="V82" s="919"/>
      <c r="W82" s="964"/>
      <c r="X82" s="606"/>
      <c r="Y82" s="350">
        <f t="shared" si="33"/>
        <v>0</v>
      </c>
      <c r="Z82" s="363">
        <v>0</v>
      </c>
      <c r="AA82" s="363">
        <v>0</v>
      </c>
      <c r="AB82" s="363">
        <v>0</v>
      </c>
      <c r="AC82" s="943">
        <v>0</v>
      </c>
      <c r="AD82" s="381" t="s">
        <v>1221</v>
      </c>
      <c r="AE82" s="353"/>
      <c r="AF82" s="354">
        <f t="shared" si="30"/>
        <v>0</v>
      </c>
      <c r="AG82" s="355">
        <v>0</v>
      </c>
      <c r="AH82" s="355">
        <f t="shared" si="31"/>
        <v>0</v>
      </c>
      <c r="AI82" s="355">
        <f t="shared" si="31"/>
        <v>0</v>
      </c>
      <c r="AJ82" s="356">
        <f t="shared" si="31"/>
        <v>0</v>
      </c>
      <c r="AK82" s="354">
        <f t="shared" si="32"/>
        <v>0</v>
      </c>
      <c r="AL82" s="355"/>
      <c r="AM82" s="355"/>
      <c r="AN82" s="355"/>
      <c r="AO82" s="356"/>
      <c r="AP82" s="608"/>
      <c r="AQ82" s="606"/>
      <c r="AR82" s="357">
        <f t="shared" si="24"/>
        <v>0</v>
      </c>
      <c r="AS82" s="358">
        <f t="shared" si="25"/>
        <v>0</v>
      </c>
      <c r="AT82" s="358">
        <f t="shared" si="26"/>
        <v>0</v>
      </c>
      <c r="AU82" s="358">
        <f t="shared" si="27"/>
        <v>0</v>
      </c>
      <c r="AV82" s="359">
        <f t="shared" si="28"/>
        <v>0</v>
      </c>
      <c r="AW82" s="359"/>
      <c r="AX82" s="883" t="s">
        <v>876</v>
      </c>
    </row>
    <row r="83" spans="1:50" ht="90">
      <c r="A83" s="602" t="s">
        <v>1506</v>
      </c>
      <c r="B83" s="603" t="s">
        <v>1495</v>
      </c>
      <c r="C83" s="341">
        <v>9.1999999999999993</v>
      </c>
      <c r="D83" s="493" t="s">
        <v>1222</v>
      </c>
      <c r="E83" s="343" t="s">
        <v>1223</v>
      </c>
      <c r="F83" s="344" t="s">
        <v>1224</v>
      </c>
      <c r="G83" s="696" t="str">
        <f t="shared" si="23"/>
        <v>9.2.1 Coordinación y articulación con las autoridades ambientales de la jurisdicción de mecanismos y respuesta en la administración de los recursos naturales</v>
      </c>
      <c r="H83" s="344" t="s">
        <v>1225</v>
      </c>
      <c r="I83" s="385" t="s">
        <v>836</v>
      </c>
      <c r="J83" s="353" t="s">
        <v>437</v>
      </c>
      <c r="K83" s="402" t="s">
        <v>1067</v>
      </c>
      <c r="L83" s="368">
        <v>1</v>
      </c>
      <c r="M83" s="368">
        <v>0.5</v>
      </c>
      <c r="N83" s="368">
        <v>0.7</v>
      </c>
      <c r="O83" s="368">
        <v>0.9</v>
      </c>
      <c r="P83" s="368">
        <v>1</v>
      </c>
      <c r="Q83" s="368" t="s">
        <v>847</v>
      </c>
      <c r="R83" s="860" t="s">
        <v>1807</v>
      </c>
      <c r="S83" s="386" t="s">
        <v>1787</v>
      </c>
      <c r="T83" s="849" t="s">
        <v>890</v>
      </c>
      <c r="U83" s="387"/>
      <c r="V83" s="919" t="s">
        <v>1227</v>
      </c>
      <c r="W83" s="964"/>
      <c r="X83" s="607">
        <f>SUM(Y83:Y95)</f>
        <v>18733265767</v>
      </c>
      <c r="Y83" s="350">
        <f t="shared" si="33"/>
        <v>0</v>
      </c>
      <c r="Z83" s="363">
        <v>0</v>
      </c>
      <c r="AA83" s="363">
        <v>0</v>
      </c>
      <c r="AB83" s="363">
        <v>0</v>
      </c>
      <c r="AC83" s="943">
        <v>0</v>
      </c>
      <c r="AD83" s="381" t="s">
        <v>1226</v>
      </c>
      <c r="AE83" s="353"/>
      <c r="AF83" s="354">
        <f t="shared" si="30"/>
        <v>0</v>
      </c>
      <c r="AG83" s="355">
        <v>0</v>
      </c>
      <c r="AH83" s="355">
        <f t="shared" si="31"/>
        <v>0</v>
      </c>
      <c r="AI83" s="355">
        <f t="shared" si="31"/>
        <v>0</v>
      </c>
      <c r="AJ83" s="356">
        <f t="shared" si="31"/>
        <v>0</v>
      </c>
      <c r="AK83" s="354">
        <f t="shared" si="32"/>
        <v>0</v>
      </c>
      <c r="AL83" s="355"/>
      <c r="AM83" s="355"/>
      <c r="AN83" s="355"/>
      <c r="AO83" s="356"/>
      <c r="AP83" s="608"/>
      <c r="AQ83" s="607">
        <f>SUM(AR83:AR95)</f>
        <v>103754117608.39142</v>
      </c>
      <c r="AR83" s="357">
        <f t="shared" si="24"/>
        <v>0</v>
      </c>
      <c r="AS83" s="358">
        <f t="shared" si="25"/>
        <v>0</v>
      </c>
      <c r="AT83" s="358">
        <f t="shared" si="26"/>
        <v>0</v>
      </c>
      <c r="AU83" s="358">
        <f t="shared" si="27"/>
        <v>0</v>
      </c>
      <c r="AV83" s="359">
        <f t="shared" si="28"/>
        <v>0</v>
      </c>
      <c r="AW83" s="359"/>
      <c r="AX83" s="883" t="s">
        <v>847</v>
      </c>
    </row>
    <row r="84" spans="1:50" ht="146.25" customHeight="1">
      <c r="A84" s="602" t="s">
        <v>1506</v>
      </c>
      <c r="B84" s="603" t="s">
        <v>1495</v>
      </c>
      <c r="C84" s="417">
        <v>9.1999999999999993</v>
      </c>
      <c r="D84" s="377" t="s">
        <v>1222</v>
      </c>
      <c r="E84" s="343" t="s">
        <v>1228</v>
      </c>
      <c r="F84" s="344" t="s">
        <v>1229</v>
      </c>
      <c r="G84" s="696" t="str">
        <f t="shared" si="23"/>
        <v>9.2.2 Coordinación y articulación de mecanismos de gestión territorial ambiental concertados con las autoridades internas de administración de los pueblos étnicos desde su modelo de gestión con enfoque étnico</v>
      </c>
      <c r="H84" s="344" t="s">
        <v>1230</v>
      </c>
      <c r="I84" s="385" t="s">
        <v>836</v>
      </c>
      <c r="J84" s="433" t="s">
        <v>437</v>
      </c>
      <c r="K84" s="402" t="s">
        <v>1067</v>
      </c>
      <c r="L84" s="368">
        <v>2</v>
      </c>
      <c r="M84" s="368">
        <v>0.5</v>
      </c>
      <c r="N84" s="368">
        <v>1</v>
      </c>
      <c r="O84" s="368">
        <v>1.5</v>
      </c>
      <c r="P84" s="368">
        <v>2</v>
      </c>
      <c r="Q84" s="368" t="s">
        <v>847</v>
      </c>
      <c r="R84" s="860" t="s">
        <v>1807</v>
      </c>
      <c r="S84" s="386" t="s">
        <v>1787</v>
      </c>
      <c r="T84" s="849" t="s">
        <v>890</v>
      </c>
      <c r="U84" s="387" t="s">
        <v>1232</v>
      </c>
      <c r="V84" s="926" t="s">
        <v>1233</v>
      </c>
      <c r="W84" s="964"/>
      <c r="X84" s="605"/>
      <c r="Y84" s="350">
        <f t="shared" si="33"/>
        <v>0</v>
      </c>
      <c r="Z84" s="363">
        <v>0</v>
      </c>
      <c r="AA84" s="363">
        <v>0</v>
      </c>
      <c r="AB84" s="363">
        <v>0</v>
      </c>
      <c r="AC84" s="943">
        <v>0</v>
      </c>
      <c r="AD84" s="381" t="s">
        <v>1231</v>
      </c>
      <c r="AE84" s="353"/>
      <c r="AF84" s="354">
        <f t="shared" si="30"/>
        <v>0</v>
      </c>
      <c r="AG84" s="355">
        <v>0</v>
      </c>
      <c r="AH84" s="355">
        <f t="shared" si="31"/>
        <v>0</v>
      </c>
      <c r="AI84" s="355">
        <f t="shared" si="31"/>
        <v>0</v>
      </c>
      <c r="AJ84" s="356">
        <f t="shared" si="31"/>
        <v>0</v>
      </c>
      <c r="AK84" s="354">
        <f t="shared" si="32"/>
        <v>0</v>
      </c>
      <c r="AL84" s="355"/>
      <c r="AM84" s="355"/>
      <c r="AN84" s="355"/>
      <c r="AO84" s="356"/>
      <c r="AP84" s="608"/>
      <c r="AQ84" s="605"/>
      <c r="AR84" s="357">
        <f t="shared" si="24"/>
        <v>0</v>
      </c>
      <c r="AS84" s="358">
        <f t="shared" si="25"/>
        <v>0</v>
      </c>
      <c r="AT84" s="358">
        <f t="shared" si="26"/>
        <v>0</v>
      </c>
      <c r="AU84" s="358">
        <f t="shared" si="27"/>
        <v>0</v>
      </c>
      <c r="AV84" s="359">
        <f t="shared" si="28"/>
        <v>0</v>
      </c>
      <c r="AW84" s="359"/>
      <c r="AX84" s="884" t="s">
        <v>847</v>
      </c>
    </row>
    <row r="85" spans="1:50" ht="30.75" customHeight="1">
      <c r="A85" s="602" t="s">
        <v>1506</v>
      </c>
      <c r="B85" s="603" t="s">
        <v>1495</v>
      </c>
      <c r="C85" s="417">
        <v>9.1999999999999993</v>
      </c>
      <c r="D85" s="377" t="s">
        <v>1222</v>
      </c>
      <c r="E85" s="343" t="s">
        <v>1234</v>
      </c>
      <c r="F85" s="344" t="s">
        <v>1235</v>
      </c>
      <c r="G85" s="696" t="str">
        <f t="shared" si="23"/>
        <v>9.2.3 Definición de rutas de gestión de conflictos ambientales</v>
      </c>
      <c r="H85" s="344" t="s">
        <v>1236</v>
      </c>
      <c r="I85" s="385" t="s">
        <v>836</v>
      </c>
      <c r="J85" s="344" t="s">
        <v>437</v>
      </c>
      <c r="K85" s="402" t="s">
        <v>1067</v>
      </c>
      <c r="L85" s="392">
        <v>0.25</v>
      </c>
      <c r="M85" s="392">
        <v>0.05</v>
      </c>
      <c r="N85" s="392">
        <v>0.1</v>
      </c>
      <c r="O85" s="392">
        <v>0.15</v>
      </c>
      <c r="P85" s="392">
        <v>0.25</v>
      </c>
      <c r="Q85" s="368" t="s">
        <v>847</v>
      </c>
      <c r="R85" s="860" t="s">
        <v>1806</v>
      </c>
      <c r="S85" s="386" t="s">
        <v>1787</v>
      </c>
      <c r="T85" s="849" t="s">
        <v>890</v>
      </c>
      <c r="U85" s="387"/>
      <c r="V85" s="919"/>
      <c r="W85" s="964"/>
      <c r="X85" s="605"/>
      <c r="Y85" s="350">
        <f t="shared" si="33"/>
        <v>600000000</v>
      </c>
      <c r="Z85" s="363">
        <v>0</v>
      </c>
      <c r="AA85" s="363">
        <v>200000000</v>
      </c>
      <c r="AB85" s="363">
        <v>200000000</v>
      </c>
      <c r="AC85" s="943">
        <v>200000000</v>
      </c>
      <c r="AD85" s="381" t="s">
        <v>1237</v>
      </c>
      <c r="AE85" s="353"/>
      <c r="AF85" s="354">
        <f t="shared" si="30"/>
        <v>0</v>
      </c>
      <c r="AG85" s="355">
        <v>0</v>
      </c>
      <c r="AH85" s="355">
        <f t="shared" si="31"/>
        <v>0</v>
      </c>
      <c r="AI85" s="355">
        <f t="shared" si="31"/>
        <v>0</v>
      </c>
      <c r="AJ85" s="356">
        <f t="shared" si="31"/>
        <v>0</v>
      </c>
      <c r="AK85" s="354">
        <f t="shared" si="32"/>
        <v>600000000</v>
      </c>
      <c r="AL85" s="355"/>
      <c r="AM85" s="355">
        <v>200000000</v>
      </c>
      <c r="AN85" s="355">
        <v>200000000</v>
      </c>
      <c r="AO85" s="356">
        <v>200000000</v>
      </c>
      <c r="AP85" s="608"/>
      <c r="AQ85" s="605"/>
      <c r="AR85" s="357">
        <f t="shared" si="24"/>
        <v>600000000</v>
      </c>
      <c r="AS85" s="358">
        <f t="shared" si="25"/>
        <v>0</v>
      </c>
      <c r="AT85" s="358">
        <f t="shared" si="26"/>
        <v>200000000</v>
      </c>
      <c r="AU85" s="358">
        <f t="shared" si="27"/>
        <v>200000000</v>
      </c>
      <c r="AV85" s="359">
        <f t="shared" si="28"/>
        <v>200000000</v>
      </c>
      <c r="AW85" s="359"/>
      <c r="AX85" s="883" t="s">
        <v>847</v>
      </c>
    </row>
    <row r="86" spans="1:50" ht="105">
      <c r="A86" s="602" t="s">
        <v>1506</v>
      </c>
      <c r="B86" s="603" t="s">
        <v>1495</v>
      </c>
      <c r="C86" s="417">
        <v>9.1999999999999993</v>
      </c>
      <c r="D86" s="609" t="s">
        <v>1222</v>
      </c>
      <c r="E86" s="343" t="s">
        <v>1238</v>
      </c>
      <c r="F86" s="344" t="s">
        <v>1239</v>
      </c>
      <c r="G86" s="696" t="str">
        <f t="shared" si="23"/>
        <v>9.2.4 Coordinación de acciones con autoridades étnicas</v>
      </c>
      <c r="H86" s="344" t="s">
        <v>1537</v>
      </c>
      <c r="I86" s="488" t="s">
        <v>836</v>
      </c>
      <c r="J86" s="344" t="s">
        <v>437</v>
      </c>
      <c r="K86" s="402" t="s">
        <v>1240</v>
      </c>
      <c r="L86" s="392">
        <f>5/10</f>
        <v>0.5</v>
      </c>
      <c r="M86" s="392">
        <f>2/10</f>
        <v>0.2</v>
      </c>
      <c r="N86" s="392">
        <f>3/10</f>
        <v>0.3</v>
      </c>
      <c r="O86" s="392">
        <f>4/10</f>
        <v>0.4</v>
      </c>
      <c r="P86" s="392">
        <f>5/10</f>
        <v>0.5</v>
      </c>
      <c r="Q86" s="368" t="s">
        <v>847</v>
      </c>
      <c r="R86" s="860" t="s">
        <v>1807</v>
      </c>
      <c r="S86" s="386" t="s">
        <v>1787</v>
      </c>
      <c r="T86" s="849" t="s">
        <v>890</v>
      </c>
      <c r="U86" s="387" t="s">
        <v>1242</v>
      </c>
      <c r="V86" s="919"/>
      <c r="W86" s="964"/>
      <c r="X86" s="605"/>
      <c r="Y86" s="350">
        <f t="shared" si="33"/>
        <v>400000000</v>
      </c>
      <c r="Z86" s="363">
        <v>0</v>
      </c>
      <c r="AA86" s="363">
        <v>130000000</v>
      </c>
      <c r="AB86" s="363">
        <v>130000000</v>
      </c>
      <c r="AC86" s="943">
        <v>140000000</v>
      </c>
      <c r="AD86" s="381" t="s">
        <v>1241</v>
      </c>
      <c r="AE86" s="353"/>
      <c r="AF86" s="354">
        <f t="shared" si="30"/>
        <v>0</v>
      </c>
      <c r="AG86" s="355">
        <v>0</v>
      </c>
      <c r="AH86" s="355">
        <f t="shared" si="31"/>
        <v>0</v>
      </c>
      <c r="AI86" s="355">
        <f t="shared" si="31"/>
        <v>0</v>
      </c>
      <c r="AJ86" s="356">
        <f t="shared" si="31"/>
        <v>0</v>
      </c>
      <c r="AK86" s="354">
        <f t="shared" si="32"/>
        <v>0</v>
      </c>
      <c r="AL86" s="355"/>
      <c r="AM86" s="355"/>
      <c r="AN86" s="355"/>
      <c r="AO86" s="356"/>
      <c r="AP86" s="608"/>
      <c r="AQ86" s="605"/>
      <c r="AR86" s="357">
        <f t="shared" si="24"/>
        <v>400000000</v>
      </c>
      <c r="AS86" s="358">
        <f t="shared" si="25"/>
        <v>0</v>
      </c>
      <c r="AT86" s="358">
        <f t="shared" si="26"/>
        <v>130000000</v>
      </c>
      <c r="AU86" s="358">
        <f t="shared" si="27"/>
        <v>130000000</v>
      </c>
      <c r="AV86" s="359">
        <f t="shared" si="28"/>
        <v>140000000</v>
      </c>
      <c r="AW86" s="359"/>
      <c r="AX86" s="884" t="s">
        <v>847</v>
      </c>
    </row>
    <row r="87" spans="1:50" ht="102.75" customHeight="1">
      <c r="A87" s="602" t="s">
        <v>1506</v>
      </c>
      <c r="B87" s="603" t="s">
        <v>1495</v>
      </c>
      <c r="C87" s="417">
        <v>9.1999999999999993</v>
      </c>
      <c r="D87" s="377" t="s">
        <v>1222</v>
      </c>
      <c r="E87" s="343" t="s">
        <v>1243</v>
      </c>
      <c r="F87" s="344" t="s">
        <v>1244</v>
      </c>
      <c r="G87" s="696" t="str">
        <f t="shared" si="23"/>
        <v>9.2.5 Atención efectiva de situaciones críticas en lo ambiental mediante acciones de control articuladas</v>
      </c>
      <c r="H87" s="344" t="s">
        <v>1245</v>
      </c>
      <c r="I87" s="488" t="s">
        <v>836</v>
      </c>
      <c r="J87" s="344" t="s">
        <v>437</v>
      </c>
      <c r="K87" s="402" t="s">
        <v>1246</v>
      </c>
      <c r="L87" s="392">
        <v>1</v>
      </c>
      <c r="M87" s="392">
        <f>1/5</f>
        <v>0.2</v>
      </c>
      <c r="N87" s="392">
        <f>1/5*2</f>
        <v>0.4</v>
      </c>
      <c r="O87" s="392">
        <f>1/5*3</f>
        <v>0.60000000000000009</v>
      </c>
      <c r="P87" s="392">
        <f>1/5*5</f>
        <v>1</v>
      </c>
      <c r="Q87" s="368" t="s">
        <v>847</v>
      </c>
      <c r="R87" s="860" t="s">
        <v>1807</v>
      </c>
      <c r="S87" s="386" t="s">
        <v>1787</v>
      </c>
      <c r="T87" s="849" t="s">
        <v>890</v>
      </c>
      <c r="U87" s="387" t="s">
        <v>1248</v>
      </c>
      <c r="V87" s="919"/>
      <c r="W87" s="964"/>
      <c r="X87" s="605"/>
      <c r="Y87" s="350">
        <f t="shared" si="33"/>
        <v>0</v>
      </c>
      <c r="Z87" s="363">
        <v>0</v>
      </c>
      <c r="AA87" s="363">
        <v>0</v>
      </c>
      <c r="AB87" s="363">
        <v>0</v>
      </c>
      <c r="AC87" s="943">
        <v>0</v>
      </c>
      <c r="AD87" s="381" t="s">
        <v>1247</v>
      </c>
      <c r="AE87" s="353"/>
      <c r="AF87" s="354">
        <f t="shared" si="30"/>
        <v>0</v>
      </c>
      <c r="AG87" s="355">
        <v>0</v>
      </c>
      <c r="AH87" s="355">
        <f t="shared" si="31"/>
        <v>0</v>
      </c>
      <c r="AI87" s="355">
        <f t="shared" si="31"/>
        <v>0</v>
      </c>
      <c r="AJ87" s="356">
        <f t="shared" si="31"/>
        <v>0</v>
      </c>
      <c r="AK87" s="354">
        <f t="shared" si="32"/>
        <v>0</v>
      </c>
      <c r="AL87" s="355"/>
      <c r="AM87" s="355"/>
      <c r="AN87" s="355"/>
      <c r="AO87" s="356"/>
      <c r="AP87" s="608"/>
      <c r="AQ87" s="605"/>
      <c r="AR87" s="357">
        <f t="shared" si="24"/>
        <v>0</v>
      </c>
      <c r="AS87" s="358">
        <f t="shared" si="25"/>
        <v>0</v>
      </c>
      <c r="AT87" s="358">
        <f t="shared" si="26"/>
        <v>0</v>
      </c>
      <c r="AU87" s="358">
        <f t="shared" si="27"/>
        <v>0</v>
      </c>
      <c r="AV87" s="359">
        <f t="shared" si="28"/>
        <v>0</v>
      </c>
      <c r="AW87" s="359"/>
      <c r="AX87" s="883" t="s">
        <v>847</v>
      </c>
    </row>
    <row r="88" spans="1:50" ht="63" customHeight="1">
      <c r="A88" s="602" t="s">
        <v>1506</v>
      </c>
      <c r="B88" s="603" t="s">
        <v>1495</v>
      </c>
      <c r="C88" s="417">
        <v>9.1999999999999993</v>
      </c>
      <c r="D88" s="377" t="s">
        <v>1222</v>
      </c>
      <c r="E88" s="343" t="s">
        <v>1249</v>
      </c>
      <c r="F88" s="344" t="s">
        <v>1250</v>
      </c>
      <c r="G88" s="696" t="str">
        <f t="shared" si="23"/>
        <v>9.2.6 Acompañamiento en la formalización de sectores estratégicos</v>
      </c>
      <c r="H88" s="344" t="s">
        <v>1251</v>
      </c>
      <c r="I88" s="488" t="s">
        <v>930</v>
      </c>
      <c r="J88" s="344" t="s">
        <v>437</v>
      </c>
      <c r="K88" s="488" t="s">
        <v>846</v>
      </c>
      <c r="L88" s="344">
        <v>8</v>
      </c>
      <c r="M88" s="344">
        <v>1</v>
      </c>
      <c r="N88" s="344">
        <v>2</v>
      </c>
      <c r="O88" s="344">
        <v>2</v>
      </c>
      <c r="P88" s="344">
        <v>3</v>
      </c>
      <c r="Q88" s="368" t="s">
        <v>830</v>
      </c>
      <c r="R88" s="860" t="s">
        <v>1806</v>
      </c>
      <c r="S88" s="386" t="s">
        <v>1787</v>
      </c>
      <c r="T88" s="849" t="s">
        <v>890</v>
      </c>
      <c r="U88" s="387"/>
      <c r="V88" s="919"/>
      <c r="W88" s="964"/>
      <c r="X88" s="605"/>
      <c r="Y88" s="350">
        <f t="shared" si="33"/>
        <v>2200000000</v>
      </c>
      <c r="Z88" s="363">
        <v>400000000</v>
      </c>
      <c r="AA88" s="363">
        <v>600000000</v>
      </c>
      <c r="AB88" s="363">
        <v>600000000</v>
      </c>
      <c r="AC88" s="943">
        <v>600000000</v>
      </c>
      <c r="AD88" s="381" t="s">
        <v>1252</v>
      </c>
      <c r="AE88" s="353"/>
      <c r="AF88" s="354">
        <f t="shared" si="30"/>
        <v>0</v>
      </c>
      <c r="AG88" s="355">
        <v>0</v>
      </c>
      <c r="AH88" s="355">
        <f t="shared" si="31"/>
        <v>0</v>
      </c>
      <c r="AI88" s="355">
        <f t="shared" si="31"/>
        <v>0</v>
      </c>
      <c r="AJ88" s="356">
        <f t="shared" si="31"/>
        <v>0</v>
      </c>
      <c r="AK88" s="354">
        <f t="shared" si="32"/>
        <v>1800000000</v>
      </c>
      <c r="AL88" s="355">
        <v>300000000</v>
      </c>
      <c r="AM88" s="355">
        <v>500000000</v>
      </c>
      <c r="AN88" s="355">
        <v>500000000</v>
      </c>
      <c r="AO88" s="356">
        <v>500000000</v>
      </c>
      <c r="AP88" s="608"/>
      <c r="AQ88" s="605"/>
      <c r="AR88" s="357">
        <f t="shared" si="24"/>
        <v>2200000000</v>
      </c>
      <c r="AS88" s="358">
        <f t="shared" si="25"/>
        <v>400000000</v>
      </c>
      <c r="AT88" s="358">
        <f t="shared" si="26"/>
        <v>600000000</v>
      </c>
      <c r="AU88" s="358">
        <f t="shared" si="27"/>
        <v>600000000</v>
      </c>
      <c r="AV88" s="359">
        <f t="shared" si="28"/>
        <v>600000000</v>
      </c>
      <c r="AW88" s="359"/>
      <c r="AX88" s="883" t="s">
        <v>830</v>
      </c>
    </row>
    <row r="89" spans="1:50" ht="45">
      <c r="A89" s="602" t="s">
        <v>1506</v>
      </c>
      <c r="B89" s="603" t="s">
        <v>1495</v>
      </c>
      <c r="C89" s="417">
        <v>9.1999999999999993</v>
      </c>
      <c r="D89" s="377" t="s">
        <v>1222</v>
      </c>
      <c r="E89" s="343" t="s">
        <v>1253</v>
      </c>
      <c r="F89" s="344" t="s">
        <v>1254</v>
      </c>
      <c r="G89" s="696" t="str">
        <f t="shared" si="23"/>
        <v>9.2.7 Implementación del Modelo de Administración de los Recursos Naturales</v>
      </c>
      <c r="H89" s="344" t="s">
        <v>1255</v>
      </c>
      <c r="I89" s="488" t="s">
        <v>828</v>
      </c>
      <c r="J89" s="344" t="s">
        <v>437</v>
      </c>
      <c r="K89" s="347" t="s">
        <v>1256</v>
      </c>
      <c r="L89" s="347">
        <v>1</v>
      </c>
      <c r="M89" s="369">
        <v>0</v>
      </c>
      <c r="N89" s="347">
        <v>0.5</v>
      </c>
      <c r="O89" s="347">
        <v>0.7</v>
      </c>
      <c r="P89" s="347">
        <v>1</v>
      </c>
      <c r="Q89" s="368" t="s">
        <v>830</v>
      </c>
      <c r="R89" s="860" t="s">
        <v>1806</v>
      </c>
      <c r="S89" s="386" t="s">
        <v>1787</v>
      </c>
      <c r="T89" s="849" t="s">
        <v>890</v>
      </c>
      <c r="U89" s="387"/>
      <c r="V89" s="919" t="s">
        <v>1216</v>
      </c>
      <c r="W89" s="964"/>
      <c r="X89" s="605"/>
      <c r="Y89" s="350">
        <f t="shared" si="33"/>
        <v>0</v>
      </c>
      <c r="Z89" s="363">
        <v>0</v>
      </c>
      <c r="AA89" s="363">
        <v>0</v>
      </c>
      <c r="AB89" s="363">
        <v>0</v>
      </c>
      <c r="AC89" s="943">
        <v>0</v>
      </c>
      <c r="AD89" s="381"/>
      <c r="AE89" s="353"/>
      <c r="AF89" s="354">
        <f t="shared" si="30"/>
        <v>0</v>
      </c>
      <c r="AG89" s="355">
        <v>0</v>
      </c>
      <c r="AH89" s="355">
        <f>IFERROR(AG89*1.06,AG89)</f>
        <v>0</v>
      </c>
      <c r="AI89" s="355">
        <f t="shared" si="31"/>
        <v>0</v>
      </c>
      <c r="AJ89" s="356">
        <f t="shared" si="31"/>
        <v>0</v>
      </c>
      <c r="AK89" s="354">
        <f t="shared" si="32"/>
        <v>0</v>
      </c>
      <c r="AL89" s="355"/>
      <c r="AM89" s="355"/>
      <c r="AN89" s="355"/>
      <c r="AO89" s="356"/>
      <c r="AP89" s="608"/>
      <c r="AQ89" s="605"/>
      <c r="AR89" s="357">
        <f t="shared" si="24"/>
        <v>0</v>
      </c>
      <c r="AS89" s="358">
        <f t="shared" si="25"/>
        <v>0</v>
      </c>
      <c r="AT89" s="358">
        <f t="shared" si="26"/>
        <v>0</v>
      </c>
      <c r="AU89" s="358">
        <f t="shared" si="27"/>
        <v>0</v>
      </c>
      <c r="AV89" s="359">
        <f t="shared" si="28"/>
        <v>0</v>
      </c>
      <c r="AW89" s="359"/>
      <c r="AX89" s="883" t="s">
        <v>830</v>
      </c>
    </row>
    <row r="90" spans="1:50" ht="45.75" customHeight="1">
      <c r="A90" s="602" t="s">
        <v>1506</v>
      </c>
      <c r="B90" s="603" t="s">
        <v>1495</v>
      </c>
      <c r="C90" s="417">
        <v>9.1999999999999993</v>
      </c>
      <c r="D90" s="377" t="s">
        <v>1222</v>
      </c>
      <c r="E90" s="343" t="s">
        <v>1257</v>
      </c>
      <c r="F90" s="344" t="s">
        <v>1258</v>
      </c>
      <c r="G90" s="696" t="str">
        <f t="shared" si="23"/>
        <v>9.2.8 Formalización de actores</v>
      </c>
      <c r="H90" s="344" t="s">
        <v>1259</v>
      </c>
      <c r="I90" s="488" t="s">
        <v>836</v>
      </c>
      <c r="J90" s="344" t="s">
        <v>845</v>
      </c>
      <c r="K90" s="385" t="s">
        <v>846</v>
      </c>
      <c r="L90" s="347">
        <v>1</v>
      </c>
      <c r="M90" s="347">
        <v>0.25</v>
      </c>
      <c r="N90" s="347">
        <v>0.25</v>
      </c>
      <c r="O90" s="347">
        <v>0.25</v>
      </c>
      <c r="P90" s="347">
        <v>0.25</v>
      </c>
      <c r="Q90" s="368" t="s">
        <v>830</v>
      </c>
      <c r="R90" s="860" t="s">
        <v>1806</v>
      </c>
      <c r="S90" s="386" t="s">
        <v>1787</v>
      </c>
      <c r="T90" s="849" t="s">
        <v>890</v>
      </c>
      <c r="U90" s="387"/>
      <c r="V90" s="919"/>
      <c r="W90" s="964"/>
      <c r="X90" s="605"/>
      <c r="Y90" s="350">
        <f t="shared" si="33"/>
        <v>1900000000</v>
      </c>
      <c r="Z90" s="363">
        <v>400000000</v>
      </c>
      <c r="AA90" s="363">
        <v>500000000</v>
      </c>
      <c r="AB90" s="363">
        <v>500000000</v>
      </c>
      <c r="AC90" s="943">
        <v>500000000</v>
      </c>
      <c r="AD90" s="381" t="s">
        <v>1260</v>
      </c>
      <c r="AE90" s="353"/>
      <c r="AF90" s="354">
        <f t="shared" si="30"/>
        <v>0</v>
      </c>
      <c r="AG90" s="355">
        <v>0</v>
      </c>
      <c r="AH90" s="355">
        <f t="shared" si="31"/>
        <v>0</v>
      </c>
      <c r="AI90" s="355">
        <f t="shared" si="31"/>
        <v>0</v>
      </c>
      <c r="AJ90" s="356">
        <f t="shared" si="31"/>
        <v>0</v>
      </c>
      <c r="AK90" s="354">
        <f t="shared" si="32"/>
        <v>300000000</v>
      </c>
      <c r="AL90" s="355"/>
      <c r="AM90" s="355">
        <v>100000000</v>
      </c>
      <c r="AN90" s="355">
        <v>100000000</v>
      </c>
      <c r="AO90" s="356">
        <v>100000000</v>
      </c>
      <c r="AP90" s="608"/>
      <c r="AQ90" s="605"/>
      <c r="AR90" s="357">
        <f t="shared" si="24"/>
        <v>1900000000</v>
      </c>
      <c r="AS90" s="358">
        <f t="shared" si="25"/>
        <v>400000000</v>
      </c>
      <c r="AT90" s="358">
        <f t="shared" si="26"/>
        <v>500000000</v>
      </c>
      <c r="AU90" s="358">
        <f t="shared" si="27"/>
        <v>500000000</v>
      </c>
      <c r="AV90" s="359">
        <f t="shared" si="28"/>
        <v>500000000</v>
      </c>
      <c r="AW90" s="359"/>
      <c r="AX90" s="883" t="s">
        <v>830</v>
      </c>
    </row>
    <row r="91" spans="1:50" ht="45">
      <c r="A91" s="602" t="s">
        <v>1506</v>
      </c>
      <c r="B91" s="603" t="s">
        <v>1495</v>
      </c>
      <c r="C91" s="417">
        <v>9.1999999999999993</v>
      </c>
      <c r="D91" s="377" t="s">
        <v>1222</v>
      </c>
      <c r="E91" s="343" t="s">
        <v>1261</v>
      </c>
      <c r="F91" s="373" t="s">
        <v>1928</v>
      </c>
      <c r="G91" s="696" t="str">
        <f t="shared" si="23"/>
        <v>9.2.9 Implementación del Plan Acción sectorial Ambiental de Mercurio en la jurisdicción de Corantioquia</v>
      </c>
      <c r="H91" s="344" t="s">
        <v>1262</v>
      </c>
      <c r="I91" s="488" t="s">
        <v>930</v>
      </c>
      <c r="J91" s="344" t="s">
        <v>837</v>
      </c>
      <c r="K91" s="488" t="s">
        <v>1263</v>
      </c>
      <c r="L91" s="392">
        <v>1</v>
      </c>
      <c r="M91" s="392">
        <v>0.3</v>
      </c>
      <c r="N91" s="392">
        <v>0.6</v>
      </c>
      <c r="O91" s="392">
        <v>1</v>
      </c>
      <c r="P91" s="392">
        <v>1</v>
      </c>
      <c r="Q91" s="368" t="s">
        <v>876</v>
      </c>
      <c r="R91" s="860" t="s">
        <v>1802</v>
      </c>
      <c r="S91" s="386" t="s">
        <v>1787</v>
      </c>
      <c r="T91" s="849" t="s">
        <v>878</v>
      </c>
      <c r="U91" s="387"/>
      <c r="V91" s="919"/>
      <c r="W91" s="964"/>
      <c r="X91" s="605"/>
      <c r="Y91" s="350">
        <f t="shared" si="33"/>
        <v>1400000000</v>
      </c>
      <c r="Z91" s="363">
        <v>300000000</v>
      </c>
      <c r="AA91" s="363">
        <v>600000000</v>
      </c>
      <c r="AB91" s="363">
        <v>400000000</v>
      </c>
      <c r="AC91" s="943">
        <v>100000000</v>
      </c>
      <c r="AD91" s="381" t="s">
        <v>1141</v>
      </c>
      <c r="AE91" s="353"/>
      <c r="AF91" s="354">
        <f t="shared" si="30"/>
        <v>0</v>
      </c>
      <c r="AG91" s="428">
        <v>0</v>
      </c>
      <c r="AH91" s="355">
        <f t="shared" si="31"/>
        <v>0</v>
      </c>
      <c r="AI91" s="355">
        <f t="shared" si="31"/>
        <v>0</v>
      </c>
      <c r="AJ91" s="356">
        <f t="shared" si="31"/>
        <v>0</v>
      </c>
      <c r="AK91" s="354">
        <f t="shared" si="32"/>
        <v>551200000</v>
      </c>
      <c r="AL91" s="355">
        <v>130000000</v>
      </c>
      <c r="AM91" s="355">
        <f>AL91*4%+130000000</f>
        <v>135200000</v>
      </c>
      <c r="AN91" s="355">
        <f>AM91+5200000</f>
        <v>140400000</v>
      </c>
      <c r="AO91" s="356">
        <f>AN91+5200000</f>
        <v>145600000</v>
      </c>
      <c r="AP91" s="608"/>
      <c r="AQ91" s="605"/>
      <c r="AR91" s="357">
        <f t="shared" si="24"/>
        <v>1400000000</v>
      </c>
      <c r="AS91" s="358">
        <f t="shared" si="25"/>
        <v>300000000</v>
      </c>
      <c r="AT91" s="358">
        <f t="shared" si="26"/>
        <v>600000000</v>
      </c>
      <c r="AU91" s="358">
        <f t="shared" si="27"/>
        <v>400000000</v>
      </c>
      <c r="AV91" s="359">
        <f t="shared" si="28"/>
        <v>100000000</v>
      </c>
      <c r="AW91" s="359"/>
      <c r="AX91" s="883" t="s">
        <v>876</v>
      </c>
    </row>
    <row r="92" spans="1:50" ht="96">
      <c r="A92" s="602" t="s">
        <v>1506</v>
      </c>
      <c r="B92" s="603" t="s">
        <v>1495</v>
      </c>
      <c r="C92" s="417">
        <v>9.1999999999999993</v>
      </c>
      <c r="D92" s="377" t="s">
        <v>1222</v>
      </c>
      <c r="E92" s="343" t="s">
        <v>1264</v>
      </c>
      <c r="F92" s="344" t="s">
        <v>1265</v>
      </c>
      <c r="G92" s="696" t="str">
        <f t="shared" si="23"/>
        <v>9.2.10 Resolución de solicitudes de licencias ambientales dentro de los tiempos establecidos en la normatividad vigente</v>
      </c>
      <c r="H92" s="344" t="s">
        <v>1266</v>
      </c>
      <c r="I92" s="385" t="s">
        <v>836</v>
      </c>
      <c r="J92" s="344" t="s">
        <v>437</v>
      </c>
      <c r="K92" s="488" t="s">
        <v>1263</v>
      </c>
      <c r="L92" s="497">
        <v>0.8</v>
      </c>
      <c r="M92" s="497">
        <v>0.6</v>
      </c>
      <c r="N92" s="497">
        <v>0.7</v>
      </c>
      <c r="O92" s="497">
        <v>0.75</v>
      </c>
      <c r="P92" s="497">
        <v>0.8</v>
      </c>
      <c r="Q92" s="368" t="s">
        <v>830</v>
      </c>
      <c r="R92" s="860" t="s">
        <v>1806</v>
      </c>
      <c r="S92" s="386" t="s">
        <v>1787</v>
      </c>
      <c r="T92" s="849" t="s">
        <v>890</v>
      </c>
      <c r="U92" s="387"/>
      <c r="V92" s="919"/>
      <c r="W92" s="964"/>
      <c r="X92" s="605"/>
      <c r="Y92" s="350">
        <f t="shared" si="33"/>
        <v>0</v>
      </c>
      <c r="Z92" s="363">
        <v>0</v>
      </c>
      <c r="AA92" s="363">
        <v>0</v>
      </c>
      <c r="AB92" s="363">
        <v>0</v>
      </c>
      <c r="AC92" s="943">
        <v>0</v>
      </c>
      <c r="AD92" s="381" t="s">
        <v>1267</v>
      </c>
      <c r="AE92" s="353"/>
      <c r="AF92" s="354">
        <f t="shared" si="30"/>
        <v>0</v>
      </c>
      <c r="AG92" s="355">
        <v>0</v>
      </c>
      <c r="AH92" s="355">
        <f t="shared" si="31"/>
        <v>0</v>
      </c>
      <c r="AI92" s="355">
        <f t="shared" si="31"/>
        <v>0</v>
      </c>
      <c r="AJ92" s="356">
        <f t="shared" si="31"/>
        <v>0</v>
      </c>
      <c r="AK92" s="354">
        <f t="shared" si="32"/>
        <v>0</v>
      </c>
      <c r="AL92" s="355"/>
      <c r="AM92" s="355"/>
      <c r="AN92" s="355"/>
      <c r="AO92" s="356"/>
      <c r="AP92" s="608"/>
      <c r="AQ92" s="605"/>
      <c r="AR92" s="357">
        <f t="shared" si="24"/>
        <v>0</v>
      </c>
      <c r="AS92" s="358">
        <f t="shared" si="25"/>
        <v>0</v>
      </c>
      <c r="AT92" s="358">
        <f t="shared" si="26"/>
        <v>0</v>
      </c>
      <c r="AU92" s="358">
        <f t="shared" si="27"/>
        <v>0</v>
      </c>
      <c r="AV92" s="359">
        <f t="shared" si="28"/>
        <v>0</v>
      </c>
      <c r="AW92" s="359"/>
      <c r="AX92" s="883" t="s">
        <v>876</v>
      </c>
    </row>
    <row r="93" spans="1:50" ht="78.75" customHeight="1">
      <c r="A93" s="602" t="s">
        <v>1506</v>
      </c>
      <c r="B93" s="603" t="s">
        <v>1495</v>
      </c>
      <c r="C93" s="417">
        <v>9.1999999999999993</v>
      </c>
      <c r="D93" s="377" t="s">
        <v>1222</v>
      </c>
      <c r="E93" s="343" t="s">
        <v>1268</v>
      </c>
      <c r="F93" s="431" t="s">
        <v>1269</v>
      </c>
      <c r="G93" s="696" t="str">
        <f t="shared" si="23"/>
        <v>9.2.11 Atención de los tramites ambientales en los tiempos establecidos</v>
      </c>
      <c r="H93" s="344" t="s">
        <v>1538</v>
      </c>
      <c r="I93" s="385" t="s">
        <v>836</v>
      </c>
      <c r="J93" s="344" t="s">
        <v>437</v>
      </c>
      <c r="K93" s="385" t="s">
        <v>1270</v>
      </c>
      <c r="L93" s="610">
        <v>90</v>
      </c>
      <c r="M93" s="610">
        <v>90</v>
      </c>
      <c r="N93" s="610">
        <v>90</v>
      </c>
      <c r="O93" s="610">
        <v>90</v>
      </c>
      <c r="P93" s="610">
        <v>90</v>
      </c>
      <c r="Q93" s="368" t="s">
        <v>127</v>
      </c>
      <c r="R93" s="860" t="s">
        <v>1806</v>
      </c>
      <c r="S93" s="386" t="s">
        <v>1787</v>
      </c>
      <c r="T93" s="849" t="s">
        <v>890</v>
      </c>
      <c r="U93" s="387"/>
      <c r="V93" s="919"/>
      <c r="W93" s="964"/>
      <c r="X93" s="605"/>
      <c r="Y93" s="350">
        <f t="shared" si="33"/>
        <v>12233265767</v>
      </c>
      <c r="Z93" s="363">
        <f>1700000000+194040000+106000000+979440002</f>
        <v>2979480002</v>
      </c>
      <c r="AA93" s="363">
        <f>1700000000+201801600+110240000+1018617602</f>
        <v>3030659202</v>
      </c>
      <c r="AB93" s="363">
        <f>1700000000+209873664+114649600+1059362306</f>
        <v>3083885570</v>
      </c>
      <c r="AC93" s="943">
        <f>1700000000+218268611+119235584+1101736798</f>
        <v>3139240993</v>
      </c>
      <c r="AD93" s="381" t="s">
        <v>1271</v>
      </c>
      <c r="AE93" s="353"/>
      <c r="AF93" s="354">
        <f t="shared" si="30"/>
        <v>85020851841.391418</v>
      </c>
      <c r="AG93" s="355">
        <f>518863001.270637+18916180404</f>
        <v>19435043405.270638</v>
      </c>
      <c r="AH93" s="355">
        <f>IFERROR(AG93*1.06,AG93)</f>
        <v>20601146009.586876</v>
      </c>
      <c r="AI93" s="355">
        <f t="shared" si="31"/>
        <v>21837214770.16209</v>
      </c>
      <c r="AJ93" s="356">
        <f t="shared" si="31"/>
        <v>23147447656.371819</v>
      </c>
      <c r="AK93" s="354">
        <f t="shared" si="32"/>
        <v>0</v>
      </c>
      <c r="AL93" s="355"/>
      <c r="AM93" s="355"/>
      <c r="AN93" s="355"/>
      <c r="AO93" s="356"/>
      <c r="AP93" s="608"/>
      <c r="AQ93" s="605"/>
      <c r="AR93" s="357">
        <f t="shared" si="24"/>
        <v>97254117608.391418</v>
      </c>
      <c r="AS93" s="358">
        <f t="shared" si="25"/>
        <v>22414523407.270638</v>
      </c>
      <c r="AT93" s="358">
        <f t="shared" si="26"/>
        <v>23631805211.586876</v>
      </c>
      <c r="AU93" s="358">
        <f t="shared" si="27"/>
        <v>24921100340.16209</v>
      </c>
      <c r="AV93" s="359">
        <f t="shared" si="28"/>
        <v>26286688649.371819</v>
      </c>
      <c r="AW93" s="359"/>
      <c r="AX93" s="883" t="s">
        <v>127</v>
      </c>
    </row>
    <row r="94" spans="1:50" ht="45">
      <c r="A94" s="602" t="s">
        <v>1506</v>
      </c>
      <c r="B94" s="603" t="s">
        <v>1495</v>
      </c>
      <c r="C94" s="417">
        <v>9.1999999999999993</v>
      </c>
      <c r="D94" s="377" t="s">
        <v>1222</v>
      </c>
      <c r="E94" s="343" t="s">
        <v>1272</v>
      </c>
      <c r="F94" s="373" t="s">
        <v>1273</v>
      </c>
      <c r="G94" s="696" t="str">
        <f t="shared" si="23"/>
        <v>9.2.12 Atención de procesos sancionatorios</v>
      </c>
      <c r="H94" s="344" t="s">
        <v>1274</v>
      </c>
      <c r="I94" s="385" t="s">
        <v>828</v>
      </c>
      <c r="J94" s="344" t="s">
        <v>845</v>
      </c>
      <c r="K94" s="385" t="s">
        <v>1275</v>
      </c>
      <c r="L94" s="497">
        <v>0.35</v>
      </c>
      <c r="M94" s="497">
        <v>0.2</v>
      </c>
      <c r="N94" s="497">
        <v>0.25</v>
      </c>
      <c r="O94" s="497">
        <v>0.3</v>
      </c>
      <c r="P94" s="497">
        <v>0.35</v>
      </c>
      <c r="Q94" s="368" t="s">
        <v>127</v>
      </c>
      <c r="R94" s="860" t="s">
        <v>1806</v>
      </c>
      <c r="S94" s="386" t="s">
        <v>1787</v>
      </c>
      <c r="T94" s="849" t="s">
        <v>890</v>
      </c>
      <c r="U94" s="387"/>
      <c r="V94" s="919"/>
      <c r="W94" s="964"/>
      <c r="X94" s="605"/>
      <c r="Y94" s="350">
        <f t="shared" si="33"/>
        <v>0</v>
      </c>
      <c r="Z94" s="363">
        <v>0</v>
      </c>
      <c r="AA94" s="363">
        <v>0</v>
      </c>
      <c r="AB94" s="363">
        <v>0</v>
      </c>
      <c r="AC94" s="943">
        <v>0</v>
      </c>
      <c r="AD94" s="381"/>
      <c r="AE94" s="353"/>
      <c r="AF94" s="354">
        <f t="shared" si="30"/>
        <v>0</v>
      </c>
      <c r="AG94" s="355">
        <v>0</v>
      </c>
      <c r="AH94" s="355">
        <f t="shared" si="31"/>
        <v>0</v>
      </c>
      <c r="AI94" s="355">
        <f t="shared" si="31"/>
        <v>0</v>
      </c>
      <c r="AJ94" s="356">
        <f t="shared" si="31"/>
        <v>0</v>
      </c>
      <c r="AK94" s="354">
        <f t="shared" si="32"/>
        <v>0</v>
      </c>
      <c r="AL94" s="355"/>
      <c r="AM94" s="355"/>
      <c r="AN94" s="355"/>
      <c r="AO94" s="356"/>
      <c r="AP94" s="608"/>
      <c r="AQ94" s="605"/>
      <c r="AR94" s="357">
        <f t="shared" si="24"/>
        <v>0</v>
      </c>
      <c r="AS94" s="358">
        <f t="shared" si="25"/>
        <v>0</v>
      </c>
      <c r="AT94" s="358">
        <f t="shared" si="26"/>
        <v>0</v>
      </c>
      <c r="AU94" s="358">
        <f t="shared" si="27"/>
        <v>0</v>
      </c>
      <c r="AV94" s="359">
        <f t="shared" si="28"/>
        <v>0</v>
      </c>
      <c r="AW94" s="359"/>
      <c r="AX94" s="883" t="s">
        <v>127</v>
      </c>
    </row>
    <row r="95" spans="1:50" ht="94.5" customHeight="1">
      <c r="A95" s="602" t="s">
        <v>1506</v>
      </c>
      <c r="B95" s="603" t="s">
        <v>1495</v>
      </c>
      <c r="C95" s="395">
        <v>9.1999999999999993</v>
      </c>
      <c r="D95" s="485" t="s">
        <v>1222</v>
      </c>
      <c r="E95" s="343" t="s">
        <v>1276</v>
      </c>
      <c r="F95" s="373" t="s">
        <v>1277</v>
      </c>
      <c r="G95" s="696" t="str">
        <f t="shared" si="23"/>
        <v>9.2.13 Seguimiento a autorizaciones ambientales</v>
      </c>
      <c r="H95" s="344" t="s">
        <v>1278</v>
      </c>
      <c r="I95" s="385" t="s">
        <v>828</v>
      </c>
      <c r="J95" s="344" t="s">
        <v>837</v>
      </c>
      <c r="K95" s="385" t="s">
        <v>1279</v>
      </c>
      <c r="L95" s="611">
        <v>1</v>
      </c>
      <c r="M95" s="611">
        <v>1</v>
      </c>
      <c r="N95" s="611">
        <v>1</v>
      </c>
      <c r="O95" s="611">
        <v>1</v>
      </c>
      <c r="P95" s="611">
        <v>1</v>
      </c>
      <c r="Q95" s="880" t="s">
        <v>127</v>
      </c>
      <c r="R95" s="860" t="s">
        <v>1806</v>
      </c>
      <c r="S95" s="386" t="s">
        <v>1787</v>
      </c>
      <c r="T95" s="856" t="s">
        <v>890</v>
      </c>
      <c r="U95" s="614"/>
      <c r="V95" s="927"/>
      <c r="W95" s="964"/>
      <c r="X95" s="605"/>
      <c r="Y95" s="350">
        <f t="shared" si="33"/>
        <v>0</v>
      </c>
      <c r="Z95" s="612">
        <v>0</v>
      </c>
      <c r="AA95" s="612">
        <v>0</v>
      </c>
      <c r="AB95" s="612">
        <v>0</v>
      </c>
      <c r="AC95" s="965">
        <v>0</v>
      </c>
      <c r="AD95" s="937" t="s">
        <v>1280</v>
      </c>
      <c r="AE95" s="353"/>
      <c r="AF95" s="354">
        <f t="shared" si="30"/>
        <v>0</v>
      </c>
      <c r="AG95" s="355">
        <v>0</v>
      </c>
      <c r="AH95" s="355">
        <f t="shared" si="31"/>
        <v>0</v>
      </c>
      <c r="AI95" s="355">
        <f t="shared" si="31"/>
        <v>0</v>
      </c>
      <c r="AJ95" s="356">
        <f t="shared" si="31"/>
        <v>0</v>
      </c>
      <c r="AK95" s="354">
        <f t="shared" si="32"/>
        <v>0</v>
      </c>
      <c r="AL95" s="355"/>
      <c r="AM95" s="355"/>
      <c r="AN95" s="355"/>
      <c r="AO95" s="356"/>
      <c r="AP95" s="608"/>
      <c r="AQ95" s="605"/>
      <c r="AR95" s="357">
        <f t="shared" si="24"/>
        <v>0</v>
      </c>
      <c r="AS95" s="358">
        <f t="shared" si="25"/>
        <v>0</v>
      </c>
      <c r="AT95" s="358">
        <f t="shared" si="26"/>
        <v>0</v>
      </c>
      <c r="AU95" s="358">
        <f t="shared" si="27"/>
        <v>0</v>
      </c>
      <c r="AV95" s="359">
        <f t="shared" si="28"/>
        <v>0</v>
      </c>
      <c r="AW95" s="359"/>
      <c r="AX95" s="894" t="s">
        <v>127</v>
      </c>
    </row>
    <row r="96" spans="1:50" ht="130.5" customHeight="1" thickBot="1">
      <c r="A96" s="602" t="s">
        <v>1506</v>
      </c>
      <c r="B96" s="603" t="s">
        <v>1495</v>
      </c>
      <c r="C96" s="442">
        <v>9.3000000000000007</v>
      </c>
      <c r="D96" s="615" t="s">
        <v>1281</v>
      </c>
      <c r="E96" s="444" t="s">
        <v>1282</v>
      </c>
      <c r="F96" s="472" t="s">
        <v>1283</v>
      </c>
      <c r="G96" s="732" t="str">
        <f t="shared" si="23"/>
        <v>9.3.1 Implementación de la estrategia de apropiación y colaboración social en la administración ambiental a partir de procesos educativos, de reconocimiento del territorio, monitoreo participativo y sensibilización de actores</v>
      </c>
      <c r="H96" s="616" t="s">
        <v>1284</v>
      </c>
      <c r="I96" s="617" t="s">
        <v>930</v>
      </c>
      <c r="J96" s="618" t="s">
        <v>437</v>
      </c>
      <c r="K96" s="619" t="s">
        <v>1285</v>
      </c>
      <c r="L96" s="409">
        <v>1</v>
      </c>
      <c r="M96" s="409">
        <v>0.25</v>
      </c>
      <c r="N96" s="409">
        <v>0.5</v>
      </c>
      <c r="O96" s="409">
        <v>0.75</v>
      </c>
      <c r="P96" s="409">
        <v>1</v>
      </c>
      <c r="Q96" s="502" t="s">
        <v>830</v>
      </c>
      <c r="R96" s="866" t="s">
        <v>1807</v>
      </c>
      <c r="S96" s="507" t="s">
        <v>1788</v>
      </c>
      <c r="T96" s="855" t="s">
        <v>900</v>
      </c>
      <c r="U96" s="508"/>
      <c r="V96" s="925"/>
      <c r="W96" s="966"/>
      <c r="X96" s="620">
        <f>Y96</f>
        <v>1176691873.1549995</v>
      </c>
      <c r="Y96" s="450">
        <f t="shared" si="33"/>
        <v>1176691873.1549995</v>
      </c>
      <c r="Z96" s="533">
        <v>325600000</v>
      </c>
      <c r="AA96" s="533">
        <v>344813933.33333302</v>
      </c>
      <c r="AB96" s="533">
        <v>250268647.33333331</v>
      </c>
      <c r="AC96" s="955">
        <v>256009292.48833328</v>
      </c>
      <c r="AD96" s="932" t="s">
        <v>1286</v>
      </c>
      <c r="AE96" s="443"/>
      <c r="AF96" s="354">
        <f t="shared" si="30"/>
        <v>0</v>
      </c>
      <c r="AG96" s="355"/>
      <c r="AH96" s="355">
        <f t="shared" si="31"/>
        <v>0</v>
      </c>
      <c r="AI96" s="355">
        <f t="shared" si="31"/>
        <v>0</v>
      </c>
      <c r="AJ96" s="356">
        <f t="shared" si="31"/>
        <v>0</v>
      </c>
      <c r="AK96" s="354">
        <f t="shared" si="32"/>
        <v>297882155.60424984</v>
      </c>
      <c r="AL96" s="355"/>
      <c r="AM96" s="355">
        <f>AA96*0.35</f>
        <v>120684876.66666655</v>
      </c>
      <c r="AN96" s="355">
        <f>AB96*0.35</f>
        <v>87594026.566666648</v>
      </c>
      <c r="AO96" s="356">
        <f>AC96*0.35</f>
        <v>89603252.37091665</v>
      </c>
      <c r="AP96" s="912"/>
      <c r="AQ96" s="620">
        <f>AR96</f>
        <v>1176691873.1549995</v>
      </c>
      <c r="AR96" s="357">
        <f t="shared" si="24"/>
        <v>1176691873.1549995</v>
      </c>
      <c r="AS96" s="358">
        <f t="shared" si="25"/>
        <v>325600000</v>
      </c>
      <c r="AT96" s="358">
        <f t="shared" si="26"/>
        <v>344813933.33333302</v>
      </c>
      <c r="AU96" s="358">
        <f t="shared" si="27"/>
        <v>250268647.33333331</v>
      </c>
      <c r="AV96" s="359">
        <f t="shared" si="28"/>
        <v>256009292.48833328</v>
      </c>
      <c r="AW96" s="359"/>
      <c r="AX96" s="895" t="s">
        <v>830</v>
      </c>
    </row>
    <row r="97" spans="1:50" ht="90">
      <c r="A97" s="602" t="s">
        <v>1506</v>
      </c>
      <c r="B97" s="621" t="s">
        <v>1500</v>
      </c>
      <c r="C97" s="417">
        <v>10.1</v>
      </c>
      <c r="D97" s="511" t="s">
        <v>1287</v>
      </c>
      <c r="E97" s="419" t="s">
        <v>1288</v>
      </c>
      <c r="F97" s="491" t="s">
        <v>1289</v>
      </c>
      <c r="G97" s="731" t="str">
        <f t="shared" si="23"/>
        <v>10.1.1 Promoción de desarrollos tecnológicos del manejo de información que soporte la gestión ambiental con enfoque étnico</v>
      </c>
      <c r="H97" s="623" t="s">
        <v>1290</v>
      </c>
      <c r="I97" s="622" t="s">
        <v>836</v>
      </c>
      <c r="J97" s="623" t="s">
        <v>437</v>
      </c>
      <c r="K97" s="624" t="s">
        <v>1067</v>
      </c>
      <c r="L97" s="423">
        <v>2</v>
      </c>
      <c r="M97" s="423">
        <v>0</v>
      </c>
      <c r="N97" s="423">
        <v>2</v>
      </c>
      <c r="O97" s="423">
        <v>0</v>
      </c>
      <c r="P97" s="423">
        <v>0</v>
      </c>
      <c r="Q97" s="423" t="s">
        <v>847</v>
      </c>
      <c r="R97" s="860" t="s">
        <v>1806</v>
      </c>
      <c r="S97" s="458" t="s">
        <v>1789</v>
      </c>
      <c r="T97" s="853" t="s">
        <v>1157</v>
      </c>
      <c r="U97" s="459" t="s">
        <v>1291</v>
      </c>
      <c r="V97" s="923" t="s">
        <v>1292</v>
      </c>
      <c r="W97" s="967">
        <f>SUM(X97:X134)</f>
        <v>58505041905.295036</v>
      </c>
      <c r="X97" s="625">
        <f>SUM(Y97:Y99)</f>
        <v>3073482000</v>
      </c>
      <c r="Y97" s="350">
        <f t="shared" si="33"/>
        <v>600000000</v>
      </c>
      <c r="Z97" s="425">
        <v>0</v>
      </c>
      <c r="AA97" s="425">
        <v>400000000</v>
      </c>
      <c r="AB97" s="425">
        <v>100000000</v>
      </c>
      <c r="AC97" s="949">
        <v>100000000</v>
      </c>
      <c r="AD97" s="933"/>
      <c r="AE97" s="427"/>
      <c r="AF97" s="354">
        <f t="shared" si="30"/>
        <v>0</v>
      </c>
      <c r="AG97" s="428"/>
      <c r="AH97" s="355">
        <f t="shared" si="31"/>
        <v>0</v>
      </c>
      <c r="AI97" s="355">
        <f t="shared" si="31"/>
        <v>0</v>
      </c>
      <c r="AJ97" s="356">
        <f t="shared" si="31"/>
        <v>0</v>
      </c>
      <c r="AK97" s="354">
        <f t="shared" si="32"/>
        <v>0</v>
      </c>
      <c r="AL97" s="355"/>
      <c r="AM97" s="355"/>
      <c r="AN97" s="355"/>
      <c r="AO97" s="356"/>
      <c r="AP97" s="913">
        <f>SUM(AQ97:AQ134)</f>
        <v>87977102548.851089</v>
      </c>
      <c r="AQ97" s="625">
        <f>SUM(AR97:AR99)</f>
        <v>5072456810.9968567</v>
      </c>
      <c r="AR97" s="357">
        <f t="shared" si="24"/>
        <v>600000000</v>
      </c>
      <c r="AS97" s="358">
        <f t="shared" si="25"/>
        <v>0</v>
      </c>
      <c r="AT97" s="358">
        <f t="shared" si="26"/>
        <v>400000000</v>
      </c>
      <c r="AU97" s="358">
        <f t="shared" si="27"/>
        <v>100000000</v>
      </c>
      <c r="AV97" s="359">
        <f t="shared" si="28"/>
        <v>100000000</v>
      </c>
      <c r="AW97" s="359"/>
      <c r="AX97" s="897" t="s">
        <v>847</v>
      </c>
    </row>
    <row r="98" spans="1:50" ht="35.25" customHeight="1">
      <c r="A98" s="602" t="s">
        <v>1506</v>
      </c>
      <c r="B98" s="626" t="s">
        <v>1500</v>
      </c>
      <c r="C98" s="417">
        <v>10.1</v>
      </c>
      <c r="D98" s="377" t="s">
        <v>1287</v>
      </c>
      <c r="E98" s="343" t="s">
        <v>1293</v>
      </c>
      <c r="F98" s="373" t="s">
        <v>1294</v>
      </c>
      <c r="G98" s="696" t="str">
        <f t="shared" ref="G98:G129" si="37">CONCATENATE(E98," ",F98)</f>
        <v xml:space="preserve">10.1.2 Integración e interconexión de Sistemas de información </v>
      </c>
      <c r="H98" s="344" t="s">
        <v>1295</v>
      </c>
      <c r="I98" s="488" t="s">
        <v>836</v>
      </c>
      <c r="J98" s="344" t="s">
        <v>437</v>
      </c>
      <c r="K98" s="385" t="s">
        <v>1256</v>
      </c>
      <c r="L98" s="497">
        <v>1</v>
      </c>
      <c r="M98" s="497">
        <v>0.25</v>
      </c>
      <c r="N98" s="497">
        <v>0.5</v>
      </c>
      <c r="O98" s="497">
        <v>0.75</v>
      </c>
      <c r="P98" s="497">
        <v>1</v>
      </c>
      <c r="Q98" s="368" t="s">
        <v>830</v>
      </c>
      <c r="R98" s="860" t="s">
        <v>1806</v>
      </c>
      <c r="S98" s="386" t="s">
        <v>1789</v>
      </c>
      <c r="T98" s="849" t="s">
        <v>1157</v>
      </c>
      <c r="U98" s="387"/>
      <c r="V98" s="919"/>
      <c r="W98" s="967"/>
      <c r="X98" s="625"/>
      <c r="Y98" s="350">
        <f t="shared" si="33"/>
        <v>2423232000</v>
      </c>
      <c r="Z98" s="363">
        <f>(627214185-AG98)</f>
        <v>500000000</v>
      </c>
      <c r="AA98" s="363">
        <f>520000000+100000000</f>
        <v>620000000</v>
      </c>
      <c r="AB98" s="363">
        <f>540800000+100000000</f>
        <v>640800000</v>
      </c>
      <c r="AC98" s="943">
        <f>562432000+100000000</f>
        <v>662432000</v>
      </c>
      <c r="AD98" s="381" t="s">
        <v>1296</v>
      </c>
      <c r="AE98" s="353"/>
      <c r="AF98" s="354">
        <f t="shared" si="30"/>
        <v>556513209.12795997</v>
      </c>
      <c r="AG98" s="355">
        <v>127214185</v>
      </c>
      <c r="AH98" s="355">
        <f t="shared" si="31"/>
        <v>134847036.09999999</v>
      </c>
      <c r="AI98" s="355">
        <f t="shared" si="31"/>
        <v>142937858.266</v>
      </c>
      <c r="AJ98" s="356">
        <f t="shared" si="31"/>
        <v>151514129.76196</v>
      </c>
      <c r="AK98" s="354">
        <f t="shared" si="32"/>
        <v>0</v>
      </c>
      <c r="AL98" s="355"/>
      <c r="AM98" s="355"/>
      <c r="AN98" s="355"/>
      <c r="AO98" s="356"/>
      <c r="AP98" s="913"/>
      <c r="AQ98" s="625"/>
      <c r="AR98" s="357">
        <f t="shared" ref="AR98:AR129" si="38">Y98+AF98</f>
        <v>2979745209.1279602</v>
      </c>
      <c r="AS98" s="358">
        <f t="shared" ref="AS98:AS129" si="39">IFERROR(Z98+AG98,0)</f>
        <v>627214185</v>
      </c>
      <c r="AT98" s="358">
        <f t="shared" ref="AT98:AT129" si="40">IFERROR(AA98+AH98,0)</f>
        <v>754847036.10000002</v>
      </c>
      <c r="AU98" s="358">
        <f t="shared" ref="AU98:AU129" si="41">IFERROR(AB98+AI98,0)</f>
        <v>783737858.26600003</v>
      </c>
      <c r="AV98" s="359">
        <f t="shared" ref="AV98:AV129" si="42">IFERROR(AC98+AJ98,0)</f>
        <v>813946129.76196003</v>
      </c>
      <c r="AW98" s="359"/>
      <c r="AX98" s="883" t="s">
        <v>830</v>
      </c>
    </row>
    <row r="99" spans="1:50" ht="57" customHeight="1">
      <c r="A99" s="602" t="s">
        <v>1506</v>
      </c>
      <c r="B99" s="626" t="s">
        <v>1500</v>
      </c>
      <c r="C99" s="417">
        <v>10.1</v>
      </c>
      <c r="D99" s="377" t="s">
        <v>1287</v>
      </c>
      <c r="E99" s="343" t="s">
        <v>1297</v>
      </c>
      <c r="F99" s="373" t="s">
        <v>1298</v>
      </c>
      <c r="G99" s="696" t="str">
        <f t="shared" si="37"/>
        <v>10.1.3 Actualización y reporte de la información en el SIAC</v>
      </c>
      <c r="H99" s="344" t="s">
        <v>1299</v>
      </c>
      <c r="I99" s="488" t="s">
        <v>828</v>
      </c>
      <c r="J99" s="344" t="s">
        <v>845</v>
      </c>
      <c r="K99" s="385" t="s">
        <v>1300</v>
      </c>
      <c r="L99" s="497">
        <v>1</v>
      </c>
      <c r="M99" s="497">
        <v>0.9</v>
      </c>
      <c r="N99" s="497">
        <v>0.92</v>
      </c>
      <c r="O99" s="497">
        <v>0.95</v>
      </c>
      <c r="P99" s="497">
        <v>1</v>
      </c>
      <c r="Q99" s="368" t="s">
        <v>127</v>
      </c>
      <c r="R99" s="860" t="s">
        <v>1806</v>
      </c>
      <c r="S99" s="386" t="s">
        <v>1786</v>
      </c>
      <c r="T99" s="849" t="s">
        <v>1042</v>
      </c>
      <c r="U99" s="387"/>
      <c r="V99" s="919"/>
      <c r="W99" s="967"/>
      <c r="X99" s="627"/>
      <c r="Y99" s="350">
        <f t="shared" si="33"/>
        <v>50250000</v>
      </c>
      <c r="Z99" s="363">
        <f>(3350000*7.5)*2</f>
        <v>50250000</v>
      </c>
      <c r="AA99" s="363">
        <v>0</v>
      </c>
      <c r="AB99" s="363">
        <v>0</v>
      </c>
      <c r="AC99" s="943">
        <v>0</v>
      </c>
      <c r="AD99" s="381" t="s">
        <v>1301</v>
      </c>
      <c r="AE99" s="353"/>
      <c r="AF99" s="354">
        <f t="shared" si="30"/>
        <v>1442461601.8688962</v>
      </c>
      <c r="AG99" s="355">
        <f>63495906.8646978+58920139.9858099+59128360.8319608+50261465.5320033+97928577.0478818</f>
        <v>329734450.2623536</v>
      </c>
      <c r="AH99" s="355">
        <f t="shared" ref="AH99:AJ133" si="43">IFERROR(AG99*1.06,AG99)</f>
        <v>349518517.27809483</v>
      </c>
      <c r="AI99" s="355">
        <f t="shared" si="43"/>
        <v>370489628.31478053</v>
      </c>
      <c r="AJ99" s="356">
        <f t="shared" si="43"/>
        <v>392719006.0136674</v>
      </c>
      <c r="AK99" s="354">
        <f t="shared" si="32"/>
        <v>0</v>
      </c>
      <c r="AL99" s="355"/>
      <c r="AM99" s="355"/>
      <c r="AN99" s="355"/>
      <c r="AO99" s="356"/>
      <c r="AP99" s="913"/>
      <c r="AQ99" s="627"/>
      <c r="AR99" s="357">
        <f t="shared" si="38"/>
        <v>1492711601.8688962</v>
      </c>
      <c r="AS99" s="358">
        <f t="shared" si="39"/>
        <v>379984450.2623536</v>
      </c>
      <c r="AT99" s="358">
        <f t="shared" si="40"/>
        <v>349518517.27809483</v>
      </c>
      <c r="AU99" s="358">
        <f t="shared" si="41"/>
        <v>370489628.31478053</v>
      </c>
      <c r="AV99" s="359">
        <f t="shared" si="42"/>
        <v>392719006.0136674</v>
      </c>
      <c r="AW99" s="359"/>
      <c r="AX99" s="883" t="s">
        <v>127</v>
      </c>
    </row>
    <row r="100" spans="1:50" ht="63" customHeight="1">
      <c r="A100" s="602" t="s">
        <v>1506</v>
      </c>
      <c r="B100" s="626" t="s">
        <v>1500</v>
      </c>
      <c r="C100" s="341">
        <v>10.199999999999999</v>
      </c>
      <c r="D100" s="493" t="s">
        <v>1302</v>
      </c>
      <c r="E100" s="343" t="s">
        <v>1303</v>
      </c>
      <c r="F100" s="493" t="s">
        <v>1564</v>
      </c>
      <c r="G100" s="696" t="str">
        <f t="shared" si="37"/>
        <v>10.2.1 Formulación e implementación del Plan Anticorrupción y de Atención al Ciudadano</v>
      </c>
      <c r="H100" s="344" t="s">
        <v>1304</v>
      </c>
      <c r="I100" s="385" t="s">
        <v>828</v>
      </c>
      <c r="J100" s="344" t="s">
        <v>845</v>
      </c>
      <c r="K100" s="385" t="s">
        <v>1305</v>
      </c>
      <c r="L100" s="347">
        <v>1</v>
      </c>
      <c r="M100" s="347">
        <v>1</v>
      </c>
      <c r="N100" s="347">
        <v>1</v>
      </c>
      <c r="O100" s="347">
        <v>1</v>
      </c>
      <c r="P100" s="347">
        <v>1</v>
      </c>
      <c r="Q100" s="368" t="s">
        <v>1306</v>
      </c>
      <c r="R100" s="860" t="s">
        <v>1806</v>
      </c>
      <c r="S100" s="386" t="s">
        <v>1785</v>
      </c>
      <c r="T100" s="849" t="s">
        <v>1042</v>
      </c>
      <c r="U100" s="387"/>
      <c r="V100" s="919"/>
      <c r="W100" s="967"/>
      <c r="X100" s="628">
        <f>SUM(Y100:Y117)</f>
        <v>28483786381.076694</v>
      </c>
      <c r="Y100" s="350">
        <f t="shared" si="33"/>
        <v>60000000</v>
      </c>
      <c r="Z100" s="363">
        <v>0</v>
      </c>
      <c r="AA100" s="363">
        <v>30000000</v>
      </c>
      <c r="AB100" s="363">
        <v>0</v>
      </c>
      <c r="AC100" s="943">
        <v>30000000</v>
      </c>
      <c r="AD100" s="381" t="s">
        <v>1307</v>
      </c>
      <c r="AE100" s="353"/>
      <c r="AF100" s="354">
        <f t="shared" si="30"/>
        <v>257752987.10416377</v>
      </c>
      <c r="AG100" s="355">
        <v>58920139.9858099</v>
      </c>
      <c r="AH100" s="355">
        <f t="shared" si="43"/>
        <v>62455348.384958498</v>
      </c>
      <c r="AI100" s="355">
        <f t="shared" si="43"/>
        <v>66202669.288056009</v>
      </c>
      <c r="AJ100" s="356">
        <f t="shared" si="43"/>
        <v>70174829.445339367</v>
      </c>
      <c r="AK100" s="354">
        <f t="shared" si="32"/>
        <v>0</v>
      </c>
      <c r="AL100" s="355"/>
      <c r="AM100" s="355"/>
      <c r="AN100" s="355"/>
      <c r="AO100" s="356"/>
      <c r="AP100" s="913"/>
      <c r="AQ100" s="628">
        <f>SUM(AR100:AR117)</f>
        <v>42579618356.71727</v>
      </c>
      <c r="AR100" s="357">
        <f t="shared" si="38"/>
        <v>317752987.10416377</v>
      </c>
      <c r="AS100" s="358">
        <f t="shared" si="39"/>
        <v>58920139.9858099</v>
      </c>
      <c r="AT100" s="358">
        <f t="shared" si="40"/>
        <v>92455348.384958506</v>
      </c>
      <c r="AU100" s="358">
        <f t="shared" si="41"/>
        <v>66202669.288056009</v>
      </c>
      <c r="AV100" s="359">
        <f t="shared" si="42"/>
        <v>100174829.44533937</v>
      </c>
      <c r="AW100" s="359"/>
      <c r="AX100" s="883" t="s">
        <v>1306</v>
      </c>
    </row>
    <row r="101" spans="1:50" ht="60">
      <c r="A101" s="602" t="s">
        <v>1506</v>
      </c>
      <c r="B101" s="626" t="s">
        <v>1500</v>
      </c>
      <c r="C101" s="417">
        <v>10.199999999999999</v>
      </c>
      <c r="D101" s="377" t="s">
        <v>1302</v>
      </c>
      <c r="E101" s="343" t="s">
        <v>1308</v>
      </c>
      <c r="F101" s="431" t="s">
        <v>1309</v>
      </c>
      <c r="G101" s="696" t="str">
        <f t="shared" si="37"/>
        <v>10.2.2 Formulación e implementación del Plan Institucional de Archivos de la Entidad-PINAR</v>
      </c>
      <c r="H101" s="344" t="s">
        <v>1310</v>
      </c>
      <c r="I101" s="385" t="s">
        <v>828</v>
      </c>
      <c r="J101" s="344" t="s">
        <v>845</v>
      </c>
      <c r="K101" s="385" t="s">
        <v>1311</v>
      </c>
      <c r="L101" s="347">
        <v>1</v>
      </c>
      <c r="M101" s="347">
        <v>0.5</v>
      </c>
      <c r="N101" s="347">
        <v>0.7</v>
      </c>
      <c r="O101" s="347">
        <v>0.85</v>
      </c>
      <c r="P101" s="347">
        <v>1</v>
      </c>
      <c r="Q101" s="368" t="s">
        <v>1306</v>
      </c>
      <c r="R101" s="860" t="s">
        <v>1806</v>
      </c>
      <c r="S101" s="386" t="s">
        <v>1789</v>
      </c>
      <c r="T101" s="849" t="s">
        <v>1157</v>
      </c>
      <c r="U101" s="387"/>
      <c r="V101" s="919"/>
      <c r="W101" s="967"/>
      <c r="X101" s="629"/>
      <c r="Y101" s="350">
        <f t="shared" si="33"/>
        <v>794995854.82636809</v>
      </c>
      <c r="Z101" s="363">
        <v>69468587</v>
      </c>
      <c r="AA101" s="363">
        <f>72247330.48+166666667</f>
        <v>238913997.48000002</v>
      </c>
      <c r="AB101" s="363">
        <f>75137223.6992+166666667</f>
        <v>241803890.6992</v>
      </c>
      <c r="AC101" s="943">
        <f>78142712.647168+166666667</f>
        <v>244809379.64716798</v>
      </c>
      <c r="AD101" s="381" t="s">
        <v>1312</v>
      </c>
      <c r="AE101" s="353"/>
      <c r="AF101" s="354">
        <f t="shared" si="30"/>
        <v>1731246818.9051042</v>
      </c>
      <c r="AG101" s="355">
        <v>395748294</v>
      </c>
      <c r="AH101" s="355">
        <f t="shared" si="43"/>
        <v>419493191.64000005</v>
      </c>
      <c r="AI101" s="355">
        <f t="shared" si="43"/>
        <v>444662783.13840008</v>
      </c>
      <c r="AJ101" s="356">
        <f t="shared" si="43"/>
        <v>471342550.1267041</v>
      </c>
      <c r="AK101" s="354">
        <f t="shared" si="32"/>
        <v>0</v>
      </c>
      <c r="AL101" s="355"/>
      <c r="AM101" s="355"/>
      <c r="AN101" s="355"/>
      <c r="AO101" s="356"/>
      <c r="AP101" s="913"/>
      <c r="AQ101" s="629"/>
      <c r="AR101" s="357">
        <f t="shared" si="38"/>
        <v>2526242673.731472</v>
      </c>
      <c r="AS101" s="358">
        <f t="shared" si="39"/>
        <v>465216881</v>
      </c>
      <c r="AT101" s="358">
        <f t="shared" si="40"/>
        <v>658407189.12000012</v>
      </c>
      <c r="AU101" s="358">
        <f t="shared" si="41"/>
        <v>686466673.83760011</v>
      </c>
      <c r="AV101" s="359">
        <f t="shared" si="42"/>
        <v>716151929.77387214</v>
      </c>
      <c r="AW101" s="359"/>
      <c r="AX101" s="883" t="s">
        <v>1306</v>
      </c>
    </row>
    <row r="102" spans="1:50" ht="60">
      <c r="A102" s="602" t="s">
        <v>1506</v>
      </c>
      <c r="B102" s="626" t="s">
        <v>1500</v>
      </c>
      <c r="C102" s="417">
        <v>10.199999999999999</v>
      </c>
      <c r="D102" s="377" t="s">
        <v>1302</v>
      </c>
      <c r="E102" s="343" t="s">
        <v>1313</v>
      </c>
      <c r="F102" s="511" t="s">
        <v>1314</v>
      </c>
      <c r="G102" s="696" t="str">
        <f t="shared" si="37"/>
        <v>10.2.3 Formulación e implementación del Plan Anual de Adquisiciones</v>
      </c>
      <c r="H102" s="344" t="s">
        <v>1315</v>
      </c>
      <c r="I102" s="385" t="s">
        <v>867</v>
      </c>
      <c r="J102" s="344" t="s">
        <v>437</v>
      </c>
      <c r="K102" s="385" t="s">
        <v>846</v>
      </c>
      <c r="L102" s="347">
        <v>1</v>
      </c>
      <c r="M102" s="347">
        <v>1</v>
      </c>
      <c r="N102" s="347">
        <v>1</v>
      </c>
      <c r="O102" s="347">
        <v>1</v>
      </c>
      <c r="P102" s="347">
        <v>1</v>
      </c>
      <c r="Q102" s="368" t="s">
        <v>1306</v>
      </c>
      <c r="R102" s="860" t="s">
        <v>1806</v>
      </c>
      <c r="S102" s="386" t="s">
        <v>1789</v>
      </c>
      <c r="T102" s="849" t="s">
        <v>1157</v>
      </c>
      <c r="U102" s="387"/>
      <c r="V102" s="919"/>
      <c r="W102" s="967"/>
      <c r="X102" s="629"/>
      <c r="Y102" s="350">
        <f t="shared" si="33"/>
        <v>7519084538.7194901</v>
      </c>
      <c r="Z102" s="363">
        <v>1241758917</v>
      </c>
      <c r="AA102" s="363">
        <f>1291429273.68+656666667+92000000</f>
        <v>2040095940.6800001</v>
      </c>
      <c r="AB102" s="363">
        <f>1343086444.6272+656666667+92000000</f>
        <v>2091753111.6271999</v>
      </c>
      <c r="AC102" s="943">
        <f>1396809902.41229+656666667+92000000</f>
        <v>2145476569.4122901</v>
      </c>
      <c r="AD102" s="381" t="s">
        <v>1316</v>
      </c>
      <c r="AE102" s="353"/>
      <c r="AF102" s="354">
        <f t="shared" si="30"/>
        <v>3277053748.6879125</v>
      </c>
      <c r="AG102" s="355">
        <f>284216982+58920140+267784545+133454106+4730834</f>
        <v>749106607</v>
      </c>
      <c r="AH102" s="355">
        <f t="shared" si="43"/>
        <v>794053003.42000008</v>
      </c>
      <c r="AI102" s="355">
        <f t="shared" si="43"/>
        <v>841696183.62520015</v>
      </c>
      <c r="AJ102" s="356">
        <f t="shared" si="43"/>
        <v>892197954.64271224</v>
      </c>
      <c r="AK102" s="354">
        <f t="shared" si="32"/>
        <v>0</v>
      </c>
      <c r="AL102" s="355"/>
      <c r="AM102" s="355"/>
      <c r="AN102" s="355"/>
      <c r="AO102" s="356"/>
      <c r="AP102" s="913"/>
      <c r="AQ102" s="629"/>
      <c r="AR102" s="357">
        <f t="shared" si="38"/>
        <v>10796138287.407402</v>
      </c>
      <c r="AS102" s="358">
        <f t="shared" si="39"/>
        <v>1990865524</v>
      </c>
      <c r="AT102" s="358">
        <f t="shared" si="40"/>
        <v>2834148944.1000004</v>
      </c>
      <c r="AU102" s="358">
        <f t="shared" si="41"/>
        <v>2933449295.2523999</v>
      </c>
      <c r="AV102" s="359">
        <f t="shared" si="42"/>
        <v>3037674524.0550022</v>
      </c>
      <c r="AW102" s="359"/>
      <c r="AX102" s="883" t="s">
        <v>1306</v>
      </c>
    </row>
    <row r="103" spans="1:50" ht="45">
      <c r="A103" s="602" t="s">
        <v>1506</v>
      </c>
      <c r="B103" s="626" t="s">
        <v>1500</v>
      </c>
      <c r="C103" s="417">
        <v>10.199999999999999</v>
      </c>
      <c r="D103" s="377" t="s">
        <v>1302</v>
      </c>
      <c r="E103" s="343" t="s">
        <v>1317</v>
      </c>
      <c r="F103" s="373" t="s">
        <v>1318</v>
      </c>
      <c r="G103" s="696" t="str">
        <f t="shared" si="37"/>
        <v>10.2.4 Formulación e implementación del Plan Anual de Vacantes</v>
      </c>
      <c r="H103" s="344" t="s">
        <v>1319</v>
      </c>
      <c r="I103" s="385" t="s">
        <v>828</v>
      </c>
      <c r="J103" s="344" t="s">
        <v>845</v>
      </c>
      <c r="K103" s="385" t="s">
        <v>846</v>
      </c>
      <c r="L103" s="347">
        <v>1</v>
      </c>
      <c r="M103" s="347">
        <v>1</v>
      </c>
      <c r="N103" s="347">
        <v>1</v>
      </c>
      <c r="O103" s="347">
        <v>1</v>
      </c>
      <c r="P103" s="347">
        <v>1</v>
      </c>
      <c r="Q103" s="368" t="s">
        <v>1306</v>
      </c>
      <c r="R103" s="860" t="s">
        <v>1806</v>
      </c>
      <c r="S103" s="386" t="s">
        <v>1789</v>
      </c>
      <c r="T103" s="849" t="s">
        <v>1157</v>
      </c>
      <c r="U103" s="387"/>
      <c r="V103" s="919"/>
      <c r="W103" s="967"/>
      <c r="X103" s="629"/>
      <c r="Y103" s="350">
        <f t="shared" si="33"/>
        <v>356746102.34108436</v>
      </c>
      <c r="Z103" s="363">
        <v>84010155.824018374</v>
      </c>
      <c r="AA103" s="363">
        <f t="shared" ref="AA103:AC110" si="44">IFERROR(Z103*1.04,Z103)</f>
        <v>87370562.056979105</v>
      </c>
      <c r="AB103" s="363">
        <f t="shared" si="44"/>
        <v>90865384.539258271</v>
      </c>
      <c r="AC103" s="943">
        <f t="shared" si="44"/>
        <v>94499999.920828611</v>
      </c>
      <c r="AD103" s="381"/>
      <c r="AE103" s="353"/>
      <c r="AF103" s="354">
        <f t="shared" si="30"/>
        <v>244438179.19846004</v>
      </c>
      <c r="AG103" s="355">
        <v>55876488.175981626</v>
      </c>
      <c r="AH103" s="355">
        <f t="shared" si="43"/>
        <v>59229077.466540523</v>
      </c>
      <c r="AI103" s="355">
        <f t="shared" si="43"/>
        <v>62782822.114532955</v>
      </c>
      <c r="AJ103" s="356">
        <f t="shared" si="43"/>
        <v>66549791.441404939</v>
      </c>
      <c r="AK103" s="354">
        <f t="shared" si="32"/>
        <v>0</v>
      </c>
      <c r="AL103" s="355"/>
      <c r="AM103" s="355"/>
      <c r="AN103" s="355"/>
      <c r="AO103" s="356"/>
      <c r="AP103" s="913"/>
      <c r="AQ103" s="629"/>
      <c r="AR103" s="357">
        <f t="shared" si="38"/>
        <v>601184281.53954434</v>
      </c>
      <c r="AS103" s="358">
        <f t="shared" si="39"/>
        <v>139886644</v>
      </c>
      <c r="AT103" s="358">
        <f t="shared" si="40"/>
        <v>146599639.52351964</v>
      </c>
      <c r="AU103" s="358">
        <f t="shared" si="41"/>
        <v>153648206.65379122</v>
      </c>
      <c r="AV103" s="359">
        <f t="shared" si="42"/>
        <v>161049791.36223355</v>
      </c>
      <c r="AW103" s="359"/>
      <c r="AX103" s="883" t="s">
        <v>1306</v>
      </c>
    </row>
    <row r="104" spans="1:50" ht="45">
      <c r="A104" s="602" t="s">
        <v>1506</v>
      </c>
      <c r="B104" s="626" t="s">
        <v>1500</v>
      </c>
      <c r="C104" s="417">
        <v>10.199999999999999</v>
      </c>
      <c r="D104" s="377" t="s">
        <v>1302</v>
      </c>
      <c r="E104" s="343" t="s">
        <v>1320</v>
      </c>
      <c r="F104" s="344" t="s">
        <v>1321</v>
      </c>
      <c r="G104" s="696" t="str">
        <f t="shared" si="37"/>
        <v>10.2.5 Formulación e implementación del Plan de Previsión de Recursos Humanos</v>
      </c>
      <c r="H104" s="344" t="s">
        <v>1322</v>
      </c>
      <c r="I104" s="385" t="s">
        <v>828</v>
      </c>
      <c r="J104" s="344" t="s">
        <v>845</v>
      </c>
      <c r="K104" s="385" t="s">
        <v>1311</v>
      </c>
      <c r="L104" s="347">
        <v>1</v>
      </c>
      <c r="M104" s="347">
        <v>1</v>
      </c>
      <c r="N104" s="347">
        <v>1</v>
      </c>
      <c r="O104" s="347">
        <v>1</v>
      </c>
      <c r="P104" s="347">
        <v>1</v>
      </c>
      <c r="Q104" s="368" t="s">
        <v>1306</v>
      </c>
      <c r="R104" s="860" t="s">
        <v>1806</v>
      </c>
      <c r="S104" s="386" t="s">
        <v>1789</v>
      </c>
      <c r="T104" s="849" t="s">
        <v>1157</v>
      </c>
      <c r="U104" s="387"/>
      <c r="V104" s="919"/>
      <c r="W104" s="967"/>
      <c r="X104" s="629"/>
      <c r="Y104" s="350">
        <f t="shared" si="33"/>
        <v>714634308.90812421</v>
      </c>
      <c r="Z104" s="363">
        <v>168289265.82401836</v>
      </c>
      <c r="AA104" s="363">
        <f t="shared" si="44"/>
        <v>175020836.4569791</v>
      </c>
      <c r="AB104" s="363">
        <f t="shared" si="44"/>
        <v>182021669.91525826</v>
      </c>
      <c r="AC104" s="943">
        <f t="shared" si="44"/>
        <v>189302536.71186858</v>
      </c>
      <c r="AD104" s="381"/>
      <c r="AE104" s="353"/>
      <c r="AF104" s="354">
        <f t="shared" si="30"/>
        <v>244438179.19846004</v>
      </c>
      <c r="AG104" s="355">
        <v>55876488.175981626</v>
      </c>
      <c r="AH104" s="355">
        <f t="shared" si="43"/>
        <v>59229077.466540523</v>
      </c>
      <c r="AI104" s="355">
        <f t="shared" si="43"/>
        <v>62782822.114532955</v>
      </c>
      <c r="AJ104" s="356">
        <f t="shared" si="43"/>
        <v>66549791.441404939</v>
      </c>
      <c r="AK104" s="354">
        <f t="shared" si="32"/>
        <v>0</v>
      </c>
      <c r="AL104" s="355"/>
      <c r="AM104" s="355"/>
      <c r="AN104" s="355"/>
      <c r="AO104" s="356"/>
      <c r="AP104" s="913"/>
      <c r="AQ104" s="629"/>
      <c r="AR104" s="357">
        <f t="shared" si="38"/>
        <v>959072488.10658431</v>
      </c>
      <c r="AS104" s="358">
        <f t="shared" si="39"/>
        <v>224165754</v>
      </c>
      <c r="AT104" s="358">
        <f t="shared" si="40"/>
        <v>234249913.92351961</v>
      </c>
      <c r="AU104" s="358">
        <f t="shared" si="41"/>
        <v>244804492.02979121</v>
      </c>
      <c r="AV104" s="359">
        <f t="shared" si="42"/>
        <v>255852328.15327352</v>
      </c>
      <c r="AW104" s="359"/>
      <c r="AX104" s="883" t="s">
        <v>1306</v>
      </c>
    </row>
    <row r="105" spans="1:50" ht="45">
      <c r="A105" s="602" t="s">
        <v>1506</v>
      </c>
      <c r="B105" s="626" t="s">
        <v>1500</v>
      </c>
      <c r="C105" s="417">
        <v>10.199999999999999</v>
      </c>
      <c r="D105" s="377" t="s">
        <v>1302</v>
      </c>
      <c r="E105" s="343" t="s">
        <v>1323</v>
      </c>
      <c r="F105" s="344" t="s">
        <v>1324</v>
      </c>
      <c r="G105" s="696" t="str">
        <f t="shared" si="37"/>
        <v>10.2.6 Formulación e implementación del Plan Estratégico de Talento Humano</v>
      </c>
      <c r="H105" s="344" t="s">
        <v>1325</v>
      </c>
      <c r="I105" s="385" t="s">
        <v>828</v>
      </c>
      <c r="J105" s="344" t="s">
        <v>845</v>
      </c>
      <c r="K105" s="385" t="s">
        <v>1311</v>
      </c>
      <c r="L105" s="347">
        <v>1</v>
      </c>
      <c r="M105" s="347">
        <v>1</v>
      </c>
      <c r="N105" s="347">
        <v>1</v>
      </c>
      <c r="O105" s="347">
        <v>1</v>
      </c>
      <c r="P105" s="347">
        <v>1</v>
      </c>
      <c r="Q105" s="368" t="s">
        <v>1306</v>
      </c>
      <c r="R105" s="860" t="s">
        <v>1806</v>
      </c>
      <c r="S105" s="386" t="s">
        <v>1789</v>
      </c>
      <c r="T105" s="849" t="s">
        <v>1157</v>
      </c>
      <c r="U105" s="387"/>
      <c r="V105" s="919"/>
      <c r="W105" s="967"/>
      <c r="X105" s="629"/>
      <c r="Y105" s="350">
        <f t="shared" si="33"/>
        <v>838744085.84041238</v>
      </c>
      <c r="Z105" s="363">
        <v>197515882.82401836</v>
      </c>
      <c r="AA105" s="363">
        <f t="shared" si="44"/>
        <v>205416518.1369791</v>
      </c>
      <c r="AB105" s="363">
        <f t="shared" si="44"/>
        <v>213633178.86245829</v>
      </c>
      <c r="AC105" s="943">
        <f t="shared" si="44"/>
        <v>222178506.01695663</v>
      </c>
      <c r="AD105" s="381"/>
      <c r="AE105" s="353"/>
      <c r="AF105" s="354">
        <f t="shared" si="30"/>
        <v>244438179.19846004</v>
      </c>
      <c r="AG105" s="355">
        <v>55876488.175981626</v>
      </c>
      <c r="AH105" s="355">
        <f t="shared" si="43"/>
        <v>59229077.466540523</v>
      </c>
      <c r="AI105" s="355">
        <f t="shared" si="43"/>
        <v>62782822.114532955</v>
      </c>
      <c r="AJ105" s="356">
        <f t="shared" si="43"/>
        <v>66549791.441404939</v>
      </c>
      <c r="AK105" s="354">
        <f t="shared" si="32"/>
        <v>0</v>
      </c>
      <c r="AL105" s="355"/>
      <c r="AM105" s="355"/>
      <c r="AN105" s="355"/>
      <c r="AO105" s="356"/>
      <c r="AP105" s="913"/>
      <c r="AQ105" s="629"/>
      <c r="AR105" s="357">
        <f t="shared" si="38"/>
        <v>1083182265.0388725</v>
      </c>
      <c r="AS105" s="358">
        <f t="shared" si="39"/>
        <v>253392371</v>
      </c>
      <c r="AT105" s="358">
        <f t="shared" si="40"/>
        <v>264645595.60351962</v>
      </c>
      <c r="AU105" s="358">
        <f t="shared" si="41"/>
        <v>276416000.97699124</v>
      </c>
      <c r="AV105" s="359">
        <f t="shared" si="42"/>
        <v>288728297.45836157</v>
      </c>
      <c r="AW105" s="359"/>
      <c r="AX105" s="883" t="s">
        <v>1306</v>
      </c>
    </row>
    <row r="106" spans="1:50" ht="45">
      <c r="A106" s="602" t="s">
        <v>1506</v>
      </c>
      <c r="B106" s="626" t="s">
        <v>1500</v>
      </c>
      <c r="C106" s="417">
        <v>10.199999999999999</v>
      </c>
      <c r="D106" s="377" t="s">
        <v>1302</v>
      </c>
      <c r="E106" s="343" t="s">
        <v>1326</v>
      </c>
      <c r="F106" s="373" t="s">
        <v>1327</v>
      </c>
      <c r="G106" s="696" t="str">
        <f t="shared" si="37"/>
        <v>10.2.7 Formulación e implementación del Plan Institucional de Capacitación</v>
      </c>
      <c r="H106" s="344" t="s">
        <v>1328</v>
      </c>
      <c r="I106" s="385" t="s">
        <v>828</v>
      </c>
      <c r="J106" s="344" t="s">
        <v>845</v>
      </c>
      <c r="K106" s="385" t="s">
        <v>846</v>
      </c>
      <c r="L106" s="347">
        <v>1</v>
      </c>
      <c r="M106" s="347">
        <v>1</v>
      </c>
      <c r="N106" s="347">
        <v>1</v>
      </c>
      <c r="O106" s="347">
        <v>1</v>
      </c>
      <c r="P106" s="347">
        <v>1</v>
      </c>
      <c r="Q106" s="368" t="s">
        <v>1306</v>
      </c>
      <c r="R106" s="860" t="s">
        <v>1806</v>
      </c>
      <c r="S106" s="386" t="s">
        <v>1789</v>
      </c>
      <c r="T106" s="849" t="s">
        <v>1157</v>
      </c>
      <c r="U106" s="387"/>
      <c r="V106" s="919"/>
      <c r="W106" s="967"/>
      <c r="X106" s="629"/>
      <c r="Y106" s="350">
        <f t="shared" si="33"/>
        <v>549209830.18057251</v>
      </c>
      <c r="Z106" s="363">
        <v>129333447.82401837</v>
      </c>
      <c r="AA106" s="363">
        <f t="shared" si="44"/>
        <v>134506785.73697913</v>
      </c>
      <c r="AB106" s="363">
        <f t="shared" si="44"/>
        <v>139887057.16645831</v>
      </c>
      <c r="AC106" s="943">
        <f t="shared" si="44"/>
        <v>145482539.45311666</v>
      </c>
      <c r="AD106" s="381"/>
      <c r="AE106" s="353"/>
      <c r="AF106" s="354">
        <f t="shared" si="30"/>
        <v>244438179.19846004</v>
      </c>
      <c r="AG106" s="355">
        <v>55876488.175981626</v>
      </c>
      <c r="AH106" s="355">
        <f t="shared" si="43"/>
        <v>59229077.466540523</v>
      </c>
      <c r="AI106" s="355">
        <f t="shared" si="43"/>
        <v>62782822.114532955</v>
      </c>
      <c r="AJ106" s="356">
        <f t="shared" si="43"/>
        <v>66549791.441404939</v>
      </c>
      <c r="AK106" s="354">
        <f t="shared" si="32"/>
        <v>0</v>
      </c>
      <c r="AL106" s="355"/>
      <c r="AM106" s="355"/>
      <c r="AN106" s="355"/>
      <c r="AO106" s="356"/>
      <c r="AP106" s="913"/>
      <c r="AQ106" s="629"/>
      <c r="AR106" s="357">
        <f t="shared" si="38"/>
        <v>793648009.37903261</v>
      </c>
      <c r="AS106" s="358">
        <f t="shared" si="39"/>
        <v>185209936</v>
      </c>
      <c r="AT106" s="358">
        <f t="shared" si="40"/>
        <v>193735863.20351964</v>
      </c>
      <c r="AU106" s="358">
        <f t="shared" si="41"/>
        <v>202669879.28099126</v>
      </c>
      <c r="AV106" s="359">
        <f t="shared" si="42"/>
        <v>212032330.89452159</v>
      </c>
      <c r="AW106" s="359"/>
      <c r="AX106" s="883" t="s">
        <v>1306</v>
      </c>
    </row>
    <row r="107" spans="1:50" ht="45">
      <c r="A107" s="602" t="s">
        <v>1506</v>
      </c>
      <c r="B107" s="626" t="s">
        <v>1500</v>
      </c>
      <c r="C107" s="417">
        <v>10.199999999999999</v>
      </c>
      <c r="D107" s="377" t="s">
        <v>1302</v>
      </c>
      <c r="E107" s="343" t="s">
        <v>1329</v>
      </c>
      <c r="F107" s="511" t="s">
        <v>1330</v>
      </c>
      <c r="G107" s="696" t="str">
        <f t="shared" si="37"/>
        <v>10.2.8 Formulación e implementación del Plan de Bienestar Laboral</v>
      </c>
      <c r="H107" s="344" t="s">
        <v>1331</v>
      </c>
      <c r="I107" s="385" t="s">
        <v>836</v>
      </c>
      <c r="J107" s="344" t="s">
        <v>437</v>
      </c>
      <c r="K107" s="385" t="s">
        <v>846</v>
      </c>
      <c r="L107" s="347">
        <v>1</v>
      </c>
      <c r="M107" s="347">
        <v>1</v>
      </c>
      <c r="N107" s="347">
        <v>1</v>
      </c>
      <c r="O107" s="347">
        <v>1</v>
      </c>
      <c r="P107" s="347">
        <v>1</v>
      </c>
      <c r="Q107" s="368" t="s">
        <v>1332</v>
      </c>
      <c r="R107" s="860" t="s">
        <v>1806</v>
      </c>
      <c r="S107" s="386" t="s">
        <v>1789</v>
      </c>
      <c r="T107" s="849" t="s">
        <v>1157</v>
      </c>
      <c r="U107" s="387"/>
      <c r="V107" s="919"/>
      <c r="W107" s="967"/>
      <c r="X107" s="629"/>
      <c r="Y107" s="350">
        <f t="shared" si="33"/>
        <v>2291792130.6948128</v>
      </c>
      <c r="Z107" s="363">
        <v>539694232.82401836</v>
      </c>
      <c r="AA107" s="363">
        <f t="shared" si="44"/>
        <v>561282002.1369791</v>
      </c>
      <c r="AB107" s="363">
        <f t="shared" si="44"/>
        <v>583733282.22245824</v>
      </c>
      <c r="AC107" s="943">
        <f t="shared" si="44"/>
        <v>607082613.51135659</v>
      </c>
      <c r="AD107" s="381"/>
      <c r="AE107" s="353"/>
      <c r="AF107" s="354">
        <f t="shared" si="30"/>
        <v>244438179.19846004</v>
      </c>
      <c r="AG107" s="355">
        <v>55876488.175981626</v>
      </c>
      <c r="AH107" s="355">
        <f t="shared" si="43"/>
        <v>59229077.466540523</v>
      </c>
      <c r="AI107" s="355">
        <f t="shared" si="43"/>
        <v>62782822.114532955</v>
      </c>
      <c r="AJ107" s="356">
        <f t="shared" si="43"/>
        <v>66549791.441404939</v>
      </c>
      <c r="AK107" s="354">
        <f t="shared" si="32"/>
        <v>0</v>
      </c>
      <c r="AL107" s="355"/>
      <c r="AM107" s="355"/>
      <c r="AN107" s="355"/>
      <c r="AO107" s="356"/>
      <c r="AP107" s="913"/>
      <c r="AQ107" s="629"/>
      <c r="AR107" s="357">
        <f t="shared" si="38"/>
        <v>2536230309.8932729</v>
      </c>
      <c r="AS107" s="358">
        <f t="shared" si="39"/>
        <v>595570721</v>
      </c>
      <c r="AT107" s="358">
        <f t="shared" si="40"/>
        <v>620511079.60351968</v>
      </c>
      <c r="AU107" s="358">
        <f t="shared" si="41"/>
        <v>646516104.33699119</v>
      </c>
      <c r="AV107" s="359">
        <f t="shared" si="42"/>
        <v>673632404.95276153</v>
      </c>
      <c r="AW107" s="359"/>
      <c r="AX107" s="883" t="s">
        <v>1332</v>
      </c>
    </row>
    <row r="108" spans="1:50" ht="45">
      <c r="A108" s="602" t="s">
        <v>1506</v>
      </c>
      <c r="B108" s="626" t="s">
        <v>1500</v>
      </c>
      <c r="C108" s="417">
        <v>10.199999999999999</v>
      </c>
      <c r="D108" s="377" t="s">
        <v>1302</v>
      </c>
      <c r="E108" s="343" t="s">
        <v>1333</v>
      </c>
      <c r="F108" s="373" t="s">
        <v>1334</v>
      </c>
      <c r="G108" s="696" t="str">
        <f t="shared" si="37"/>
        <v>10.2.9 Formulación e implementación del Plan de Incentivos Institucionales</v>
      </c>
      <c r="H108" s="344" t="s">
        <v>1335</v>
      </c>
      <c r="I108" s="385" t="s">
        <v>836</v>
      </c>
      <c r="J108" s="344" t="s">
        <v>437</v>
      </c>
      <c r="K108" s="385" t="s">
        <v>846</v>
      </c>
      <c r="L108" s="347">
        <v>1</v>
      </c>
      <c r="M108" s="347">
        <v>1</v>
      </c>
      <c r="N108" s="347">
        <v>1</v>
      </c>
      <c r="O108" s="347">
        <v>1</v>
      </c>
      <c r="P108" s="347">
        <v>1</v>
      </c>
      <c r="Q108" s="368" t="s">
        <v>1306</v>
      </c>
      <c r="R108" s="860" t="s">
        <v>1806</v>
      </c>
      <c r="S108" s="386" t="s">
        <v>1789</v>
      </c>
      <c r="T108" s="849" t="s">
        <v>1157</v>
      </c>
      <c r="U108" s="387"/>
      <c r="V108" s="919"/>
      <c r="W108" s="967"/>
      <c r="X108" s="629"/>
      <c r="Y108" s="350">
        <f t="shared" si="33"/>
        <v>195667051.45705235</v>
      </c>
      <c r="Z108" s="363">
        <v>46077642.824018374</v>
      </c>
      <c r="AA108" s="363">
        <f t="shared" si="44"/>
        <v>47920748.536979109</v>
      </c>
      <c r="AB108" s="363">
        <f t="shared" si="44"/>
        <v>49837578.478458278</v>
      </c>
      <c r="AC108" s="943">
        <f t="shared" si="44"/>
        <v>51831081.617596611</v>
      </c>
      <c r="AD108" s="381"/>
      <c r="AE108" s="353"/>
      <c r="AF108" s="354">
        <f t="shared" si="30"/>
        <v>244438179.19846004</v>
      </c>
      <c r="AG108" s="355">
        <v>55876488.175981626</v>
      </c>
      <c r="AH108" s="355">
        <f t="shared" si="43"/>
        <v>59229077.466540523</v>
      </c>
      <c r="AI108" s="355">
        <f t="shared" si="43"/>
        <v>62782822.114532955</v>
      </c>
      <c r="AJ108" s="356">
        <f t="shared" si="43"/>
        <v>66549791.441404939</v>
      </c>
      <c r="AK108" s="354">
        <f t="shared" si="32"/>
        <v>0</v>
      </c>
      <c r="AL108" s="355"/>
      <c r="AM108" s="355"/>
      <c r="AN108" s="355"/>
      <c r="AO108" s="356"/>
      <c r="AP108" s="913"/>
      <c r="AQ108" s="629"/>
      <c r="AR108" s="357">
        <f t="shared" si="38"/>
        <v>440105230.65551239</v>
      </c>
      <c r="AS108" s="358">
        <f t="shared" si="39"/>
        <v>101954131</v>
      </c>
      <c r="AT108" s="358">
        <f t="shared" si="40"/>
        <v>107149826.00351962</v>
      </c>
      <c r="AU108" s="358">
        <f t="shared" si="41"/>
        <v>112620400.59299123</v>
      </c>
      <c r="AV108" s="359">
        <f t="shared" si="42"/>
        <v>118380873.05900155</v>
      </c>
      <c r="AW108" s="359"/>
      <c r="AX108" s="883" t="s">
        <v>1306</v>
      </c>
    </row>
    <row r="109" spans="1:50" ht="75">
      <c r="A109" s="602" t="s">
        <v>1506</v>
      </c>
      <c r="B109" s="626" t="s">
        <v>1500</v>
      </c>
      <c r="C109" s="417">
        <v>10.199999999999999</v>
      </c>
      <c r="D109" s="377" t="s">
        <v>1302</v>
      </c>
      <c r="E109" s="343" t="s">
        <v>1336</v>
      </c>
      <c r="F109" s="373" t="s">
        <v>1337</v>
      </c>
      <c r="G109" s="696" t="str">
        <f t="shared" si="37"/>
        <v>10.2.10 Formulación e implementación del Plan de Trabajo Anual en Seguridad y Salud en el Trabajo articulado con el SGI</v>
      </c>
      <c r="H109" s="344" t="s">
        <v>1338</v>
      </c>
      <c r="I109" s="385" t="s">
        <v>836</v>
      </c>
      <c r="J109" s="344" t="s">
        <v>437</v>
      </c>
      <c r="K109" s="385" t="s">
        <v>846</v>
      </c>
      <c r="L109" s="347">
        <v>1</v>
      </c>
      <c r="M109" s="347">
        <v>1</v>
      </c>
      <c r="N109" s="347">
        <v>1</v>
      </c>
      <c r="O109" s="347">
        <v>1</v>
      </c>
      <c r="P109" s="347">
        <v>1</v>
      </c>
      <c r="Q109" s="368" t="s">
        <v>1306</v>
      </c>
      <c r="R109" s="860" t="s">
        <v>1806</v>
      </c>
      <c r="S109" s="386" t="s">
        <v>1789</v>
      </c>
      <c r="T109" s="849" t="s">
        <v>1157</v>
      </c>
      <c r="U109" s="387"/>
      <c r="V109" s="919"/>
      <c r="W109" s="967"/>
      <c r="X109" s="629"/>
      <c r="Y109" s="350">
        <f t="shared" si="33"/>
        <v>240679569.85705236</v>
      </c>
      <c r="Z109" s="363">
        <v>56677642.824018374</v>
      </c>
      <c r="AA109" s="363">
        <f t="shared" si="44"/>
        <v>58944748.536979109</v>
      </c>
      <c r="AB109" s="363">
        <f t="shared" si="44"/>
        <v>61302538.478458278</v>
      </c>
      <c r="AC109" s="943">
        <f t="shared" si="44"/>
        <v>63754640.01759661</v>
      </c>
      <c r="AD109" s="381"/>
      <c r="AE109" s="353"/>
      <c r="AF109" s="354">
        <f t="shared" si="30"/>
        <v>244438179.19846004</v>
      </c>
      <c r="AG109" s="355">
        <v>55876488.175981626</v>
      </c>
      <c r="AH109" s="355">
        <f t="shared" si="43"/>
        <v>59229077.466540523</v>
      </c>
      <c r="AI109" s="355">
        <f t="shared" si="43"/>
        <v>62782822.114532955</v>
      </c>
      <c r="AJ109" s="356">
        <f t="shared" si="43"/>
        <v>66549791.441404939</v>
      </c>
      <c r="AK109" s="354">
        <f t="shared" si="32"/>
        <v>0</v>
      </c>
      <c r="AL109" s="355"/>
      <c r="AM109" s="355"/>
      <c r="AN109" s="355"/>
      <c r="AO109" s="356"/>
      <c r="AP109" s="913"/>
      <c r="AQ109" s="629"/>
      <c r="AR109" s="357">
        <f t="shared" si="38"/>
        <v>485117749.05551243</v>
      </c>
      <c r="AS109" s="358">
        <f t="shared" si="39"/>
        <v>112554131</v>
      </c>
      <c r="AT109" s="358">
        <f t="shared" si="40"/>
        <v>118173826.00351962</v>
      </c>
      <c r="AU109" s="358">
        <f t="shared" si="41"/>
        <v>124085360.59299123</v>
      </c>
      <c r="AV109" s="359">
        <f t="shared" si="42"/>
        <v>130304431.45900154</v>
      </c>
      <c r="AW109" s="359"/>
      <c r="AX109" s="883" t="s">
        <v>1306</v>
      </c>
    </row>
    <row r="110" spans="1:50" ht="75">
      <c r="A110" s="602" t="s">
        <v>1506</v>
      </c>
      <c r="B110" s="626" t="s">
        <v>1500</v>
      </c>
      <c r="C110" s="417">
        <v>10.199999999999999</v>
      </c>
      <c r="D110" s="377" t="s">
        <v>1302</v>
      </c>
      <c r="E110" s="343" t="s">
        <v>1339</v>
      </c>
      <c r="F110" s="431" t="s">
        <v>1340</v>
      </c>
      <c r="G110" s="696" t="str">
        <f t="shared" si="37"/>
        <v>10.2.11 Formulación e implementación del Plan Estratégico de Tecnologías de la Información y las Comunicaciones-PETIC</v>
      </c>
      <c r="H110" s="344" t="s">
        <v>1341</v>
      </c>
      <c r="I110" s="385" t="s">
        <v>836</v>
      </c>
      <c r="J110" s="344" t="s">
        <v>437</v>
      </c>
      <c r="K110" s="385" t="s">
        <v>846</v>
      </c>
      <c r="L110" s="347">
        <v>0.9</v>
      </c>
      <c r="M110" s="347">
        <v>0.5</v>
      </c>
      <c r="N110" s="347">
        <v>0.7</v>
      </c>
      <c r="O110" s="347">
        <v>0.8</v>
      </c>
      <c r="P110" s="347">
        <v>0.9</v>
      </c>
      <c r="Q110" s="368" t="s">
        <v>1306</v>
      </c>
      <c r="R110" s="860" t="s">
        <v>1806</v>
      </c>
      <c r="S110" s="386" t="s">
        <v>1789</v>
      </c>
      <c r="T110" s="849" t="s">
        <v>1157</v>
      </c>
      <c r="U110" s="387"/>
      <c r="V110" s="919"/>
      <c r="W110" s="967"/>
      <c r="X110" s="629"/>
      <c r="Y110" s="350">
        <f t="shared" si="33"/>
        <v>12350987463.161472</v>
      </c>
      <c r="Z110" s="363">
        <v>2908534598</v>
      </c>
      <c r="AA110" s="363">
        <f t="shared" si="44"/>
        <v>3024875981.9200001</v>
      </c>
      <c r="AB110" s="363">
        <f t="shared" si="44"/>
        <v>3145871021.1968002</v>
      </c>
      <c r="AC110" s="943">
        <f t="shared" si="44"/>
        <v>3271705862.0446725</v>
      </c>
      <c r="AD110" s="381"/>
      <c r="AE110" s="353"/>
      <c r="AF110" s="354">
        <f t="shared" si="30"/>
        <v>698936138.61668015</v>
      </c>
      <c r="AG110" s="355">
        <v>159770855</v>
      </c>
      <c r="AH110" s="355">
        <f t="shared" si="43"/>
        <v>169357106.30000001</v>
      </c>
      <c r="AI110" s="355">
        <f t="shared" si="43"/>
        <v>179518532.67800003</v>
      </c>
      <c r="AJ110" s="356">
        <f t="shared" si="43"/>
        <v>190289644.63868004</v>
      </c>
      <c r="AK110" s="354">
        <f t="shared" si="32"/>
        <v>0</v>
      </c>
      <c r="AL110" s="355"/>
      <c r="AM110" s="355"/>
      <c r="AN110" s="355"/>
      <c r="AO110" s="356"/>
      <c r="AP110" s="913"/>
      <c r="AQ110" s="629"/>
      <c r="AR110" s="357">
        <f t="shared" si="38"/>
        <v>13049923601.778152</v>
      </c>
      <c r="AS110" s="358">
        <f t="shared" si="39"/>
        <v>3068305453</v>
      </c>
      <c r="AT110" s="358">
        <f t="shared" si="40"/>
        <v>3194233088.2200003</v>
      </c>
      <c r="AU110" s="358">
        <f t="shared" si="41"/>
        <v>3325389553.8748002</v>
      </c>
      <c r="AV110" s="359">
        <f t="shared" si="42"/>
        <v>3461995506.6833525</v>
      </c>
      <c r="AW110" s="359"/>
      <c r="AX110" s="883" t="s">
        <v>1306</v>
      </c>
    </row>
    <row r="111" spans="1:50" ht="45">
      <c r="A111" s="602" t="s">
        <v>1506</v>
      </c>
      <c r="B111" s="626" t="s">
        <v>1500</v>
      </c>
      <c r="C111" s="417">
        <v>10.199999999999999</v>
      </c>
      <c r="D111" s="377" t="s">
        <v>1302</v>
      </c>
      <c r="E111" s="343" t="s">
        <v>1342</v>
      </c>
      <c r="F111" s="431" t="s">
        <v>1343</v>
      </c>
      <c r="G111" s="696" t="str">
        <f t="shared" si="37"/>
        <v>10.2.12 Formulación e implementación del Plan maestro de infraestructura física</v>
      </c>
      <c r="H111" s="344" t="s">
        <v>1344</v>
      </c>
      <c r="I111" s="385" t="s">
        <v>828</v>
      </c>
      <c r="J111" s="344" t="s">
        <v>845</v>
      </c>
      <c r="K111" s="385" t="s">
        <v>846</v>
      </c>
      <c r="L111" s="347">
        <v>0.9</v>
      </c>
      <c r="M111" s="347">
        <v>0.5</v>
      </c>
      <c r="N111" s="347">
        <v>0.7</v>
      </c>
      <c r="O111" s="347">
        <v>0.8</v>
      </c>
      <c r="P111" s="347">
        <v>0.9</v>
      </c>
      <c r="Q111" s="368" t="s">
        <v>830</v>
      </c>
      <c r="R111" s="860" t="s">
        <v>1806</v>
      </c>
      <c r="S111" s="386" t="s">
        <v>1789</v>
      </c>
      <c r="T111" s="849" t="s">
        <v>1157</v>
      </c>
      <c r="U111" s="387"/>
      <c r="V111" s="919"/>
      <c r="W111" s="967"/>
      <c r="X111" s="629"/>
      <c r="Y111" s="350">
        <f t="shared" si="33"/>
        <v>1574813418.9404161</v>
      </c>
      <c r="Z111" s="363">
        <v>165976544</v>
      </c>
      <c r="AA111" s="363">
        <f>172615605.76+290000000</f>
        <v>462615605.75999999</v>
      </c>
      <c r="AB111" s="363">
        <f>179520229.9904+290000000</f>
        <v>469520229.99039996</v>
      </c>
      <c r="AC111" s="943">
        <f>186701039.190016+290000000</f>
        <v>476701039.19001603</v>
      </c>
      <c r="AD111" s="381" t="s">
        <v>1345</v>
      </c>
      <c r="AE111" s="353"/>
      <c r="AF111" s="354">
        <f t="shared" si="30"/>
        <v>332135186.71124804</v>
      </c>
      <c r="AG111" s="355">
        <v>75923278</v>
      </c>
      <c r="AH111" s="355">
        <f t="shared" si="43"/>
        <v>80478674.680000007</v>
      </c>
      <c r="AI111" s="355">
        <f t="shared" si="43"/>
        <v>85307395.16080001</v>
      </c>
      <c r="AJ111" s="356">
        <f t="shared" si="43"/>
        <v>90425838.870448008</v>
      </c>
      <c r="AK111" s="354">
        <f t="shared" si="32"/>
        <v>0</v>
      </c>
      <c r="AL111" s="355"/>
      <c r="AM111" s="355"/>
      <c r="AN111" s="355"/>
      <c r="AO111" s="356"/>
      <c r="AP111" s="913"/>
      <c r="AQ111" s="629"/>
      <c r="AR111" s="357">
        <f t="shared" si="38"/>
        <v>1906948605.6516643</v>
      </c>
      <c r="AS111" s="358">
        <f t="shared" si="39"/>
        <v>241899822</v>
      </c>
      <c r="AT111" s="358">
        <f t="shared" si="40"/>
        <v>543094280.44000006</v>
      </c>
      <c r="AU111" s="358">
        <f t="shared" si="41"/>
        <v>554827625.15119994</v>
      </c>
      <c r="AV111" s="359">
        <f t="shared" si="42"/>
        <v>567126878.06046402</v>
      </c>
      <c r="AW111" s="359"/>
      <c r="AX111" s="883" t="s">
        <v>830</v>
      </c>
    </row>
    <row r="112" spans="1:50" ht="72">
      <c r="A112" s="602" t="s">
        <v>1506</v>
      </c>
      <c r="B112" s="626" t="s">
        <v>1500</v>
      </c>
      <c r="C112" s="417">
        <v>10.199999999999999</v>
      </c>
      <c r="D112" s="377" t="s">
        <v>1302</v>
      </c>
      <c r="E112" s="343" t="s">
        <v>1346</v>
      </c>
      <c r="F112" s="511" t="s">
        <v>1565</v>
      </c>
      <c r="G112" s="696" t="str">
        <f t="shared" si="37"/>
        <v>10.2.13 Representación judicial de la Corporación</v>
      </c>
      <c r="H112" s="344" t="s">
        <v>1566</v>
      </c>
      <c r="I112" s="385" t="s">
        <v>836</v>
      </c>
      <c r="J112" s="344" t="s">
        <v>437</v>
      </c>
      <c r="K112" s="385" t="s">
        <v>846</v>
      </c>
      <c r="L112" s="347">
        <v>1</v>
      </c>
      <c r="M112" s="347">
        <v>1</v>
      </c>
      <c r="N112" s="347">
        <v>1</v>
      </c>
      <c r="O112" s="347">
        <v>1</v>
      </c>
      <c r="P112" s="347">
        <v>1</v>
      </c>
      <c r="Q112" s="368" t="s">
        <v>975</v>
      </c>
      <c r="R112" s="860" t="s">
        <v>1806</v>
      </c>
      <c r="S112" s="386" t="s">
        <v>1789</v>
      </c>
      <c r="T112" s="849" t="s">
        <v>1348</v>
      </c>
      <c r="U112" s="387"/>
      <c r="V112" s="919"/>
      <c r="W112" s="967"/>
      <c r="X112" s="629"/>
      <c r="Y112" s="350">
        <f t="shared" si="33"/>
        <v>432944546.94278395</v>
      </c>
      <c r="Z112" s="363">
        <v>101954131</v>
      </c>
      <c r="AA112" s="363">
        <v>106032296.23999999</v>
      </c>
      <c r="AB112" s="363">
        <v>110273588.0896</v>
      </c>
      <c r="AC112" s="943">
        <v>114684531.61318399</v>
      </c>
      <c r="AD112" s="381" t="s">
        <v>1347</v>
      </c>
      <c r="AE112" s="353"/>
      <c r="AF112" s="354">
        <f t="shared" si="30"/>
        <v>0</v>
      </c>
      <c r="AG112" s="355"/>
      <c r="AH112" s="355">
        <f t="shared" si="43"/>
        <v>0</v>
      </c>
      <c r="AI112" s="355">
        <f t="shared" si="43"/>
        <v>0</v>
      </c>
      <c r="AJ112" s="356">
        <f t="shared" si="43"/>
        <v>0</v>
      </c>
      <c r="AK112" s="354">
        <f t="shared" si="32"/>
        <v>0</v>
      </c>
      <c r="AL112" s="355"/>
      <c r="AM112" s="355"/>
      <c r="AN112" s="355"/>
      <c r="AO112" s="356"/>
      <c r="AP112" s="913"/>
      <c r="AQ112" s="629"/>
      <c r="AR112" s="357">
        <f t="shared" si="38"/>
        <v>432944546.94278395</v>
      </c>
      <c r="AS112" s="358">
        <f t="shared" si="39"/>
        <v>101954131</v>
      </c>
      <c r="AT112" s="358">
        <f t="shared" si="40"/>
        <v>106032296.23999999</v>
      </c>
      <c r="AU112" s="358">
        <f t="shared" si="41"/>
        <v>110273588.0896</v>
      </c>
      <c r="AV112" s="359">
        <f t="shared" si="42"/>
        <v>114684531.61318399</v>
      </c>
      <c r="AW112" s="359"/>
      <c r="AX112" s="883" t="s">
        <v>975</v>
      </c>
    </row>
    <row r="113" spans="1:50" ht="45">
      <c r="A113" s="602" t="s">
        <v>1506</v>
      </c>
      <c r="B113" s="626" t="s">
        <v>1500</v>
      </c>
      <c r="C113" s="417">
        <v>10.199999999999999</v>
      </c>
      <c r="D113" s="377" t="s">
        <v>1302</v>
      </c>
      <c r="E113" s="343" t="s">
        <v>1349</v>
      </c>
      <c r="F113" s="431" t="s">
        <v>1350</v>
      </c>
      <c r="G113" s="696" t="str">
        <f t="shared" si="37"/>
        <v>10.2.14 Formulación e implementación del proceso de modernización corporativa</v>
      </c>
      <c r="H113" s="344" t="s">
        <v>1351</v>
      </c>
      <c r="I113" s="385" t="s">
        <v>828</v>
      </c>
      <c r="J113" s="344" t="s">
        <v>845</v>
      </c>
      <c r="K113" s="385" t="s">
        <v>1067</v>
      </c>
      <c r="L113" s="347">
        <v>1</v>
      </c>
      <c r="M113" s="347">
        <v>0.7</v>
      </c>
      <c r="N113" s="347">
        <v>0.8</v>
      </c>
      <c r="O113" s="347">
        <v>0.9</v>
      </c>
      <c r="P113" s="347">
        <v>1</v>
      </c>
      <c r="Q113" s="368" t="s">
        <v>975</v>
      </c>
      <c r="R113" s="860" t="s">
        <v>1806</v>
      </c>
      <c r="S113" s="386" t="s">
        <v>1789</v>
      </c>
      <c r="T113" s="849" t="s">
        <v>1157</v>
      </c>
      <c r="U113" s="387"/>
      <c r="V113" s="919"/>
      <c r="W113" s="967"/>
      <c r="X113" s="629"/>
      <c r="Y113" s="350">
        <f t="shared" si="33"/>
        <v>195667051.45705235</v>
      </c>
      <c r="Z113" s="363">
        <v>46077642.824018374</v>
      </c>
      <c r="AA113" s="363">
        <f t="shared" ref="AA113:AC113" si="45">IFERROR(Z113*1.04,Z113)</f>
        <v>47920748.536979109</v>
      </c>
      <c r="AB113" s="363">
        <f t="shared" si="45"/>
        <v>49837578.478458278</v>
      </c>
      <c r="AC113" s="943">
        <f t="shared" si="45"/>
        <v>51831081.617596611</v>
      </c>
      <c r="AD113" s="381"/>
      <c r="AE113" s="353"/>
      <c r="AF113" s="354">
        <f t="shared" si="30"/>
        <v>244438179.19846004</v>
      </c>
      <c r="AG113" s="355">
        <v>55876488.175981626</v>
      </c>
      <c r="AH113" s="355">
        <f t="shared" si="43"/>
        <v>59229077.466540523</v>
      </c>
      <c r="AI113" s="355">
        <f t="shared" si="43"/>
        <v>62782822.114532955</v>
      </c>
      <c r="AJ113" s="356">
        <f t="shared" si="43"/>
        <v>66549791.441404939</v>
      </c>
      <c r="AK113" s="354">
        <f t="shared" si="32"/>
        <v>0</v>
      </c>
      <c r="AL113" s="355"/>
      <c r="AM113" s="355"/>
      <c r="AN113" s="355"/>
      <c r="AO113" s="356"/>
      <c r="AP113" s="913"/>
      <c r="AQ113" s="629"/>
      <c r="AR113" s="357">
        <f t="shared" si="38"/>
        <v>440105230.65551239</v>
      </c>
      <c r="AS113" s="358">
        <f t="shared" si="39"/>
        <v>101954131</v>
      </c>
      <c r="AT113" s="358">
        <f t="shared" si="40"/>
        <v>107149826.00351962</v>
      </c>
      <c r="AU113" s="358">
        <f t="shared" si="41"/>
        <v>112620400.59299123</v>
      </c>
      <c r="AV113" s="359">
        <f t="shared" si="42"/>
        <v>118380873.05900155</v>
      </c>
      <c r="AW113" s="359"/>
      <c r="AX113" s="883" t="s">
        <v>975</v>
      </c>
    </row>
    <row r="114" spans="1:50" ht="84">
      <c r="A114" s="602" t="s">
        <v>1506</v>
      </c>
      <c r="B114" s="626" t="s">
        <v>1500</v>
      </c>
      <c r="C114" s="417">
        <v>10.199999999999999</v>
      </c>
      <c r="D114" s="377" t="s">
        <v>1302</v>
      </c>
      <c r="E114" s="343" t="s">
        <v>1352</v>
      </c>
      <c r="F114" s="431" t="s">
        <v>1353</v>
      </c>
      <c r="G114" s="696" t="str">
        <f t="shared" si="37"/>
        <v>10.2.15 Implementación del MIPG y su articulación con el SGI</v>
      </c>
      <c r="H114" s="344" t="s">
        <v>1354</v>
      </c>
      <c r="I114" s="385" t="s">
        <v>836</v>
      </c>
      <c r="J114" s="344" t="s">
        <v>845</v>
      </c>
      <c r="K114" s="630" t="s">
        <v>1355</v>
      </c>
      <c r="L114" s="347">
        <v>0.9</v>
      </c>
      <c r="M114" s="347">
        <v>0.75</v>
      </c>
      <c r="N114" s="347">
        <v>0.8</v>
      </c>
      <c r="O114" s="347">
        <v>0.85</v>
      </c>
      <c r="P114" s="347">
        <v>0.9</v>
      </c>
      <c r="Q114" s="368" t="s">
        <v>1356</v>
      </c>
      <c r="R114" s="860" t="s">
        <v>1806</v>
      </c>
      <c r="S114" s="386" t="s">
        <v>1785</v>
      </c>
      <c r="T114" s="849" t="s">
        <v>1042</v>
      </c>
      <c r="U114" s="387"/>
      <c r="V114" s="919"/>
      <c r="W114" s="967"/>
      <c r="X114" s="629"/>
      <c r="Y114" s="350">
        <f t="shared" si="33"/>
        <v>245674178.75</v>
      </c>
      <c r="Z114" s="363">
        <v>95380000</v>
      </c>
      <c r="AA114" s="363">
        <v>50981500</v>
      </c>
      <c r="AB114" s="363">
        <v>49030575</v>
      </c>
      <c r="AC114" s="943">
        <v>50282103.75</v>
      </c>
      <c r="AD114" s="381" t="s">
        <v>1357</v>
      </c>
      <c r="AE114" s="353"/>
      <c r="AF114" s="354">
        <f t="shared" si="30"/>
        <v>1026047941.1322203</v>
      </c>
      <c r="AG114" s="355">
        <f>86355787.5300538+97928577.0478818+50261465.5320033</f>
        <v>234545830.10993886</v>
      </c>
      <c r="AH114" s="355">
        <f t="shared" si="43"/>
        <v>248618579.9165352</v>
      </c>
      <c r="AI114" s="355">
        <f t="shared" si="43"/>
        <v>263535694.71152732</v>
      </c>
      <c r="AJ114" s="356">
        <f t="shared" si="43"/>
        <v>279347836.39421898</v>
      </c>
      <c r="AK114" s="354">
        <f t="shared" si="32"/>
        <v>0</v>
      </c>
      <c r="AL114" s="355"/>
      <c r="AM114" s="355"/>
      <c r="AN114" s="355"/>
      <c r="AO114" s="356"/>
      <c r="AP114" s="913"/>
      <c r="AQ114" s="629"/>
      <c r="AR114" s="357">
        <f t="shared" si="38"/>
        <v>1271722119.8822203</v>
      </c>
      <c r="AS114" s="358">
        <f t="shared" si="39"/>
        <v>329925830.10993886</v>
      </c>
      <c r="AT114" s="358">
        <f t="shared" si="40"/>
        <v>299600079.9165352</v>
      </c>
      <c r="AU114" s="358">
        <f t="shared" si="41"/>
        <v>312566269.71152735</v>
      </c>
      <c r="AV114" s="359">
        <f t="shared" si="42"/>
        <v>329629940.14421898</v>
      </c>
      <c r="AW114" s="359"/>
      <c r="AX114" s="883" t="s">
        <v>1356</v>
      </c>
    </row>
    <row r="115" spans="1:50" ht="52.5" customHeight="1">
      <c r="A115" s="602" t="s">
        <v>1506</v>
      </c>
      <c r="B115" s="626" t="s">
        <v>1500</v>
      </c>
      <c r="C115" s="417">
        <v>10.199999999999999</v>
      </c>
      <c r="D115" s="377" t="s">
        <v>1302</v>
      </c>
      <c r="E115" s="343" t="s">
        <v>1358</v>
      </c>
      <c r="F115" s="431" t="s">
        <v>1359</v>
      </c>
      <c r="G115" s="696" t="str">
        <f t="shared" si="37"/>
        <v>10.2.16 Formulación y ejecución del plan de gestión del conocimiento corporativo</v>
      </c>
      <c r="H115" s="344" t="s">
        <v>1360</v>
      </c>
      <c r="I115" s="385" t="s">
        <v>836</v>
      </c>
      <c r="J115" s="344" t="s">
        <v>845</v>
      </c>
      <c r="K115" s="385" t="s">
        <v>1311</v>
      </c>
      <c r="L115" s="347">
        <v>1</v>
      </c>
      <c r="M115" s="347">
        <v>0.25</v>
      </c>
      <c r="N115" s="347">
        <v>0.5</v>
      </c>
      <c r="O115" s="347">
        <v>0.75</v>
      </c>
      <c r="P115" s="347">
        <v>1</v>
      </c>
      <c r="Q115" s="368" t="s">
        <v>830</v>
      </c>
      <c r="R115" s="860" t="s">
        <v>1806</v>
      </c>
      <c r="S115" s="386" t="s">
        <v>1786</v>
      </c>
      <c r="T115" s="849" t="s">
        <v>1042</v>
      </c>
      <c r="U115" s="387"/>
      <c r="V115" s="919"/>
      <c r="W115" s="967"/>
      <c r="X115" s="629"/>
      <c r="Y115" s="350">
        <f t="shared" si="33"/>
        <v>122146249</v>
      </c>
      <c r="Z115" s="363">
        <v>89071249</v>
      </c>
      <c r="AA115" s="363">
        <f>+(5250000*(1.05)*6)</f>
        <v>33075000</v>
      </c>
      <c r="AB115" s="363">
        <v>0</v>
      </c>
      <c r="AC115" s="943">
        <v>0</v>
      </c>
      <c r="AD115" s="381" t="s">
        <v>1361</v>
      </c>
      <c r="AE115" s="353"/>
      <c r="AF115" s="354">
        <f t="shared" si="30"/>
        <v>1352968937.1335309</v>
      </c>
      <c r="AG115" s="355">
        <f>86355787.5300538+58920139.9858099+97928577.0478818+66072683.9102899</f>
        <v>309277188.47403538</v>
      </c>
      <c r="AH115" s="355">
        <f t="shared" si="43"/>
        <v>327833819.7824775</v>
      </c>
      <c r="AI115" s="355">
        <f t="shared" si="43"/>
        <v>347503848.96942616</v>
      </c>
      <c r="AJ115" s="356">
        <f t="shared" si="43"/>
        <v>368354079.90759176</v>
      </c>
      <c r="AK115" s="354">
        <f t="shared" si="32"/>
        <v>0</v>
      </c>
      <c r="AL115" s="355"/>
      <c r="AM115" s="355"/>
      <c r="AN115" s="355"/>
      <c r="AO115" s="356"/>
      <c r="AP115" s="913"/>
      <c r="AQ115" s="629"/>
      <c r="AR115" s="357">
        <f t="shared" si="38"/>
        <v>1475115186.1335309</v>
      </c>
      <c r="AS115" s="358">
        <f t="shared" si="39"/>
        <v>398348437.47403538</v>
      </c>
      <c r="AT115" s="358">
        <f t="shared" si="40"/>
        <v>360908819.7824775</v>
      </c>
      <c r="AU115" s="358">
        <f t="shared" si="41"/>
        <v>347503848.96942616</v>
      </c>
      <c r="AV115" s="359">
        <f t="shared" si="42"/>
        <v>368354079.90759176</v>
      </c>
      <c r="AW115" s="359"/>
      <c r="AX115" s="883" t="s">
        <v>830</v>
      </c>
    </row>
    <row r="116" spans="1:50" ht="83.25" customHeight="1">
      <c r="A116" s="602" t="s">
        <v>1506</v>
      </c>
      <c r="B116" s="626" t="s">
        <v>1500</v>
      </c>
      <c r="C116" s="417">
        <v>10.199999999999999</v>
      </c>
      <c r="D116" s="377" t="s">
        <v>1302</v>
      </c>
      <c r="E116" s="343" t="s">
        <v>1362</v>
      </c>
      <c r="F116" s="373" t="s">
        <v>1363</v>
      </c>
      <c r="G116" s="696" t="str">
        <f t="shared" si="37"/>
        <v>10.2.17 Gestión del recaudo</v>
      </c>
      <c r="H116" s="344" t="s">
        <v>1364</v>
      </c>
      <c r="I116" s="385" t="s">
        <v>930</v>
      </c>
      <c r="J116" s="344" t="s">
        <v>437</v>
      </c>
      <c r="K116" s="385" t="s">
        <v>846</v>
      </c>
      <c r="L116" s="347">
        <v>1</v>
      </c>
      <c r="M116" s="347">
        <v>1</v>
      </c>
      <c r="N116" s="347">
        <v>1</v>
      </c>
      <c r="O116" s="347">
        <v>1</v>
      </c>
      <c r="P116" s="347">
        <v>1</v>
      </c>
      <c r="Q116" s="368" t="s">
        <v>830</v>
      </c>
      <c r="R116" s="860" t="s">
        <v>1806</v>
      </c>
      <c r="S116" s="386" t="s">
        <v>1789</v>
      </c>
      <c r="T116" s="849" t="s">
        <v>1366</v>
      </c>
      <c r="U116" s="387"/>
      <c r="V116" s="919"/>
      <c r="W116" s="967"/>
      <c r="X116" s="629"/>
      <c r="Y116" s="350">
        <f t="shared" ref="Y116" si="46">SUM(Z116:AC116)</f>
        <v>0</v>
      </c>
      <c r="Z116" s="363">
        <v>0</v>
      </c>
      <c r="AA116" s="363">
        <v>0</v>
      </c>
      <c r="AB116" s="363">
        <v>0</v>
      </c>
      <c r="AC116" s="943">
        <v>0</v>
      </c>
      <c r="AD116" s="381" t="s">
        <v>1365</v>
      </c>
      <c r="AE116" s="353"/>
      <c r="AF116" s="354">
        <f t="shared" si="30"/>
        <v>0</v>
      </c>
      <c r="AG116" s="355"/>
      <c r="AH116" s="355">
        <f t="shared" si="43"/>
        <v>0</v>
      </c>
      <c r="AI116" s="355">
        <f t="shared" si="43"/>
        <v>0</v>
      </c>
      <c r="AJ116" s="356">
        <f t="shared" si="43"/>
        <v>0</v>
      </c>
      <c r="AK116" s="354">
        <f t="shared" si="32"/>
        <v>0</v>
      </c>
      <c r="AL116" s="355"/>
      <c r="AM116" s="355"/>
      <c r="AN116" s="355"/>
      <c r="AO116" s="356"/>
      <c r="AP116" s="913"/>
      <c r="AQ116" s="629"/>
      <c r="AR116" s="357">
        <f t="shared" si="38"/>
        <v>0</v>
      </c>
      <c r="AS116" s="358">
        <f t="shared" si="39"/>
        <v>0</v>
      </c>
      <c r="AT116" s="358">
        <f t="shared" si="40"/>
        <v>0</v>
      </c>
      <c r="AU116" s="358">
        <f t="shared" si="41"/>
        <v>0</v>
      </c>
      <c r="AV116" s="359">
        <f t="shared" si="42"/>
        <v>0</v>
      </c>
      <c r="AW116" s="359"/>
      <c r="AX116" s="883" t="s">
        <v>830</v>
      </c>
    </row>
    <row r="117" spans="1:50" ht="48" customHeight="1">
      <c r="A117" s="602" t="s">
        <v>1506</v>
      </c>
      <c r="B117" s="626" t="s">
        <v>1500</v>
      </c>
      <c r="C117" s="417">
        <v>10.199999999999999</v>
      </c>
      <c r="D117" s="377" t="s">
        <v>1302</v>
      </c>
      <c r="E117" s="343" t="s">
        <v>1367</v>
      </c>
      <c r="F117" s="511" t="s">
        <v>1368</v>
      </c>
      <c r="G117" s="696" t="str">
        <f t="shared" si="37"/>
        <v>10.2.18 Ejecución del programa de auditorías de control interno</v>
      </c>
      <c r="H117" s="344" t="s">
        <v>1369</v>
      </c>
      <c r="I117" s="385" t="s">
        <v>828</v>
      </c>
      <c r="J117" s="401" t="s">
        <v>845</v>
      </c>
      <c r="K117" s="385" t="s">
        <v>846</v>
      </c>
      <c r="L117" s="347">
        <v>1</v>
      </c>
      <c r="M117" s="347">
        <v>1</v>
      </c>
      <c r="N117" s="347">
        <v>1</v>
      </c>
      <c r="O117" s="347">
        <v>1</v>
      </c>
      <c r="P117" s="347">
        <v>1</v>
      </c>
      <c r="Q117" s="368" t="s">
        <v>830</v>
      </c>
      <c r="R117" s="860" t="s">
        <v>1806</v>
      </c>
      <c r="S117" s="386" t="s">
        <v>1790</v>
      </c>
      <c r="T117" s="849" t="s">
        <v>1371</v>
      </c>
      <c r="U117" s="387"/>
      <c r="V117" s="919"/>
      <c r="W117" s="967"/>
      <c r="X117" s="631"/>
      <c r="Y117" s="350">
        <f>SUM(Z117:AC117)</f>
        <v>0</v>
      </c>
      <c r="Z117" s="363">
        <v>0</v>
      </c>
      <c r="AA117" s="363">
        <v>0</v>
      </c>
      <c r="AB117" s="363">
        <v>0</v>
      </c>
      <c r="AC117" s="943">
        <v>0</v>
      </c>
      <c r="AD117" s="381" t="s">
        <v>1370</v>
      </c>
      <c r="AE117" s="353"/>
      <c r="AF117" s="354">
        <f t="shared" si="30"/>
        <v>3464184783.7620378</v>
      </c>
      <c r="AG117" s="632">
        <v>791883169.57694972</v>
      </c>
      <c r="AH117" s="632">
        <f t="shared" si="43"/>
        <v>839396159.75156677</v>
      </c>
      <c r="AI117" s="632">
        <f t="shared" si="43"/>
        <v>889759929.33666086</v>
      </c>
      <c r="AJ117" s="633">
        <f t="shared" si="43"/>
        <v>943145525.09686053</v>
      </c>
      <c r="AK117" s="354">
        <f t="shared" si="32"/>
        <v>0</v>
      </c>
      <c r="AL117" s="355"/>
      <c r="AM117" s="355"/>
      <c r="AN117" s="355"/>
      <c r="AO117" s="356"/>
      <c r="AP117" s="913"/>
      <c r="AQ117" s="631"/>
      <c r="AR117" s="357">
        <f t="shared" si="38"/>
        <v>3464184783.7620378</v>
      </c>
      <c r="AS117" s="358">
        <f t="shared" si="39"/>
        <v>791883169.57694972</v>
      </c>
      <c r="AT117" s="358">
        <f t="shared" si="40"/>
        <v>839396159.75156677</v>
      </c>
      <c r="AU117" s="358">
        <f t="shared" si="41"/>
        <v>889759929.33666086</v>
      </c>
      <c r="AV117" s="359">
        <f t="shared" si="42"/>
        <v>943145525.09686053</v>
      </c>
      <c r="AW117" s="359"/>
      <c r="AX117" s="883" t="s">
        <v>830</v>
      </c>
    </row>
    <row r="118" spans="1:50" ht="96">
      <c r="A118" s="602" t="s">
        <v>1506</v>
      </c>
      <c r="B118" s="626" t="s">
        <v>1500</v>
      </c>
      <c r="C118" s="400">
        <v>10.3</v>
      </c>
      <c r="D118" s="493" t="s">
        <v>1372</v>
      </c>
      <c r="E118" s="343" t="s">
        <v>1373</v>
      </c>
      <c r="F118" s="373" t="s">
        <v>1374</v>
      </c>
      <c r="G118" s="696" t="str">
        <f t="shared" si="37"/>
        <v>10.3.1 Definición y ejecución del modelo de operación para consolidar el Laboratorio Ambiental</v>
      </c>
      <c r="H118" s="344" t="s">
        <v>1375</v>
      </c>
      <c r="I118" s="385" t="s">
        <v>828</v>
      </c>
      <c r="J118" s="401" t="s">
        <v>845</v>
      </c>
      <c r="K118" s="385" t="s">
        <v>1256</v>
      </c>
      <c r="L118" s="347">
        <v>1</v>
      </c>
      <c r="M118" s="347">
        <v>0.25</v>
      </c>
      <c r="N118" s="347">
        <v>0.5</v>
      </c>
      <c r="O118" s="347">
        <v>0.75</v>
      </c>
      <c r="P118" s="347">
        <v>1</v>
      </c>
      <c r="Q118" s="368" t="s">
        <v>975</v>
      </c>
      <c r="R118" s="860" t="s">
        <v>1806</v>
      </c>
      <c r="S118" s="386" t="s">
        <v>1787</v>
      </c>
      <c r="T118" s="849" t="s">
        <v>878</v>
      </c>
      <c r="U118" s="387"/>
      <c r="V118" s="919"/>
      <c r="W118" s="967"/>
      <c r="X118" s="634">
        <f>SUM(Y118:Y121)</f>
        <v>14516189944.791296</v>
      </c>
      <c r="Y118" s="350">
        <f>SUM(Z118:AC118)</f>
        <v>8229874503</v>
      </c>
      <c r="Z118" s="363">
        <f>289034797+455998726</f>
        <v>745033523</v>
      </c>
      <c r="AA118" s="363">
        <f>(1921393030)</f>
        <v>1921393030</v>
      </c>
      <c r="AB118" s="363">
        <f>(2687226343)</f>
        <v>2687226343</v>
      </c>
      <c r="AC118" s="943">
        <f>(2876221607)</f>
        <v>2876221607</v>
      </c>
      <c r="AD118" s="381" t="s">
        <v>1376</v>
      </c>
      <c r="AE118" s="353"/>
      <c r="AF118" s="354">
        <f>SUM(AG118:AJ118)</f>
        <v>3222764541.0224962</v>
      </c>
      <c r="AG118" s="632">
        <f>110987363+321275394+203449614+59835313+41148872</f>
        <v>736696556</v>
      </c>
      <c r="AH118" s="355">
        <f t="shared" si="43"/>
        <v>780898349.36000001</v>
      </c>
      <c r="AI118" s="355">
        <f t="shared" si="43"/>
        <v>827752250.32160008</v>
      </c>
      <c r="AJ118" s="356">
        <f t="shared" si="43"/>
        <v>877417385.34089613</v>
      </c>
      <c r="AK118" s="354">
        <f>+SUM(AL118:AO118)</f>
        <v>497800000</v>
      </c>
      <c r="AL118" s="355">
        <v>497800000</v>
      </c>
      <c r="AM118" s="355">
        <v>0</v>
      </c>
      <c r="AN118" s="355">
        <v>0</v>
      </c>
      <c r="AO118" s="356">
        <v>0</v>
      </c>
      <c r="AP118" s="913"/>
      <c r="AQ118" s="634">
        <f>SUM(AR118:AR121)</f>
        <v>19426713895.185467</v>
      </c>
      <c r="AR118" s="357">
        <f t="shared" si="38"/>
        <v>11452639044.022495</v>
      </c>
      <c r="AS118" s="358">
        <f t="shared" si="39"/>
        <v>1481730079</v>
      </c>
      <c r="AT118" s="358">
        <f t="shared" si="40"/>
        <v>2702291379.3600001</v>
      </c>
      <c r="AU118" s="358">
        <f t="shared" si="41"/>
        <v>3514978593.3216</v>
      </c>
      <c r="AV118" s="359">
        <f t="shared" si="42"/>
        <v>3753638992.3408961</v>
      </c>
      <c r="AW118" s="359"/>
      <c r="AX118" s="883" t="s">
        <v>975</v>
      </c>
    </row>
    <row r="119" spans="1:50" ht="75">
      <c r="A119" s="602" t="s">
        <v>1506</v>
      </c>
      <c r="B119" s="626" t="s">
        <v>1500</v>
      </c>
      <c r="C119" s="400">
        <v>10.3</v>
      </c>
      <c r="D119" s="377" t="s">
        <v>1372</v>
      </c>
      <c r="E119" s="343" t="s">
        <v>1377</v>
      </c>
      <c r="F119" s="373" t="s">
        <v>1378</v>
      </c>
      <c r="G119" s="696" t="str">
        <f t="shared" si="37"/>
        <v>10.3.2 Definición y ejecución del modelo de operación para consolidar los viveros y CAV</v>
      </c>
      <c r="H119" s="344" t="s">
        <v>1379</v>
      </c>
      <c r="I119" s="385" t="s">
        <v>828</v>
      </c>
      <c r="J119" s="401" t="s">
        <v>845</v>
      </c>
      <c r="K119" s="385" t="s">
        <v>1256</v>
      </c>
      <c r="L119" s="347">
        <v>1</v>
      </c>
      <c r="M119" s="347">
        <v>0.25</v>
      </c>
      <c r="N119" s="347">
        <v>0.5</v>
      </c>
      <c r="O119" s="347">
        <v>0.75</v>
      </c>
      <c r="P119" s="347">
        <v>1</v>
      </c>
      <c r="Q119" s="368" t="s">
        <v>975</v>
      </c>
      <c r="R119" s="860" t="s">
        <v>1806</v>
      </c>
      <c r="S119" s="386" t="s">
        <v>1787</v>
      </c>
      <c r="T119" s="849" t="s">
        <v>832</v>
      </c>
      <c r="U119" s="387"/>
      <c r="V119" s="919"/>
      <c r="W119" s="967"/>
      <c r="X119" s="635"/>
      <c r="Y119" s="350">
        <f t="shared" ref="Y119:Y120" si="47">SUM(Z119:AC119)</f>
        <v>5745000000</v>
      </c>
      <c r="Z119" s="363">
        <f>(500000000)</f>
        <v>500000000</v>
      </c>
      <c r="AA119" s="363">
        <f>(1000000000+1000000000)</f>
        <v>2000000000</v>
      </c>
      <c r="AB119" s="363">
        <f>(1100000000+500000000)</f>
        <v>1600000000</v>
      </c>
      <c r="AC119" s="943">
        <f>(1225000000+420000000)</f>
        <v>1645000000</v>
      </c>
      <c r="AD119" s="381" t="s">
        <v>1380</v>
      </c>
      <c r="AE119" s="353"/>
      <c r="AF119" s="354">
        <f>SUM(AG119:AJ119)</f>
        <v>1242130777.5166516</v>
      </c>
      <c r="AG119" s="632">
        <f>(86355787.5300538+58920139.9858099+101866914+36797686.6394422)</f>
        <v>283940528.15530586</v>
      </c>
      <c r="AH119" s="355">
        <f t="shared" si="43"/>
        <v>300976959.84462422</v>
      </c>
      <c r="AI119" s="355">
        <f t="shared" si="43"/>
        <v>319035577.43530166</v>
      </c>
      <c r="AJ119" s="356">
        <f t="shared" si="43"/>
        <v>338177712.08141977</v>
      </c>
      <c r="AK119" s="354">
        <f>+SUM(AL119:AO119)</f>
        <v>4680390383.5395699</v>
      </c>
      <c r="AL119" s="355">
        <v>1355390383.5395701</v>
      </c>
      <c r="AM119" s="355">
        <v>1000000000</v>
      </c>
      <c r="AN119" s="355">
        <v>1100000000</v>
      </c>
      <c r="AO119" s="356">
        <v>1225000000</v>
      </c>
      <c r="AP119" s="913"/>
      <c r="AQ119" s="636"/>
      <c r="AR119" s="357">
        <f t="shared" si="38"/>
        <v>6987130777.5166512</v>
      </c>
      <c r="AS119" s="358">
        <f t="shared" si="39"/>
        <v>783940528.15530586</v>
      </c>
      <c r="AT119" s="358">
        <f t="shared" si="40"/>
        <v>2300976959.844624</v>
      </c>
      <c r="AU119" s="358">
        <f t="shared" si="41"/>
        <v>1919035577.4353018</v>
      </c>
      <c r="AV119" s="359">
        <f t="shared" si="42"/>
        <v>1983177712.0814197</v>
      </c>
      <c r="AW119" s="359"/>
      <c r="AX119" s="883" t="s">
        <v>975</v>
      </c>
    </row>
    <row r="120" spans="1:50" ht="108">
      <c r="A120" s="602" t="s">
        <v>1506</v>
      </c>
      <c r="B120" s="626" t="s">
        <v>1500</v>
      </c>
      <c r="C120" s="400">
        <v>10.3</v>
      </c>
      <c r="D120" s="377" t="s">
        <v>1372</v>
      </c>
      <c r="E120" s="343" t="s">
        <v>1381</v>
      </c>
      <c r="F120" s="373" t="s">
        <v>1382</v>
      </c>
      <c r="G120" s="696" t="str">
        <f t="shared" si="37"/>
        <v>10.3.3 Definición y ejecución del modelo de operación para consolidar el CIA</v>
      </c>
      <c r="H120" s="344" t="s">
        <v>1383</v>
      </c>
      <c r="I120" s="385" t="s">
        <v>828</v>
      </c>
      <c r="J120" s="401" t="s">
        <v>845</v>
      </c>
      <c r="K120" s="385" t="s">
        <v>1256</v>
      </c>
      <c r="L120" s="347">
        <v>1</v>
      </c>
      <c r="M120" s="347">
        <v>1</v>
      </c>
      <c r="N120" s="347">
        <v>1</v>
      </c>
      <c r="O120" s="347">
        <v>1</v>
      </c>
      <c r="P120" s="347">
        <v>1</v>
      </c>
      <c r="Q120" s="368" t="s">
        <v>975</v>
      </c>
      <c r="R120" s="860" t="s">
        <v>1806</v>
      </c>
      <c r="S120" s="386" t="s">
        <v>1786</v>
      </c>
      <c r="T120" s="849" t="s">
        <v>1042</v>
      </c>
      <c r="U120" s="387"/>
      <c r="V120" s="919"/>
      <c r="W120" s="967"/>
      <c r="X120" s="635"/>
      <c r="Y120" s="350">
        <f t="shared" si="47"/>
        <v>40927100</v>
      </c>
      <c r="Z120" s="363">
        <f>+((3*9136000*(1+5%))+(3*2649900)+4199000)</f>
        <v>40927100</v>
      </c>
      <c r="AA120" s="363">
        <v>0</v>
      </c>
      <c r="AB120" s="363">
        <v>0</v>
      </c>
      <c r="AC120" s="943">
        <v>0</v>
      </c>
      <c r="AD120" s="381" t="s">
        <v>1384</v>
      </c>
      <c r="AE120" s="353"/>
      <c r="AF120" s="354">
        <f>SUM(AG120:AJ120)</f>
        <v>0</v>
      </c>
      <c r="AG120" s="632">
        <v>0</v>
      </c>
      <c r="AH120" s="355">
        <f t="shared" si="43"/>
        <v>0</v>
      </c>
      <c r="AI120" s="355">
        <f t="shared" si="43"/>
        <v>0</v>
      </c>
      <c r="AJ120" s="356">
        <f t="shared" si="43"/>
        <v>0</v>
      </c>
      <c r="AK120" s="354">
        <f>+SUM(AL120:AO120)</f>
        <v>0</v>
      </c>
      <c r="AL120" s="355">
        <v>0</v>
      </c>
      <c r="AM120" s="355">
        <v>0</v>
      </c>
      <c r="AN120" s="355">
        <v>0</v>
      </c>
      <c r="AO120" s="356">
        <v>0</v>
      </c>
      <c r="AP120" s="913"/>
      <c r="AQ120" s="636"/>
      <c r="AR120" s="357">
        <f t="shared" si="38"/>
        <v>40927100</v>
      </c>
      <c r="AS120" s="358">
        <f t="shared" si="39"/>
        <v>40927100</v>
      </c>
      <c r="AT120" s="358">
        <f t="shared" si="40"/>
        <v>0</v>
      </c>
      <c r="AU120" s="358">
        <f t="shared" si="41"/>
        <v>0</v>
      </c>
      <c r="AV120" s="359">
        <f t="shared" si="42"/>
        <v>0</v>
      </c>
      <c r="AW120" s="359"/>
      <c r="AX120" s="883" t="s">
        <v>975</v>
      </c>
    </row>
    <row r="121" spans="1:50" ht="75">
      <c r="A121" s="602" t="s">
        <v>1506</v>
      </c>
      <c r="B121" s="626" t="s">
        <v>1500</v>
      </c>
      <c r="C121" s="400">
        <v>10.3</v>
      </c>
      <c r="D121" s="485" t="s">
        <v>1372</v>
      </c>
      <c r="E121" s="343" t="s">
        <v>1385</v>
      </c>
      <c r="F121" s="373" t="s">
        <v>1386</v>
      </c>
      <c r="G121" s="696" t="str">
        <f t="shared" si="37"/>
        <v>10.3.4 Definición y ejecución del modelo de operación para consolidar las sedes de la Corporación</v>
      </c>
      <c r="H121" s="344" t="s">
        <v>1387</v>
      </c>
      <c r="I121" s="385" t="s">
        <v>828</v>
      </c>
      <c r="J121" s="401" t="s">
        <v>845</v>
      </c>
      <c r="K121" s="385" t="s">
        <v>1256</v>
      </c>
      <c r="L121" s="347">
        <v>1</v>
      </c>
      <c r="M121" s="347">
        <v>0.25</v>
      </c>
      <c r="N121" s="347">
        <v>0.5</v>
      </c>
      <c r="O121" s="347">
        <v>0.75</v>
      </c>
      <c r="P121" s="347">
        <v>1</v>
      </c>
      <c r="Q121" s="368" t="s">
        <v>975</v>
      </c>
      <c r="R121" s="860" t="s">
        <v>1806</v>
      </c>
      <c r="S121" s="386" t="s">
        <v>1789</v>
      </c>
      <c r="T121" s="849" t="s">
        <v>1157</v>
      </c>
      <c r="U121" s="387"/>
      <c r="V121" s="919"/>
      <c r="W121" s="967"/>
      <c r="X121" s="637"/>
      <c r="Y121" s="350">
        <f t="shared" si="33"/>
        <v>500388341.79129601</v>
      </c>
      <c r="Z121" s="363">
        <f>(70738464)</f>
        <v>70738464</v>
      </c>
      <c r="AA121" s="363">
        <f>(140234669.56)</f>
        <v>140234669.56</v>
      </c>
      <c r="AB121" s="363">
        <f>(143177389.6624)</f>
        <v>143177389.66240001</v>
      </c>
      <c r="AC121" s="943">
        <f>(146237818.568896)</f>
        <v>146237818.568896</v>
      </c>
      <c r="AD121" s="381" t="s">
        <v>1388</v>
      </c>
      <c r="AE121" s="353"/>
      <c r="AF121" s="354">
        <f>SUM(AG121:AJ121)</f>
        <v>445628631.85502404</v>
      </c>
      <c r="AG121" s="632">
        <f>101866914</f>
        <v>101866914</v>
      </c>
      <c r="AH121" s="355">
        <f t="shared" si="43"/>
        <v>107978928.84</v>
      </c>
      <c r="AI121" s="355">
        <f t="shared" si="43"/>
        <v>114457664.57040001</v>
      </c>
      <c r="AJ121" s="356">
        <f t="shared" si="43"/>
        <v>121325124.44462402</v>
      </c>
      <c r="AK121" s="354">
        <f>+SUM(AL121:AO121)</f>
        <v>0</v>
      </c>
      <c r="AL121" s="355">
        <v>0</v>
      </c>
      <c r="AM121" s="355">
        <v>0</v>
      </c>
      <c r="AN121" s="355">
        <v>0</v>
      </c>
      <c r="AO121" s="356">
        <v>0</v>
      </c>
      <c r="AP121" s="913"/>
      <c r="AQ121" s="637"/>
      <c r="AR121" s="357">
        <f t="shared" si="38"/>
        <v>946016973.6463201</v>
      </c>
      <c r="AS121" s="358">
        <f t="shared" si="39"/>
        <v>172605378</v>
      </c>
      <c r="AT121" s="358">
        <f t="shared" si="40"/>
        <v>248213598.40000001</v>
      </c>
      <c r="AU121" s="358">
        <f t="shared" si="41"/>
        <v>257635054.23280001</v>
      </c>
      <c r="AV121" s="359">
        <f t="shared" si="42"/>
        <v>267562943.01352</v>
      </c>
      <c r="AW121" s="359"/>
      <c r="AX121" s="883" t="s">
        <v>975</v>
      </c>
    </row>
    <row r="122" spans="1:50" ht="90">
      <c r="A122" s="602" t="s">
        <v>1506</v>
      </c>
      <c r="B122" s="626" t="s">
        <v>1500</v>
      </c>
      <c r="C122" s="341">
        <v>10.4</v>
      </c>
      <c r="D122" s="493" t="s">
        <v>1389</v>
      </c>
      <c r="E122" s="343" t="s">
        <v>1390</v>
      </c>
      <c r="F122" s="493" t="s">
        <v>1391</v>
      </c>
      <c r="G122" s="696" t="str">
        <f t="shared" si="37"/>
        <v>10.4.1 Formulación e implementación del Plan de comunicaciones corporativo articulado con el SGI</v>
      </c>
      <c r="H122" s="344" t="s">
        <v>1392</v>
      </c>
      <c r="I122" s="385" t="s">
        <v>836</v>
      </c>
      <c r="J122" s="344" t="s">
        <v>437</v>
      </c>
      <c r="K122" s="385" t="s">
        <v>846</v>
      </c>
      <c r="L122" s="347">
        <v>1</v>
      </c>
      <c r="M122" s="347">
        <v>1</v>
      </c>
      <c r="N122" s="347">
        <v>1</v>
      </c>
      <c r="O122" s="347">
        <v>1</v>
      </c>
      <c r="P122" s="347">
        <v>1</v>
      </c>
      <c r="Q122" s="368" t="s">
        <v>975</v>
      </c>
      <c r="R122" s="860" t="s">
        <v>1806</v>
      </c>
      <c r="S122" s="386" t="s">
        <v>1788</v>
      </c>
      <c r="T122" s="849" t="s">
        <v>1394</v>
      </c>
      <c r="U122" s="387" t="s">
        <v>1395</v>
      </c>
      <c r="V122" s="919"/>
      <c r="W122" s="967"/>
      <c r="X122" s="638">
        <f>SUM(Y122:Y125)</f>
        <v>4752924922.4762888</v>
      </c>
      <c r="Y122" s="350">
        <f t="shared" si="33"/>
        <v>0</v>
      </c>
      <c r="Z122" s="363">
        <v>0</v>
      </c>
      <c r="AA122" s="363">
        <v>0</v>
      </c>
      <c r="AB122" s="363">
        <v>0</v>
      </c>
      <c r="AC122" s="943">
        <v>0</v>
      </c>
      <c r="AD122" s="381" t="s">
        <v>1393</v>
      </c>
      <c r="AE122" s="353"/>
      <c r="AF122" s="354">
        <f t="shared" si="30"/>
        <v>4070057456.3849287</v>
      </c>
      <c r="AG122" s="355">
        <f>553348469+377032039</f>
        <v>930380508</v>
      </c>
      <c r="AH122" s="355">
        <f t="shared" si="43"/>
        <v>986203338.48000002</v>
      </c>
      <c r="AI122" s="355">
        <f t="shared" si="43"/>
        <v>1045375538.7888001</v>
      </c>
      <c r="AJ122" s="356">
        <f t="shared" si="43"/>
        <v>1108098071.1161282</v>
      </c>
      <c r="AK122" s="354">
        <f t="shared" si="32"/>
        <v>0</v>
      </c>
      <c r="AL122" s="355"/>
      <c r="AM122" s="355"/>
      <c r="AN122" s="355"/>
      <c r="AO122" s="356"/>
      <c r="AP122" s="913"/>
      <c r="AQ122" s="638">
        <f>SUM(AR122:AR125)</f>
        <v>9302167421.4136009</v>
      </c>
      <c r="AR122" s="357">
        <f t="shared" si="38"/>
        <v>4070057456.3849287</v>
      </c>
      <c r="AS122" s="358">
        <f t="shared" si="39"/>
        <v>930380508</v>
      </c>
      <c r="AT122" s="358">
        <f t="shared" si="40"/>
        <v>986203338.48000002</v>
      </c>
      <c r="AU122" s="358">
        <f t="shared" si="41"/>
        <v>1045375538.7888001</v>
      </c>
      <c r="AV122" s="359">
        <f t="shared" si="42"/>
        <v>1108098071.1161282</v>
      </c>
      <c r="AW122" s="359"/>
      <c r="AX122" s="883" t="s">
        <v>975</v>
      </c>
    </row>
    <row r="123" spans="1:50" ht="90">
      <c r="A123" s="602" t="s">
        <v>1506</v>
      </c>
      <c r="B123" s="626" t="s">
        <v>1500</v>
      </c>
      <c r="C123" s="417">
        <v>10.4</v>
      </c>
      <c r="D123" s="377" t="s">
        <v>1396</v>
      </c>
      <c r="E123" s="343" t="s">
        <v>1397</v>
      </c>
      <c r="F123" s="431" t="s">
        <v>1398</v>
      </c>
      <c r="G123" s="696" t="str">
        <f t="shared" si="37"/>
        <v>10.4.2 Formulación e implementación del Plan de Seguridad y Privacidad de la Información</v>
      </c>
      <c r="H123" s="344" t="s">
        <v>1399</v>
      </c>
      <c r="I123" s="385" t="s">
        <v>836</v>
      </c>
      <c r="J123" s="346" t="s">
        <v>437</v>
      </c>
      <c r="K123" s="385" t="s">
        <v>1311</v>
      </c>
      <c r="L123" s="347">
        <v>1</v>
      </c>
      <c r="M123" s="347">
        <v>0.5</v>
      </c>
      <c r="N123" s="347">
        <v>0.7</v>
      </c>
      <c r="O123" s="347">
        <v>0.85</v>
      </c>
      <c r="P123" s="347">
        <v>1</v>
      </c>
      <c r="Q123" s="368" t="s">
        <v>1306</v>
      </c>
      <c r="R123" s="860" t="s">
        <v>1806</v>
      </c>
      <c r="S123" s="386" t="s">
        <v>1786</v>
      </c>
      <c r="T123" s="849" t="s">
        <v>1157</v>
      </c>
      <c r="U123" s="387"/>
      <c r="V123" s="919"/>
      <c r="W123" s="967"/>
      <c r="X123" s="639"/>
      <c r="Y123" s="350">
        <f t="shared" si="33"/>
        <v>300000000</v>
      </c>
      <c r="Z123" s="363">
        <v>0</v>
      </c>
      <c r="AA123" s="363">
        <v>99999999.999999985</v>
      </c>
      <c r="AB123" s="363">
        <v>100000000</v>
      </c>
      <c r="AC123" s="943">
        <v>100000000</v>
      </c>
      <c r="AD123" s="381" t="s">
        <v>1400</v>
      </c>
      <c r="AE123" s="353"/>
      <c r="AF123" s="354">
        <f t="shared" si="30"/>
        <v>258593464.63985601</v>
      </c>
      <c r="AG123" s="355">
        <v>59112266</v>
      </c>
      <c r="AH123" s="355">
        <f t="shared" si="43"/>
        <v>62659001.960000001</v>
      </c>
      <c r="AI123" s="355">
        <f t="shared" si="43"/>
        <v>66418542.077600002</v>
      </c>
      <c r="AJ123" s="356">
        <f t="shared" si="43"/>
        <v>70403654.602256</v>
      </c>
      <c r="AK123" s="354">
        <f t="shared" si="32"/>
        <v>0</v>
      </c>
      <c r="AL123" s="355"/>
      <c r="AM123" s="355"/>
      <c r="AN123" s="355"/>
      <c r="AO123" s="356"/>
      <c r="AP123" s="913"/>
      <c r="AQ123" s="639"/>
      <c r="AR123" s="357">
        <f t="shared" si="38"/>
        <v>558593464.63985598</v>
      </c>
      <c r="AS123" s="358">
        <f t="shared" si="39"/>
        <v>59112266</v>
      </c>
      <c r="AT123" s="358">
        <f t="shared" si="40"/>
        <v>162659001.95999998</v>
      </c>
      <c r="AU123" s="358">
        <f t="shared" si="41"/>
        <v>166418542.0776</v>
      </c>
      <c r="AV123" s="359">
        <f t="shared" si="42"/>
        <v>170403654.602256</v>
      </c>
      <c r="AW123" s="359"/>
      <c r="AX123" s="883" t="s">
        <v>1306</v>
      </c>
    </row>
    <row r="124" spans="1:50" ht="90">
      <c r="A124" s="602" t="s">
        <v>1506</v>
      </c>
      <c r="B124" s="626" t="s">
        <v>1500</v>
      </c>
      <c r="C124" s="417">
        <v>10.4</v>
      </c>
      <c r="D124" s="377" t="s">
        <v>1396</v>
      </c>
      <c r="E124" s="343" t="s">
        <v>1401</v>
      </c>
      <c r="F124" s="431" t="s">
        <v>1402</v>
      </c>
      <c r="G124" s="696" t="str">
        <f t="shared" si="37"/>
        <v>10.4.3 Formulación e implementación del Plan de Tratamiento de Riesgos de Seguridad y Privacidad de la Información</v>
      </c>
      <c r="H124" s="344" t="s">
        <v>1403</v>
      </c>
      <c r="I124" s="385" t="s">
        <v>836</v>
      </c>
      <c r="J124" s="401" t="s">
        <v>437</v>
      </c>
      <c r="K124" s="385" t="s">
        <v>1311</v>
      </c>
      <c r="L124" s="347">
        <v>1</v>
      </c>
      <c r="M124" s="347">
        <v>0.5</v>
      </c>
      <c r="N124" s="347">
        <v>0.7</v>
      </c>
      <c r="O124" s="347">
        <v>0.85</v>
      </c>
      <c r="P124" s="347">
        <v>1</v>
      </c>
      <c r="Q124" s="368" t="s">
        <v>1306</v>
      </c>
      <c r="R124" s="860" t="s">
        <v>1806</v>
      </c>
      <c r="S124" s="386" t="s">
        <v>1786</v>
      </c>
      <c r="T124" s="849" t="s">
        <v>1157</v>
      </c>
      <c r="U124" s="387"/>
      <c r="V124" s="919"/>
      <c r="W124" s="967"/>
      <c r="X124" s="639"/>
      <c r="Y124" s="350">
        <f t="shared" si="33"/>
        <v>0</v>
      </c>
      <c r="Z124" s="363">
        <v>0</v>
      </c>
      <c r="AA124" s="363">
        <v>0</v>
      </c>
      <c r="AB124" s="363">
        <v>0</v>
      </c>
      <c r="AC124" s="943">
        <v>0</v>
      </c>
      <c r="AD124" s="381"/>
      <c r="AE124" s="353"/>
      <c r="AF124" s="354">
        <f t="shared" si="30"/>
        <v>220591577.91252801</v>
      </c>
      <c r="AG124" s="355">
        <v>50425358</v>
      </c>
      <c r="AH124" s="355">
        <f t="shared" si="43"/>
        <v>53450879.480000004</v>
      </c>
      <c r="AI124" s="355">
        <f t="shared" si="43"/>
        <v>56657932.248800009</v>
      </c>
      <c r="AJ124" s="356">
        <f t="shared" si="43"/>
        <v>60057408.183728009</v>
      </c>
      <c r="AK124" s="354">
        <f t="shared" si="32"/>
        <v>0</v>
      </c>
      <c r="AL124" s="355"/>
      <c r="AM124" s="355"/>
      <c r="AN124" s="355"/>
      <c r="AO124" s="356"/>
      <c r="AP124" s="913"/>
      <c r="AQ124" s="639"/>
      <c r="AR124" s="357">
        <f t="shared" si="38"/>
        <v>220591577.91252801</v>
      </c>
      <c r="AS124" s="358">
        <f t="shared" si="39"/>
        <v>50425358</v>
      </c>
      <c r="AT124" s="358">
        <f t="shared" si="40"/>
        <v>53450879.480000004</v>
      </c>
      <c r="AU124" s="358">
        <f t="shared" si="41"/>
        <v>56657932.248800009</v>
      </c>
      <c r="AV124" s="359">
        <f t="shared" si="42"/>
        <v>60057408.183728009</v>
      </c>
      <c r="AW124" s="359"/>
      <c r="AX124" s="883" t="s">
        <v>1306</v>
      </c>
    </row>
    <row r="125" spans="1:50" ht="108">
      <c r="A125" s="602" t="s">
        <v>1506</v>
      </c>
      <c r="B125" s="626" t="s">
        <v>1500</v>
      </c>
      <c r="C125" s="417">
        <v>10.4</v>
      </c>
      <c r="D125" s="377" t="s">
        <v>1396</v>
      </c>
      <c r="E125" s="343" t="s">
        <v>1404</v>
      </c>
      <c r="F125" s="511" t="s">
        <v>1405</v>
      </c>
      <c r="G125" s="696" t="str">
        <f t="shared" si="37"/>
        <v>10.4.4 Ejecución de acciones de comunicación en los proyectos del plan de acción</v>
      </c>
      <c r="H125" s="344" t="s">
        <v>1406</v>
      </c>
      <c r="I125" s="385" t="s">
        <v>836</v>
      </c>
      <c r="J125" s="344" t="s">
        <v>437</v>
      </c>
      <c r="K125" s="385" t="s">
        <v>1256</v>
      </c>
      <c r="L125" s="347">
        <v>1</v>
      </c>
      <c r="M125" s="347">
        <v>1</v>
      </c>
      <c r="N125" s="347">
        <v>1</v>
      </c>
      <c r="O125" s="347">
        <v>1</v>
      </c>
      <c r="P125" s="347">
        <v>1</v>
      </c>
      <c r="Q125" s="368" t="s">
        <v>975</v>
      </c>
      <c r="R125" s="860" t="s">
        <v>1806</v>
      </c>
      <c r="S125" s="386" t="s">
        <v>1788</v>
      </c>
      <c r="T125" s="849" t="s">
        <v>1394</v>
      </c>
      <c r="U125" s="387"/>
      <c r="V125" s="919" t="s">
        <v>1408</v>
      </c>
      <c r="W125" s="967"/>
      <c r="X125" s="640"/>
      <c r="Y125" s="350">
        <f t="shared" si="33"/>
        <v>4452924922.4762888</v>
      </c>
      <c r="Z125" s="363">
        <v>1048619492</v>
      </c>
      <c r="AA125" s="363">
        <f>+Z125*(1+4%)</f>
        <v>1090564271.6800001</v>
      </c>
      <c r="AB125" s="363">
        <f t="shared" ref="AB125:AC125" si="48">+AA125*(1+4%)</f>
        <v>1134186842.5472002</v>
      </c>
      <c r="AC125" s="943">
        <f t="shared" si="48"/>
        <v>1179554316.2490883</v>
      </c>
      <c r="AD125" s="381" t="s">
        <v>1407</v>
      </c>
      <c r="AE125" s="353"/>
      <c r="AF125" s="354">
        <f t="shared" si="30"/>
        <v>0</v>
      </c>
      <c r="AG125" s="355"/>
      <c r="AH125" s="355">
        <f t="shared" si="43"/>
        <v>0</v>
      </c>
      <c r="AI125" s="355">
        <f t="shared" si="43"/>
        <v>0</v>
      </c>
      <c r="AJ125" s="356">
        <f t="shared" si="43"/>
        <v>0</v>
      </c>
      <c r="AK125" s="354">
        <f t="shared" si="32"/>
        <v>0</v>
      </c>
      <c r="AL125" s="355"/>
      <c r="AM125" s="355"/>
      <c r="AN125" s="355"/>
      <c r="AO125" s="356"/>
      <c r="AP125" s="913"/>
      <c r="AQ125" s="640"/>
      <c r="AR125" s="357">
        <f t="shared" si="38"/>
        <v>4452924922.4762888</v>
      </c>
      <c r="AS125" s="358">
        <f t="shared" si="39"/>
        <v>1048619492</v>
      </c>
      <c r="AT125" s="358">
        <f t="shared" si="40"/>
        <v>1090564271.6800001</v>
      </c>
      <c r="AU125" s="358">
        <f t="shared" si="41"/>
        <v>1134186842.5472002</v>
      </c>
      <c r="AV125" s="359">
        <f t="shared" si="42"/>
        <v>1179554316.2490883</v>
      </c>
      <c r="AW125" s="359"/>
      <c r="AX125" s="883" t="s">
        <v>975</v>
      </c>
    </row>
    <row r="126" spans="1:50" ht="108">
      <c r="A126" s="602" t="s">
        <v>1506</v>
      </c>
      <c r="B126" s="626" t="s">
        <v>1500</v>
      </c>
      <c r="C126" s="341">
        <v>10.5</v>
      </c>
      <c r="D126" s="493" t="s">
        <v>1409</v>
      </c>
      <c r="E126" s="343" t="s">
        <v>1410</v>
      </c>
      <c r="F126" s="493" t="s">
        <v>1411</v>
      </c>
      <c r="G126" s="696" t="str">
        <f t="shared" si="37"/>
        <v>10.5.1 Implementación de procesos de gestión cultural y educación ambiental en los programas y proyectos corporativos</v>
      </c>
      <c r="H126" s="344" t="s">
        <v>1412</v>
      </c>
      <c r="I126" s="385" t="s">
        <v>930</v>
      </c>
      <c r="J126" s="344" t="s">
        <v>437</v>
      </c>
      <c r="K126" s="385" t="s">
        <v>1413</v>
      </c>
      <c r="L126" s="347">
        <v>1</v>
      </c>
      <c r="M126" s="392">
        <v>0.25</v>
      </c>
      <c r="N126" s="392">
        <v>0.5</v>
      </c>
      <c r="O126" s="392">
        <v>0.75</v>
      </c>
      <c r="P126" s="392">
        <v>1</v>
      </c>
      <c r="Q126" s="368" t="s">
        <v>830</v>
      </c>
      <c r="R126" s="860" t="s">
        <v>1806</v>
      </c>
      <c r="S126" s="386" t="s">
        <v>1788</v>
      </c>
      <c r="T126" s="849" t="s">
        <v>900</v>
      </c>
      <c r="U126" s="387" t="s">
        <v>1415</v>
      </c>
      <c r="V126" s="919"/>
      <c r="W126" s="967"/>
      <c r="X126" s="641">
        <f>SUM(Y126:Y130)</f>
        <v>6948744095.8012886</v>
      </c>
      <c r="Y126" s="350">
        <f t="shared" si="33"/>
        <v>393644319.03808939</v>
      </c>
      <c r="Z126" s="363">
        <f>600970890.918866-AG126</f>
        <v>57052953.755290866</v>
      </c>
      <c r="AA126" s="363">
        <f>719594144.373998-AH126</f>
        <v>143041130.98060834</v>
      </c>
      <c r="AB126" s="363">
        <f>723950384.373998-AI126</f>
        <v>112804190.17700493</v>
      </c>
      <c r="AC126" s="943">
        <f>728561009.973998-AJ126</f>
        <v>80746044.125185251</v>
      </c>
      <c r="AD126" s="545" t="s">
        <v>1414</v>
      </c>
      <c r="AE126" s="353"/>
      <c r="AF126" s="354">
        <f t="shared" si="30"/>
        <v>2379432110.6027708</v>
      </c>
      <c r="AG126" s="632">
        <v>543917937.16357517</v>
      </c>
      <c r="AH126" s="355">
        <f t="shared" si="43"/>
        <v>576553013.3933897</v>
      </c>
      <c r="AI126" s="355">
        <f t="shared" si="43"/>
        <v>611146194.19699311</v>
      </c>
      <c r="AJ126" s="356">
        <f t="shared" si="43"/>
        <v>647814965.8488127</v>
      </c>
      <c r="AK126" s="354">
        <f t="shared" si="32"/>
        <v>0</v>
      </c>
      <c r="AL126" s="355"/>
      <c r="AM126" s="355"/>
      <c r="AN126" s="355"/>
      <c r="AO126" s="356"/>
      <c r="AP126" s="913"/>
      <c r="AQ126" s="641">
        <f>SUM(AR126:AR130)</f>
        <v>9328176206.4040604</v>
      </c>
      <c r="AR126" s="357">
        <f t="shared" si="38"/>
        <v>2773076429.6408601</v>
      </c>
      <c r="AS126" s="358">
        <f t="shared" si="39"/>
        <v>600970890.91886604</v>
      </c>
      <c r="AT126" s="358">
        <f t="shared" si="40"/>
        <v>719594144.37399805</v>
      </c>
      <c r="AU126" s="358">
        <f t="shared" si="41"/>
        <v>723950384.37399805</v>
      </c>
      <c r="AV126" s="359">
        <f t="shared" si="42"/>
        <v>728561009.97399795</v>
      </c>
      <c r="AW126" s="359"/>
      <c r="AX126" s="883" t="s">
        <v>830</v>
      </c>
    </row>
    <row r="127" spans="1:50" ht="90">
      <c r="A127" s="602" t="s">
        <v>1506</v>
      </c>
      <c r="B127" s="626" t="s">
        <v>1500</v>
      </c>
      <c r="C127" s="417">
        <v>10.5</v>
      </c>
      <c r="D127" s="377" t="s">
        <v>1416</v>
      </c>
      <c r="E127" s="343" t="s">
        <v>1417</v>
      </c>
      <c r="F127" s="373" t="s">
        <v>1418</v>
      </c>
      <c r="G127" s="696" t="str">
        <f t="shared" si="37"/>
        <v>10.5.2 Ejecución de acciones en educación ambiental</v>
      </c>
      <c r="H127" s="433" t="s">
        <v>1522</v>
      </c>
      <c r="I127" s="488" t="s">
        <v>930</v>
      </c>
      <c r="J127" s="344" t="s">
        <v>437</v>
      </c>
      <c r="K127" s="385" t="s">
        <v>1419</v>
      </c>
      <c r="L127" s="347">
        <v>1</v>
      </c>
      <c r="M127" s="422">
        <v>1</v>
      </c>
      <c r="N127" s="422">
        <v>1</v>
      </c>
      <c r="O127" s="422">
        <v>1</v>
      </c>
      <c r="P127" s="422">
        <v>1</v>
      </c>
      <c r="Q127" s="368" t="s">
        <v>127</v>
      </c>
      <c r="R127" s="860" t="s">
        <v>1806</v>
      </c>
      <c r="S127" s="386" t="s">
        <v>1788</v>
      </c>
      <c r="T127" s="849" t="s">
        <v>900</v>
      </c>
      <c r="U127" s="387" t="s">
        <v>1421</v>
      </c>
      <c r="V127" s="919" t="s">
        <v>1422</v>
      </c>
      <c r="W127" s="967"/>
      <c r="X127" s="642"/>
      <c r="Y127" s="350">
        <f t="shared" si="33"/>
        <v>2256739776.7631998</v>
      </c>
      <c r="Z127" s="363">
        <v>336004533.33333302</v>
      </c>
      <c r="AA127" s="363">
        <v>607936278.66666663</v>
      </c>
      <c r="AB127" s="363">
        <v>639673522.0533334</v>
      </c>
      <c r="AC127" s="943">
        <v>673125442.70986664</v>
      </c>
      <c r="AD127" s="545" t="s">
        <v>1420</v>
      </c>
      <c r="AE127" s="353"/>
      <c r="AF127" s="354">
        <f t="shared" si="30"/>
        <v>0</v>
      </c>
      <c r="AG127" s="632"/>
      <c r="AH127" s="355">
        <f t="shared" si="43"/>
        <v>0</v>
      </c>
      <c r="AI127" s="355">
        <f t="shared" si="43"/>
        <v>0</v>
      </c>
      <c r="AJ127" s="356">
        <f t="shared" si="43"/>
        <v>0</v>
      </c>
      <c r="AK127" s="354">
        <f t="shared" si="32"/>
        <v>672257335.20045328</v>
      </c>
      <c r="AL127" s="355"/>
      <c r="AM127" s="355">
        <f t="shared" ref="AM127:AO130" si="49">AA127*0.35</f>
        <v>212777697.5333333</v>
      </c>
      <c r="AN127" s="355">
        <f t="shared" si="49"/>
        <v>223885732.71866667</v>
      </c>
      <c r="AO127" s="356">
        <f t="shared" si="49"/>
        <v>235593904.94845331</v>
      </c>
      <c r="AP127" s="913"/>
      <c r="AQ127" s="642"/>
      <c r="AR127" s="357">
        <f t="shared" si="38"/>
        <v>2256739776.7631998</v>
      </c>
      <c r="AS127" s="358">
        <f t="shared" si="39"/>
        <v>336004533.33333302</v>
      </c>
      <c r="AT127" s="358">
        <f t="shared" si="40"/>
        <v>607936278.66666663</v>
      </c>
      <c r="AU127" s="358">
        <f t="shared" si="41"/>
        <v>639673522.0533334</v>
      </c>
      <c r="AV127" s="359">
        <f t="shared" si="42"/>
        <v>673125442.70986664</v>
      </c>
      <c r="AW127" s="359"/>
      <c r="AX127" s="883" t="s">
        <v>127</v>
      </c>
    </row>
    <row r="128" spans="1:50" ht="90">
      <c r="A128" s="602" t="s">
        <v>1506</v>
      </c>
      <c r="B128" s="626" t="s">
        <v>1500</v>
      </c>
      <c r="C128" s="417">
        <v>10.5</v>
      </c>
      <c r="D128" s="377" t="s">
        <v>1416</v>
      </c>
      <c r="E128" s="343" t="s">
        <v>1423</v>
      </c>
      <c r="F128" s="373" t="s">
        <v>1424</v>
      </c>
      <c r="G128" s="696" t="str">
        <f t="shared" si="37"/>
        <v>10.5.3 Implementación de espacios etnoeducativos ambientales en territorios ancestrales y colectivos</v>
      </c>
      <c r="H128" s="344" t="s">
        <v>1425</v>
      </c>
      <c r="I128" s="385" t="s">
        <v>930</v>
      </c>
      <c r="J128" s="344" t="s">
        <v>437</v>
      </c>
      <c r="K128" s="385" t="s">
        <v>1067</v>
      </c>
      <c r="L128" s="368">
        <v>2</v>
      </c>
      <c r="M128" s="368">
        <v>2</v>
      </c>
      <c r="N128" s="368">
        <v>2</v>
      </c>
      <c r="O128" s="368">
        <v>2</v>
      </c>
      <c r="P128" s="368">
        <v>2</v>
      </c>
      <c r="Q128" s="368" t="s">
        <v>847</v>
      </c>
      <c r="R128" s="860" t="s">
        <v>1794</v>
      </c>
      <c r="S128" s="386" t="s">
        <v>1788</v>
      </c>
      <c r="T128" s="849" t="s">
        <v>900</v>
      </c>
      <c r="U128" s="387" t="s">
        <v>1427</v>
      </c>
      <c r="V128" s="919" t="s">
        <v>1428</v>
      </c>
      <c r="W128" s="967"/>
      <c r="X128" s="642"/>
      <c r="Y128" s="350">
        <f t="shared" si="33"/>
        <v>1520000000</v>
      </c>
      <c r="Z128" s="363">
        <v>190000000</v>
      </c>
      <c r="AA128" s="363">
        <v>570000000</v>
      </c>
      <c r="AB128" s="363">
        <v>380000000</v>
      </c>
      <c r="AC128" s="943">
        <v>380000000</v>
      </c>
      <c r="AD128" s="545" t="s">
        <v>1426</v>
      </c>
      <c r="AE128" s="353"/>
      <c r="AF128" s="354">
        <f t="shared" si="30"/>
        <v>0</v>
      </c>
      <c r="AG128" s="632"/>
      <c r="AH128" s="355">
        <f t="shared" si="43"/>
        <v>0</v>
      </c>
      <c r="AI128" s="355">
        <f t="shared" si="43"/>
        <v>0</v>
      </c>
      <c r="AJ128" s="356">
        <f t="shared" si="43"/>
        <v>0</v>
      </c>
      <c r="AK128" s="354">
        <f t="shared" si="32"/>
        <v>465500000</v>
      </c>
      <c r="AL128" s="355"/>
      <c r="AM128" s="355">
        <f t="shared" si="49"/>
        <v>199500000</v>
      </c>
      <c r="AN128" s="355">
        <f t="shared" si="49"/>
        <v>132999999.99999999</v>
      </c>
      <c r="AO128" s="356">
        <f t="shared" si="49"/>
        <v>132999999.99999999</v>
      </c>
      <c r="AP128" s="913"/>
      <c r="AQ128" s="642"/>
      <c r="AR128" s="357">
        <f t="shared" si="38"/>
        <v>1520000000</v>
      </c>
      <c r="AS128" s="358">
        <f t="shared" si="39"/>
        <v>190000000</v>
      </c>
      <c r="AT128" s="358">
        <f t="shared" si="40"/>
        <v>570000000</v>
      </c>
      <c r="AU128" s="358">
        <f t="shared" si="41"/>
        <v>380000000</v>
      </c>
      <c r="AV128" s="359">
        <f t="shared" si="42"/>
        <v>380000000</v>
      </c>
      <c r="AW128" s="359"/>
      <c r="AX128" s="884" t="s">
        <v>847</v>
      </c>
    </row>
    <row r="129" spans="1:50" ht="83.25" customHeight="1">
      <c r="A129" s="602" t="s">
        <v>1506</v>
      </c>
      <c r="B129" s="626" t="s">
        <v>1500</v>
      </c>
      <c r="C129" s="417">
        <v>10.5</v>
      </c>
      <c r="D129" s="377" t="s">
        <v>1416</v>
      </c>
      <c r="E129" s="343" t="s">
        <v>1429</v>
      </c>
      <c r="F129" s="373" t="s">
        <v>1430</v>
      </c>
      <c r="G129" s="696" t="str">
        <f t="shared" si="37"/>
        <v>10.5.4 Fortalecimiento de la capacidades en las autoridades étnicas y actores representativos</v>
      </c>
      <c r="H129" s="344" t="s">
        <v>1431</v>
      </c>
      <c r="I129" s="488" t="s">
        <v>930</v>
      </c>
      <c r="J129" s="344" t="s">
        <v>437</v>
      </c>
      <c r="K129" s="385" t="s">
        <v>1413</v>
      </c>
      <c r="L129" s="497">
        <v>0.4</v>
      </c>
      <c r="M129" s="497">
        <v>0.1</v>
      </c>
      <c r="N129" s="497">
        <v>0.2</v>
      </c>
      <c r="O129" s="497">
        <v>0.3</v>
      </c>
      <c r="P129" s="497">
        <v>0.4</v>
      </c>
      <c r="Q129" s="368" t="s">
        <v>830</v>
      </c>
      <c r="R129" s="860" t="s">
        <v>1806</v>
      </c>
      <c r="S129" s="386" t="s">
        <v>1788</v>
      </c>
      <c r="T129" s="849" t="s">
        <v>900</v>
      </c>
      <c r="U129" s="387"/>
      <c r="V129" s="919" t="s">
        <v>1433</v>
      </c>
      <c r="W129" s="967"/>
      <c r="X129" s="642"/>
      <c r="Y129" s="350">
        <f t="shared" si="33"/>
        <v>2400000000</v>
      </c>
      <c r="Z129" s="363">
        <f>300000000</f>
        <v>300000000</v>
      </c>
      <c r="AA129" s="363">
        <f>600000000+150000000</f>
        <v>750000000</v>
      </c>
      <c r="AB129" s="363">
        <f>600000000+150000000</f>
        <v>750000000</v>
      </c>
      <c r="AC129" s="943">
        <v>600000000</v>
      </c>
      <c r="AD129" s="545" t="s">
        <v>1432</v>
      </c>
      <c r="AE129" s="353"/>
      <c r="AF129" s="354">
        <f t="shared" si="30"/>
        <v>0</v>
      </c>
      <c r="AG129" s="632"/>
      <c r="AH129" s="355">
        <f t="shared" si="43"/>
        <v>0</v>
      </c>
      <c r="AI129" s="355">
        <f t="shared" si="43"/>
        <v>0</v>
      </c>
      <c r="AJ129" s="356">
        <f t="shared" si="43"/>
        <v>0</v>
      </c>
      <c r="AK129" s="354">
        <f t="shared" si="32"/>
        <v>735000000</v>
      </c>
      <c r="AL129" s="355"/>
      <c r="AM129" s="355">
        <f t="shared" si="49"/>
        <v>262499999.99999997</v>
      </c>
      <c r="AN129" s="355">
        <f t="shared" si="49"/>
        <v>262499999.99999997</v>
      </c>
      <c r="AO129" s="356">
        <f t="shared" si="49"/>
        <v>210000000</v>
      </c>
      <c r="AP129" s="913"/>
      <c r="AQ129" s="642"/>
      <c r="AR129" s="357">
        <f t="shared" si="38"/>
        <v>2400000000</v>
      </c>
      <c r="AS129" s="358">
        <f t="shared" si="39"/>
        <v>300000000</v>
      </c>
      <c r="AT129" s="358">
        <f t="shared" si="40"/>
        <v>750000000</v>
      </c>
      <c r="AU129" s="358">
        <f t="shared" si="41"/>
        <v>750000000</v>
      </c>
      <c r="AV129" s="359">
        <f t="shared" si="42"/>
        <v>600000000</v>
      </c>
      <c r="AW129" s="359"/>
      <c r="AX129" s="883" t="s">
        <v>830</v>
      </c>
    </row>
    <row r="130" spans="1:50" ht="83.25" customHeight="1">
      <c r="A130" s="602" t="s">
        <v>1506</v>
      </c>
      <c r="B130" s="626" t="s">
        <v>1500</v>
      </c>
      <c r="C130" s="417">
        <v>10.5</v>
      </c>
      <c r="D130" s="377" t="s">
        <v>1416</v>
      </c>
      <c r="E130" s="343" t="s">
        <v>1434</v>
      </c>
      <c r="F130" s="373" t="s">
        <v>1435</v>
      </c>
      <c r="G130" s="696" t="str">
        <f t="shared" ref="G130:G139" si="50">CONCATENATE(E130," ",F130)</f>
        <v>10.5.5 Fortalecimiento de organizaciones socio-ambientales</v>
      </c>
      <c r="H130" s="344" t="s">
        <v>1436</v>
      </c>
      <c r="I130" s="488" t="s">
        <v>930</v>
      </c>
      <c r="J130" s="344" t="s">
        <v>437</v>
      </c>
      <c r="K130" s="385" t="s">
        <v>1413</v>
      </c>
      <c r="L130" s="497">
        <v>0.4</v>
      </c>
      <c r="M130" s="497">
        <v>0.1</v>
      </c>
      <c r="N130" s="497">
        <v>0.2</v>
      </c>
      <c r="O130" s="497">
        <v>0.3</v>
      </c>
      <c r="P130" s="497">
        <v>0.4</v>
      </c>
      <c r="Q130" s="368" t="s">
        <v>830</v>
      </c>
      <c r="R130" s="860" t="s">
        <v>1806</v>
      </c>
      <c r="S130" s="386" t="s">
        <v>1788</v>
      </c>
      <c r="T130" s="849" t="s">
        <v>900</v>
      </c>
      <c r="U130" s="387"/>
      <c r="V130" s="919"/>
      <c r="W130" s="967"/>
      <c r="X130" s="643"/>
      <c r="Y130" s="350">
        <f t="shared" si="33"/>
        <v>378360000</v>
      </c>
      <c r="Z130" s="363">
        <v>60000000</v>
      </c>
      <c r="AA130" s="363">
        <v>100000000</v>
      </c>
      <c r="AB130" s="363">
        <f>AA130*1.06</f>
        <v>106000000</v>
      </c>
      <c r="AC130" s="943">
        <f>AB130*1.06</f>
        <v>112360000</v>
      </c>
      <c r="AD130" s="545" t="s">
        <v>1437</v>
      </c>
      <c r="AE130" s="353"/>
      <c r="AF130" s="354">
        <f t="shared" si="30"/>
        <v>0</v>
      </c>
      <c r="AG130" s="632"/>
      <c r="AH130" s="355">
        <f t="shared" si="43"/>
        <v>0</v>
      </c>
      <c r="AI130" s="355">
        <f t="shared" si="43"/>
        <v>0</v>
      </c>
      <c r="AJ130" s="356">
        <f t="shared" si="43"/>
        <v>0</v>
      </c>
      <c r="AK130" s="354">
        <f t="shared" si="32"/>
        <v>111426000</v>
      </c>
      <c r="AL130" s="355"/>
      <c r="AM130" s="355">
        <f t="shared" si="49"/>
        <v>35000000</v>
      </c>
      <c r="AN130" s="355">
        <f t="shared" si="49"/>
        <v>37100000</v>
      </c>
      <c r="AO130" s="356">
        <f t="shared" si="49"/>
        <v>39326000</v>
      </c>
      <c r="AP130" s="913"/>
      <c r="AQ130" s="643"/>
      <c r="AR130" s="357">
        <f t="shared" ref="AR130:AR140" si="51">Y130+AF130</f>
        <v>378360000</v>
      </c>
      <c r="AS130" s="358">
        <f t="shared" ref="AS130:AS141" si="52">IFERROR(Z130+AG130,0)</f>
        <v>60000000</v>
      </c>
      <c r="AT130" s="358">
        <f t="shared" ref="AT130:AT141" si="53">IFERROR(AA130+AH130,0)</f>
        <v>100000000</v>
      </c>
      <c r="AU130" s="358">
        <f t="shared" ref="AU130:AU141" si="54">IFERROR(AB130+AI130,0)</f>
        <v>106000000</v>
      </c>
      <c r="AV130" s="359">
        <f t="shared" ref="AV130:AV141" si="55">IFERROR(AC130+AJ130,0)</f>
        <v>112360000</v>
      </c>
      <c r="AW130" s="359"/>
      <c r="AX130" s="883" t="s">
        <v>830</v>
      </c>
    </row>
    <row r="131" spans="1:50" ht="144">
      <c r="A131" s="602" t="s">
        <v>1506</v>
      </c>
      <c r="B131" s="626" t="s">
        <v>1500</v>
      </c>
      <c r="C131" s="341">
        <v>10.6</v>
      </c>
      <c r="D131" s="493" t="s">
        <v>1438</v>
      </c>
      <c r="E131" s="343" t="s">
        <v>1439</v>
      </c>
      <c r="F131" s="493" t="s">
        <v>1440</v>
      </c>
      <c r="G131" s="696" t="str">
        <f t="shared" si="50"/>
        <v>10.6.1 Promoción de la investigación para el fortalecimiento de los saberes ancestrales, culturales, espirituales y sociales para la protección del medio ambiente</v>
      </c>
      <c r="H131" s="344" t="s">
        <v>1441</v>
      </c>
      <c r="I131" s="488" t="s">
        <v>930</v>
      </c>
      <c r="J131" s="344" t="s">
        <v>845</v>
      </c>
      <c r="K131" s="385" t="s">
        <v>1067</v>
      </c>
      <c r="L131" s="644">
        <v>2</v>
      </c>
      <c r="M131" s="368">
        <v>0.5</v>
      </c>
      <c r="N131" s="368">
        <v>1</v>
      </c>
      <c r="O131" s="368">
        <v>1.5</v>
      </c>
      <c r="P131" s="368">
        <v>2</v>
      </c>
      <c r="Q131" s="368" t="s">
        <v>847</v>
      </c>
      <c r="R131" s="860" t="s">
        <v>1801</v>
      </c>
      <c r="S131" s="386" t="s">
        <v>1788</v>
      </c>
      <c r="T131" s="849" t="s">
        <v>900</v>
      </c>
      <c r="U131" s="387" t="s">
        <v>1443</v>
      </c>
      <c r="V131" s="919" t="s">
        <v>1444</v>
      </c>
      <c r="W131" s="967"/>
      <c r="X131" s="645">
        <f>SUM(Y131:Y133)</f>
        <v>698508026.91054845</v>
      </c>
      <c r="Y131" s="350">
        <f t="shared" si="33"/>
        <v>215726353.75554848</v>
      </c>
      <c r="Z131" s="363">
        <f>373797046.244709-AG131</f>
        <v>81322956.810736418</v>
      </c>
      <c r="AA131" s="363">
        <f t="shared" ref="AA131:AB131" si="56">373797046.244709-AH131</f>
        <v>63774511.444698036</v>
      </c>
      <c r="AB131" s="363">
        <f t="shared" si="56"/>
        <v>45173159.356697381</v>
      </c>
      <c r="AC131" s="943">
        <f>373797046.244709-AJ131</f>
        <v>25455726.143416643</v>
      </c>
      <c r="AD131" s="545" t="s">
        <v>1442</v>
      </c>
      <c r="AE131" s="353"/>
      <c r="AF131" s="354">
        <f t="shared" si="30"/>
        <v>1279461831.2232876</v>
      </c>
      <c r="AG131" s="632">
        <v>292474089.4339726</v>
      </c>
      <c r="AH131" s="355">
        <f t="shared" si="43"/>
        <v>310022534.80001098</v>
      </c>
      <c r="AI131" s="355">
        <f t="shared" si="43"/>
        <v>328623886.88801163</v>
      </c>
      <c r="AJ131" s="356">
        <f t="shared" si="43"/>
        <v>348341320.10129237</v>
      </c>
      <c r="AK131" s="354">
        <f t="shared" si="32"/>
        <v>-852584344.84450293</v>
      </c>
      <c r="AL131" s="355"/>
      <c r="AM131" s="355">
        <f>AA131-AH131</f>
        <v>-246248023.35531294</v>
      </c>
      <c r="AN131" s="355">
        <f>AB131-AI131</f>
        <v>-283450727.53131425</v>
      </c>
      <c r="AO131" s="356">
        <f>AC131-AJ131</f>
        <v>-322885593.95787573</v>
      </c>
      <c r="AP131" s="913"/>
      <c r="AQ131" s="645">
        <f>SUM(AR131:AR133)</f>
        <v>1977969858.133836</v>
      </c>
      <c r="AR131" s="357">
        <f t="shared" si="51"/>
        <v>1495188184.9788361</v>
      </c>
      <c r="AS131" s="358">
        <f t="shared" si="52"/>
        <v>373797046.24470901</v>
      </c>
      <c r="AT131" s="358">
        <f t="shared" si="53"/>
        <v>373797046.24470901</v>
      </c>
      <c r="AU131" s="358">
        <f t="shared" si="54"/>
        <v>373797046.24470901</v>
      </c>
      <c r="AV131" s="359">
        <f t="shared" si="55"/>
        <v>373797046.24470901</v>
      </c>
      <c r="AW131" s="359"/>
      <c r="AX131" s="884" t="s">
        <v>847</v>
      </c>
    </row>
    <row r="132" spans="1:50" ht="108">
      <c r="A132" s="602" t="s">
        <v>1506</v>
      </c>
      <c r="B132" s="626" t="s">
        <v>1500</v>
      </c>
      <c r="C132" s="417">
        <v>10.6</v>
      </c>
      <c r="D132" s="377" t="s">
        <v>1445</v>
      </c>
      <c r="E132" s="343" t="s">
        <v>1446</v>
      </c>
      <c r="F132" s="344" t="s">
        <v>1447</v>
      </c>
      <c r="G132" s="696" t="str">
        <f t="shared" si="50"/>
        <v>10.6.2 Promoción de procesos de investigación e innovación ejecutados en las temáticas priorizadas</v>
      </c>
      <c r="H132" s="344" t="s">
        <v>1448</v>
      </c>
      <c r="I132" s="488" t="s">
        <v>930</v>
      </c>
      <c r="J132" s="344" t="s">
        <v>845</v>
      </c>
      <c r="K132" s="385" t="s">
        <v>1067</v>
      </c>
      <c r="L132" s="392">
        <f>2/10</f>
        <v>0.2</v>
      </c>
      <c r="M132" s="392">
        <v>0</v>
      </c>
      <c r="N132" s="392">
        <f>1/10</f>
        <v>0.1</v>
      </c>
      <c r="O132" s="392">
        <f>1/10</f>
        <v>0.1</v>
      </c>
      <c r="P132" s="392">
        <f>2/10</f>
        <v>0.2</v>
      </c>
      <c r="Q132" s="368" t="s">
        <v>847</v>
      </c>
      <c r="R132" s="860" t="s">
        <v>1799</v>
      </c>
      <c r="S132" s="386" t="s">
        <v>1788</v>
      </c>
      <c r="T132" s="849" t="s">
        <v>900</v>
      </c>
      <c r="U132" s="387" t="s">
        <v>1450</v>
      </c>
      <c r="V132" s="919"/>
      <c r="W132" s="967"/>
      <c r="X132" s="646"/>
      <c r="Y132" s="350">
        <f t="shared" si="33"/>
        <v>262476960</v>
      </c>
      <c r="Z132" s="363">
        <v>60000000</v>
      </c>
      <c r="AA132" s="363">
        <v>63600000</v>
      </c>
      <c r="AB132" s="363">
        <v>67416000</v>
      </c>
      <c r="AC132" s="943">
        <v>71460960</v>
      </c>
      <c r="AD132" s="545" t="s">
        <v>1449</v>
      </c>
      <c r="AE132" s="353"/>
      <c r="AF132" s="354">
        <f t="shared" si="30"/>
        <v>0</v>
      </c>
      <c r="AG132" s="632"/>
      <c r="AH132" s="355">
        <f t="shared" si="43"/>
        <v>0</v>
      </c>
      <c r="AI132" s="355">
        <f t="shared" si="43"/>
        <v>0</v>
      </c>
      <c r="AJ132" s="356">
        <f t="shared" si="43"/>
        <v>0</v>
      </c>
      <c r="AK132" s="354">
        <f t="shared" si="32"/>
        <v>40495392</v>
      </c>
      <c r="AL132" s="355"/>
      <c r="AM132" s="355">
        <f>AA132*0.2</f>
        <v>12720000</v>
      </c>
      <c r="AN132" s="355">
        <f>AB132*0.2</f>
        <v>13483200</v>
      </c>
      <c r="AO132" s="356">
        <f>AC132*0.2</f>
        <v>14292192</v>
      </c>
      <c r="AP132" s="913"/>
      <c r="AQ132" s="646"/>
      <c r="AR132" s="357">
        <f t="shared" si="51"/>
        <v>262476960</v>
      </c>
      <c r="AS132" s="358">
        <f t="shared" si="52"/>
        <v>60000000</v>
      </c>
      <c r="AT132" s="358">
        <f t="shared" si="53"/>
        <v>63600000</v>
      </c>
      <c r="AU132" s="358">
        <f t="shared" si="54"/>
        <v>67416000</v>
      </c>
      <c r="AV132" s="359">
        <f t="shared" si="55"/>
        <v>71460960</v>
      </c>
      <c r="AW132" s="359"/>
      <c r="AX132" s="883" t="s">
        <v>847</v>
      </c>
    </row>
    <row r="133" spans="1:50" ht="90">
      <c r="A133" s="602" t="s">
        <v>1506</v>
      </c>
      <c r="B133" s="626" t="s">
        <v>1500</v>
      </c>
      <c r="C133" s="417">
        <v>10.6</v>
      </c>
      <c r="D133" s="485" t="s">
        <v>1445</v>
      </c>
      <c r="E133" s="343" t="s">
        <v>1451</v>
      </c>
      <c r="F133" s="344" t="s">
        <v>1452</v>
      </c>
      <c r="G133" s="696" t="str">
        <f t="shared" si="50"/>
        <v>10.6.3 Promoción de innovaciones generadas y puestas en funcionamiento en la administración de lo ambiental</v>
      </c>
      <c r="H133" s="344" t="s">
        <v>1453</v>
      </c>
      <c r="I133" s="488" t="s">
        <v>930</v>
      </c>
      <c r="J133" s="344" t="s">
        <v>845</v>
      </c>
      <c r="K133" s="385" t="s">
        <v>1067</v>
      </c>
      <c r="L133" s="368">
        <f>SUBTOTAL(9,M133:P133)</f>
        <v>3</v>
      </c>
      <c r="M133" s="368">
        <v>0</v>
      </c>
      <c r="N133" s="368">
        <v>0</v>
      </c>
      <c r="O133" s="368">
        <v>1</v>
      </c>
      <c r="P133" s="368">
        <v>2</v>
      </c>
      <c r="Q133" s="368" t="s">
        <v>847</v>
      </c>
      <c r="R133" s="860" t="s">
        <v>1799</v>
      </c>
      <c r="S133" s="386" t="s">
        <v>1788</v>
      </c>
      <c r="T133" s="849" t="s">
        <v>900</v>
      </c>
      <c r="U133" s="387"/>
      <c r="V133" s="919"/>
      <c r="W133" s="967"/>
      <c r="X133" s="647"/>
      <c r="Y133" s="350">
        <f t="shared" si="33"/>
        <v>220304713.15499997</v>
      </c>
      <c r="Z133" s="363">
        <v>0</v>
      </c>
      <c r="AA133" s="363">
        <v>0</v>
      </c>
      <c r="AB133" s="363">
        <v>107471314</v>
      </c>
      <c r="AC133" s="943">
        <v>112833399.15499999</v>
      </c>
      <c r="AD133" s="938" t="s">
        <v>1454</v>
      </c>
      <c r="AE133" s="353"/>
      <c r="AF133" s="354">
        <f t="shared" si="30"/>
        <v>0</v>
      </c>
      <c r="AG133" s="632"/>
      <c r="AH133" s="355">
        <f t="shared" si="43"/>
        <v>0</v>
      </c>
      <c r="AI133" s="355">
        <f t="shared" si="43"/>
        <v>0</v>
      </c>
      <c r="AJ133" s="356">
        <f t="shared" si="43"/>
        <v>0</v>
      </c>
      <c r="AK133" s="354">
        <f t="shared" si="32"/>
        <v>77106649.604249984</v>
      </c>
      <c r="AL133" s="355"/>
      <c r="AM133" s="355">
        <v>0</v>
      </c>
      <c r="AN133" s="355">
        <f t="shared" ref="AN133:AO135" si="57">AB133*0.35</f>
        <v>37614959.899999999</v>
      </c>
      <c r="AO133" s="356">
        <f t="shared" si="57"/>
        <v>39491689.704249993</v>
      </c>
      <c r="AP133" s="913"/>
      <c r="AQ133" s="647"/>
      <c r="AR133" s="357">
        <f t="shared" si="51"/>
        <v>220304713.15499997</v>
      </c>
      <c r="AS133" s="358">
        <f t="shared" si="52"/>
        <v>0</v>
      </c>
      <c r="AT133" s="358">
        <f t="shared" si="53"/>
        <v>0</v>
      </c>
      <c r="AU133" s="358">
        <f t="shared" si="54"/>
        <v>107471314</v>
      </c>
      <c r="AV133" s="359">
        <f t="shared" si="55"/>
        <v>112833399.15499999</v>
      </c>
      <c r="AW133" s="359"/>
      <c r="AX133" s="883" t="s">
        <v>847</v>
      </c>
    </row>
    <row r="134" spans="1:50" ht="120.75" thickBot="1">
      <c r="A134" s="602" t="s">
        <v>1506</v>
      </c>
      <c r="B134" s="626" t="s">
        <v>1500</v>
      </c>
      <c r="C134" s="648">
        <v>10.7</v>
      </c>
      <c r="D134" s="473" t="s">
        <v>1455</v>
      </c>
      <c r="E134" s="406" t="s">
        <v>1456</v>
      </c>
      <c r="F134" s="407" t="s">
        <v>1457</v>
      </c>
      <c r="G134" s="732" t="str">
        <f t="shared" si="50"/>
        <v>10.7.1 Implementación del observatorio ambiental</v>
      </c>
      <c r="H134" s="407" t="s">
        <v>1458</v>
      </c>
      <c r="I134" s="475" t="s">
        <v>930</v>
      </c>
      <c r="J134" s="401" t="s">
        <v>437</v>
      </c>
      <c r="K134" s="475" t="s">
        <v>1413</v>
      </c>
      <c r="L134" s="649">
        <v>1</v>
      </c>
      <c r="M134" s="649">
        <v>0.25</v>
      </c>
      <c r="N134" s="649">
        <v>0.5</v>
      </c>
      <c r="O134" s="649">
        <v>0.75</v>
      </c>
      <c r="P134" s="649">
        <v>1</v>
      </c>
      <c r="Q134" s="502" t="s">
        <v>975</v>
      </c>
      <c r="R134" s="866" t="s">
        <v>1799</v>
      </c>
      <c r="S134" s="507" t="s">
        <v>1788</v>
      </c>
      <c r="T134" s="855" t="s">
        <v>900</v>
      </c>
      <c r="U134" s="508"/>
      <c r="V134" s="925"/>
      <c r="W134" s="968"/>
      <c r="X134" s="650">
        <f>Y134</f>
        <v>31406534.238924213</v>
      </c>
      <c r="Y134" s="450">
        <f t="shared" si="33"/>
        <v>31406534.238924213</v>
      </c>
      <c r="Z134" s="533">
        <f>70000000-AG134</f>
        <v>10887733.743698701</v>
      </c>
      <c r="AA134" s="533">
        <f t="shared" ref="AA134:AB134" si="58">70000000-AH134</f>
        <v>7340997.7683206201</v>
      </c>
      <c r="AB134" s="533">
        <f t="shared" si="58"/>
        <v>3581457.634419851</v>
      </c>
      <c r="AC134" s="955">
        <f>80000000-AJ134</f>
        <v>9596345.0924850404</v>
      </c>
      <c r="AD134" s="932" t="s">
        <v>1459</v>
      </c>
      <c r="AE134" s="443"/>
      <c r="AF134" s="354">
        <f t="shared" ref="AF134:AF140" si="59">SUM(AG134:AJ134)</f>
        <v>258593465.76107579</v>
      </c>
      <c r="AG134" s="632">
        <v>59112266.256301299</v>
      </c>
      <c r="AH134" s="355">
        <f t="shared" ref="AH134:AJ140" si="60">IFERROR(AG134*1.06,AG134)</f>
        <v>62659002.23167938</v>
      </c>
      <c r="AI134" s="355">
        <f t="shared" si="60"/>
        <v>66418542.365580149</v>
      </c>
      <c r="AJ134" s="356">
        <f t="shared" si="60"/>
        <v>70403654.90751496</v>
      </c>
      <c r="AK134" s="354">
        <f t="shared" ref="AK134:AK140" si="61">+SUM(AL134:AO134)</f>
        <v>7181580.1733289286</v>
      </c>
      <c r="AL134" s="355"/>
      <c r="AM134" s="355">
        <f>AA134*0.35</f>
        <v>2569349.2189122168</v>
      </c>
      <c r="AN134" s="355">
        <f t="shared" si="57"/>
        <v>1253510.1720469478</v>
      </c>
      <c r="AO134" s="356">
        <f t="shared" si="57"/>
        <v>3358720.7823697641</v>
      </c>
      <c r="AP134" s="914"/>
      <c r="AQ134" s="650">
        <f>AR134</f>
        <v>290000000</v>
      </c>
      <c r="AR134" s="357">
        <f t="shared" si="51"/>
        <v>290000000</v>
      </c>
      <c r="AS134" s="358">
        <f t="shared" si="52"/>
        <v>70000000</v>
      </c>
      <c r="AT134" s="358">
        <f t="shared" si="53"/>
        <v>70000000</v>
      </c>
      <c r="AU134" s="358">
        <f t="shared" si="54"/>
        <v>70000000</v>
      </c>
      <c r="AV134" s="359">
        <f t="shared" si="55"/>
        <v>80000000</v>
      </c>
      <c r="AW134" s="359"/>
      <c r="AX134" s="895" t="s">
        <v>975</v>
      </c>
    </row>
    <row r="135" spans="1:50" ht="48">
      <c r="A135" s="602" t="s">
        <v>1506</v>
      </c>
      <c r="B135" s="651" t="s">
        <v>1501</v>
      </c>
      <c r="C135" s="417">
        <v>11.1</v>
      </c>
      <c r="D135" s="511" t="s">
        <v>1460</v>
      </c>
      <c r="E135" s="419" t="s">
        <v>1461</v>
      </c>
      <c r="F135" s="511" t="s">
        <v>1462</v>
      </c>
      <c r="G135" s="731" t="str">
        <f t="shared" si="50"/>
        <v>11.1.1 Formulación e implementación del modelo de participación</v>
      </c>
      <c r="H135" s="346" t="s">
        <v>1463</v>
      </c>
      <c r="I135" s="454" t="s">
        <v>930</v>
      </c>
      <c r="J135" s="623" t="s">
        <v>437</v>
      </c>
      <c r="K135" s="347" t="s">
        <v>1413</v>
      </c>
      <c r="L135" s="347">
        <v>1</v>
      </c>
      <c r="M135" s="347">
        <v>0.25</v>
      </c>
      <c r="N135" s="347">
        <v>0.5</v>
      </c>
      <c r="O135" s="347">
        <v>0.75</v>
      </c>
      <c r="P135" s="347">
        <v>1</v>
      </c>
      <c r="Q135" s="423" t="s">
        <v>830</v>
      </c>
      <c r="R135" s="863" t="s">
        <v>1807</v>
      </c>
      <c r="S135" s="458" t="s">
        <v>1788</v>
      </c>
      <c r="T135" s="853" t="s">
        <v>900</v>
      </c>
      <c r="U135" s="459" t="s">
        <v>1465</v>
      </c>
      <c r="V135" s="923"/>
      <c r="W135" s="969">
        <f>SUM(X135:X140)</f>
        <v>1291918028.9535253</v>
      </c>
      <c r="X135" s="653">
        <f>SUM(Y135:Y136)</f>
        <v>480028472.76611161</v>
      </c>
      <c r="Y135" s="350">
        <f t="shared" si="33"/>
        <v>293307569.16611165</v>
      </c>
      <c r="Z135" s="425">
        <f>292943618.452355-AG135</f>
        <v>92133557.719411075</v>
      </c>
      <c r="AA135" s="425">
        <f t="shared" ref="AA135:AC135" si="62">292943618.452355-AH135</f>
        <v>80084954.075434417</v>
      </c>
      <c r="AB135" s="425">
        <f t="shared" si="62"/>
        <v>67313434.212819159</v>
      </c>
      <c r="AC135" s="949">
        <f t="shared" si="62"/>
        <v>53775623.158446997</v>
      </c>
      <c r="AD135" s="935" t="s">
        <v>1464</v>
      </c>
      <c r="AE135" s="427"/>
      <c r="AF135" s="354">
        <f t="shared" si="59"/>
        <v>878466904.64330852</v>
      </c>
      <c r="AG135" s="632">
        <v>200810060.73294395</v>
      </c>
      <c r="AH135" s="355">
        <f t="shared" si="60"/>
        <v>212858664.37692061</v>
      </c>
      <c r="AI135" s="355">
        <f t="shared" si="60"/>
        <v>225630184.23953587</v>
      </c>
      <c r="AJ135" s="356">
        <f t="shared" si="60"/>
        <v>239167995.29390803</v>
      </c>
      <c r="AK135" s="354">
        <f t="shared" si="61"/>
        <v>70410904.006345198</v>
      </c>
      <c r="AL135" s="355"/>
      <c r="AM135" s="355">
        <f>AA135*0.35</f>
        <v>28029733.926402044</v>
      </c>
      <c r="AN135" s="355">
        <f t="shared" si="57"/>
        <v>23559701.974486705</v>
      </c>
      <c r="AO135" s="356">
        <f t="shared" si="57"/>
        <v>18821468.105456449</v>
      </c>
      <c r="AP135" s="915">
        <f>SUM(AQ135:AQ140)</f>
        <v>2727736855.0871468</v>
      </c>
      <c r="AQ135" s="653">
        <f>SUM(AR135:AR136)</f>
        <v>1358495377.40942</v>
      </c>
      <c r="AR135" s="357">
        <f t="shared" si="51"/>
        <v>1171774473.8094201</v>
      </c>
      <c r="AS135" s="358">
        <f t="shared" si="52"/>
        <v>292943618.45235503</v>
      </c>
      <c r="AT135" s="358">
        <f t="shared" si="53"/>
        <v>292943618.45235503</v>
      </c>
      <c r="AU135" s="358">
        <f t="shared" si="54"/>
        <v>292943618.45235503</v>
      </c>
      <c r="AV135" s="359">
        <f t="shared" si="55"/>
        <v>292943618.45235503</v>
      </c>
      <c r="AW135" s="359"/>
      <c r="AX135" s="887" t="s">
        <v>830</v>
      </c>
    </row>
    <row r="136" spans="1:50" ht="60">
      <c r="A136" s="602" t="s">
        <v>1506</v>
      </c>
      <c r="B136" s="654" t="s">
        <v>1501</v>
      </c>
      <c r="C136" s="417">
        <v>11.1</v>
      </c>
      <c r="D136" s="377" t="s">
        <v>1466</v>
      </c>
      <c r="E136" s="343" t="s">
        <v>1467</v>
      </c>
      <c r="F136" s="344" t="s">
        <v>1468</v>
      </c>
      <c r="G136" s="696" t="str">
        <f t="shared" si="50"/>
        <v>11.1.2 Participación efectiva de los actores en las decisiones relacionadas con la gestión ambiental</v>
      </c>
      <c r="H136" s="344" t="s">
        <v>1523</v>
      </c>
      <c r="I136" s="385" t="s">
        <v>930</v>
      </c>
      <c r="J136" s="344" t="s">
        <v>437</v>
      </c>
      <c r="K136" s="385" t="s">
        <v>1067</v>
      </c>
      <c r="L136" s="347">
        <v>1</v>
      </c>
      <c r="M136" s="347">
        <v>0</v>
      </c>
      <c r="N136" s="347">
        <v>1</v>
      </c>
      <c r="O136" s="347">
        <v>1</v>
      </c>
      <c r="P136" s="347">
        <v>1</v>
      </c>
      <c r="Q136" s="368" t="s">
        <v>847</v>
      </c>
      <c r="R136" s="860" t="s">
        <v>1807</v>
      </c>
      <c r="S136" s="386" t="s">
        <v>1788</v>
      </c>
      <c r="T136" s="849" t="s">
        <v>900</v>
      </c>
      <c r="U136" s="387"/>
      <c r="V136" s="919"/>
      <c r="W136" s="969"/>
      <c r="X136" s="425"/>
      <c r="Y136" s="350">
        <f t="shared" ref="Y136:Y140" si="63">SUM(Z136:AC136)</f>
        <v>186720903.59999999</v>
      </c>
      <c r="Z136" s="363">
        <v>0</v>
      </c>
      <c r="AA136" s="363">
        <v>58821000</v>
      </c>
      <c r="AB136" s="363">
        <v>62175540</v>
      </c>
      <c r="AC136" s="943">
        <v>65724363.600000001</v>
      </c>
      <c r="AD136" s="545" t="s">
        <v>1469</v>
      </c>
      <c r="AE136" s="353"/>
      <c r="AF136" s="354">
        <f t="shared" si="59"/>
        <v>0</v>
      </c>
      <c r="AG136" s="632"/>
      <c r="AH136" s="355">
        <f t="shared" si="60"/>
        <v>0</v>
      </c>
      <c r="AI136" s="355">
        <f t="shared" si="60"/>
        <v>0</v>
      </c>
      <c r="AJ136" s="356">
        <f t="shared" si="60"/>
        <v>0</v>
      </c>
      <c r="AK136" s="354">
        <f t="shared" si="61"/>
        <v>0</v>
      </c>
      <c r="AL136" s="355"/>
      <c r="AM136" s="355">
        <v>0</v>
      </c>
      <c r="AN136" s="355">
        <v>0</v>
      </c>
      <c r="AO136" s="356">
        <v>0</v>
      </c>
      <c r="AP136" s="915"/>
      <c r="AQ136" s="425"/>
      <c r="AR136" s="357">
        <f t="shared" si="51"/>
        <v>186720903.59999999</v>
      </c>
      <c r="AS136" s="358">
        <f t="shared" si="52"/>
        <v>0</v>
      </c>
      <c r="AT136" s="358">
        <f t="shared" si="53"/>
        <v>58821000</v>
      </c>
      <c r="AU136" s="358">
        <f t="shared" si="54"/>
        <v>62175540</v>
      </c>
      <c r="AV136" s="359">
        <f t="shared" si="55"/>
        <v>65724363.600000001</v>
      </c>
      <c r="AW136" s="359"/>
      <c r="AX136" s="884" t="s">
        <v>847</v>
      </c>
    </row>
    <row r="137" spans="1:50" ht="45">
      <c r="A137" s="602" t="s">
        <v>1506</v>
      </c>
      <c r="B137" s="654" t="s">
        <v>1501</v>
      </c>
      <c r="C137" s="341">
        <v>11.2</v>
      </c>
      <c r="D137" s="493" t="s">
        <v>1470</v>
      </c>
      <c r="E137" s="343" t="s">
        <v>1471</v>
      </c>
      <c r="F137" s="344" t="s">
        <v>1472</v>
      </c>
      <c r="G137" s="696" t="str">
        <f t="shared" si="50"/>
        <v>11.2.1 Promoción de acciones de incidencia de los actores en espacios e instrumentos de participación</v>
      </c>
      <c r="H137" s="344" t="s">
        <v>1473</v>
      </c>
      <c r="I137" s="385" t="s">
        <v>930</v>
      </c>
      <c r="J137" s="344" t="s">
        <v>437</v>
      </c>
      <c r="K137" s="385" t="s">
        <v>1413</v>
      </c>
      <c r="L137" s="347">
        <v>1</v>
      </c>
      <c r="M137" s="347">
        <v>0.125</v>
      </c>
      <c r="N137" s="347">
        <v>0.5</v>
      </c>
      <c r="O137" s="347">
        <v>0.75</v>
      </c>
      <c r="P137" s="347">
        <v>1</v>
      </c>
      <c r="Q137" s="368" t="s">
        <v>830</v>
      </c>
      <c r="R137" s="860" t="s">
        <v>1807</v>
      </c>
      <c r="S137" s="386" t="s">
        <v>1788</v>
      </c>
      <c r="T137" s="849" t="s">
        <v>900</v>
      </c>
      <c r="U137" s="387" t="s">
        <v>1475</v>
      </c>
      <c r="V137" s="919"/>
      <c r="W137" s="969"/>
      <c r="X137" s="363">
        <f>Y137</f>
        <v>634662563.17727923</v>
      </c>
      <c r="Y137" s="350">
        <f t="shared" si="63"/>
        <v>634662563.17727923</v>
      </c>
      <c r="Z137" s="363">
        <f>228334630.980609-AG137</f>
        <v>164631677.22531787</v>
      </c>
      <c r="AA137" s="363">
        <f t="shared" ref="AA137:AC137" si="64">228334630.980609-AH137</f>
        <v>160809500.00000039</v>
      </c>
      <c r="AB137" s="363">
        <f t="shared" si="64"/>
        <v>156757992.14116389</v>
      </c>
      <c r="AC137" s="943">
        <f t="shared" si="64"/>
        <v>152463393.81079715</v>
      </c>
      <c r="AD137" s="545" t="s">
        <v>1474</v>
      </c>
      <c r="AE137" s="353"/>
      <c r="AF137" s="354">
        <f t="shared" si="59"/>
        <v>278675960.74515671</v>
      </c>
      <c r="AG137" s="632">
        <v>63702953.755291134</v>
      </c>
      <c r="AH137" s="355">
        <f t="shared" si="60"/>
        <v>67525130.980608612</v>
      </c>
      <c r="AI137" s="355">
        <f t="shared" si="60"/>
        <v>71576638.839445129</v>
      </c>
      <c r="AJ137" s="356">
        <f t="shared" si="60"/>
        <v>75871237.169811845</v>
      </c>
      <c r="AK137" s="354">
        <f t="shared" si="61"/>
        <v>164510810.08318651</v>
      </c>
      <c r="AL137" s="355"/>
      <c r="AM137" s="355">
        <f>AA137*0.35</f>
        <v>56283325.000000134</v>
      </c>
      <c r="AN137" s="355">
        <f>AB137*0.35</f>
        <v>54865297.249407358</v>
      </c>
      <c r="AO137" s="356">
        <f>AC137*0.35</f>
        <v>53362187.833779</v>
      </c>
      <c r="AP137" s="915"/>
      <c r="AQ137" s="363">
        <f>AR137</f>
        <v>913338523.922436</v>
      </c>
      <c r="AR137" s="357">
        <f t="shared" si="51"/>
        <v>913338523.922436</v>
      </c>
      <c r="AS137" s="358">
        <f t="shared" si="52"/>
        <v>228334630.980609</v>
      </c>
      <c r="AT137" s="358">
        <f t="shared" si="53"/>
        <v>228334630.980609</v>
      </c>
      <c r="AU137" s="358">
        <f t="shared" si="54"/>
        <v>228334630.980609</v>
      </c>
      <c r="AV137" s="359">
        <f t="shared" si="55"/>
        <v>228334630.980609</v>
      </c>
      <c r="AW137" s="359"/>
      <c r="AX137" s="883" t="s">
        <v>830</v>
      </c>
    </row>
    <row r="138" spans="1:50" ht="75">
      <c r="A138" s="602" t="s">
        <v>1506</v>
      </c>
      <c r="B138" s="654" t="s">
        <v>1501</v>
      </c>
      <c r="C138" s="341">
        <v>11.3</v>
      </c>
      <c r="D138" s="493" t="s">
        <v>1476</v>
      </c>
      <c r="E138" s="343" t="s">
        <v>1477</v>
      </c>
      <c r="F138" s="344" t="s">
        <v>1478</v>
      </c>
      <c r="G138" s="696" t="str">
        <f t="shared" si="50"/>
        <v>11.3.1 Ejecución de los retos del PGAR con corresponsabilidad, en el marco del plan de acción</v>
      </c>
      <c r="H138" s="344" t="s">
        <v>1479</v>
      </c>
      <c r="I138" s="385" t="s">
        <v>836</v>
      </c>
      <c r="J138" s="616" t="s">
        <v>845</v>
      </c>
      <c r="K138" s="385" t="s">
        <v>1067</v>
      </c>
      <c r="L138" s="347">
        <v>0.6</v>
      </c>
      <c r="M138" s="347">
        <v>0.1</v>
      </c>
      <c r="N138" s="347">
        <v>0.3</v>
      </c>
      <c r="O138" s="347">
        <v>0.5</v>
      </c>
      <c r="P138" s="347">
        <v>0.6</v>
      </c>
      <c r="Q138" s="368" t="s">
        <v>847</v>
      </c>
      <c r="R138" s="860" t="s">
        <v>1807</v>
      </c>
      <c r="S138" s="386" t="s">
        <v>1785</v>
      </c>
      <c r="T138" s="849" t="s">
        <v>1042</v>
      </c>
      <c r="U138" s="655" t="s">
        <v>1481</v>
      </c>
      <c r="V138" s="919"/>
      <c r="W138" s="969"/>
      <c r="X138" s="612">
        <f>SUM(Y138:Y140)</f>
        <v>177226993.0101344</v>
      </c>
      <c r="Y138" s="350">
        <f t="shared" si="63"/>
        <v>0</v>
      </c>
      <c r="Z138" s="363">
        <v>0</v>
      </c>
      <c r="AA138" s="363">
        <v>0</v>
      </c>
      <c r="AB138" s="363">
        <v>0</v>
      </c>
      <c r="AC138" s="943">
        <v>0</v>
      </c>
      <c r="AD138" s="381" t="s">
        <v>1480</v>
      </c>
      <c r="AE138" s="353"/>
      <c r="AF138" s="354">
        <f t="shared" si="59"/>
        <v>0</v>
      </c>
      <c r="AG138" s="355"/>
      <c r="AH138" s="355">
        <f t="shared" si="60"/>
        <v>0</v>
      </c>
      <c r="AI138" s="355">
        <f t="shared" si="60"/>
        <v>0</v>
      </c>
      <c r="AJ138" s="356">
        <f t="shared" si="60"/>
        <v>0</v>
      </c>
      <c r="AK138" s="354">
        <f t="shared" si="61"/>
        <v>0</v>
      </c>
      <c r="AL138" s="355"/>
      <c r="AM138" s="355"/>
      <c r="AN138" s="355"/>
      <c r="AO138" s="356"/>
      <c r="AP138" s="915"/>
      <c r="AQ138" s="612">
        <f>SUM(AR138:AR140)</f>
        <v>455902953.7552911</v>
      </c>
      <c r="AR138" s="357">
        <f t="shared" si="51"/>
        <v>0</v>
      </c>
      <c r="AS138" s="358">
        <f t="shared" si="52"/>
        <v>0</v>
      </c>
      <c r="AT138" s="358">
        <f t="shared" si="53"/>
        <v>0</v>
      </c>
      <c r="AU138" s="358">
        <f t="shared" si="54"/>
        <v>0</v>
      </c>
      <c r="AV138" s="359">
        <f t="shared" si="55"/>
        <v>0</v>
      </c>
      <c r="AW138" s="359"/>
      <c r="AX138" s="884" t="s">
        <v>847</v>
      </c>
    </row>
    <row r="139" spans="1:50" ht="75">
      <c r="A139" s="602" t="s">
        <v>1506</v>
      </c>
      <c r="B139" s="654" t="s">
        <v>1501</v>
      </c>
      <c r="C139" s="417">
        <v>11.3</v>
      </c>
      <c r="D139" s="656" t="s">
        <v>1476</v>
      </c>
      <c r="E139" s="343" t="s">
        <v>1482</v>
      </c>
      <c r="F139" s="344" t="s">
        <v>1483</v>
      </c>
      <c r="G139" s="696" t="str">
        <f t="shared" si="50"/>
        <v>11.3.2 Apropiación social del PGAR con acciones por parte de los actores en el territorio</v>
      </c>
      <c r="H139" s="401" t="s">
        <v>1484</v>
      </c>
      <c r="I139" s="657" t="s">
        <v>930</v>
      </c>
      <c r="J139" s="344" t="s">
        <v>437</v>
      </c>
      <c r="K139" s="657" t="s">
        <v>1413</v>
      </c>
      <c r="L139" s="658">
        <v>10</v>
      </c>
      <c r="M139" s="658">
        <v>2</v>
      </c>
      <c r="N139" s="658">
        <v>3</v>
      </c>
      <c r="O139" s="658">
        <v>3</v>
      </c>
      <c r="P139" s="658">
        <v>2</v>
      </c>
      <c r="Q139" s="880" t="s">
        <v>830</v>
      </c>
      <c r="R139" s="861" t="s">
        <v>1807</v>
      </c>
      <c r="S139" s="613" t="s">
        <v>1785</v>
      </c>
      <c r="T139" s="856" t="s">
        <v>900</v>
      </c>
      <c r="U139" s="659"/>
      <c r="V139" s="927"/>
      <c r="W139" s="969"/>
      <c r="X139" s="652"/>
      <c r="Y139" s="350">
        <f t="shared" si="63"/>
        <v>17226993.010134384</v>
      </c>
      <c r="Z139" s="612">
        <f>67902953.7552911-AG139</f>
        <v>4199999.9999999702</v>
      </c>
      <c r="AA139" s="612">
        <f>72000000-AH139</f>
        <v>4474869.0193913877</v>
      </c>
      <c r="AB139" s="612">
        <f>76000000-AI139</f>
        <v>4423361.160554871</v>
      </c>
      <c r="AC139" s="965">
        <f>80000000-AJ139</f>
        <v>4128762.8301881552</v>
      </c>
      <c r="AD139" s="939" t="s">
        <v>1485</v>
      </c>
      <c r="AE139" s="353"/>
      <c r="AF139" s="354">
        <f t="shared" si="59"/>
        <v>278675960.74515671</v>
      </c>
      <c r="AG139" s="632">
        <v>63702953.755291134</v>
      </c>
      <c r="AH139" s="355">
        <f t="shared" si="60"/>
        <v>67525130.980608612</v>
      </c>
      <c r="AI139" s="355">
        <f t="shared" si="60"/>
        <v>71576638.839445129</v>
      </c>
      <c r="AJ139" s="356">
        <f t="shared" si="60"/>
        <v>75871237.169811845</v>
      </c>
      <c r="AK139" s="354">
        <f t="shared" si="61"/>
        <v>825752.56603763113</v>
      </c>
      <c r="AL139" s="355"/>
      <c r="AM139" s="355">
        <v>0</v>
      </c>
      <c r="AN139" s="355">
        <v>0</v>
      </c>
      <c r="AO139" s="356">
        <f>AC139*0.2</f>
        <v>825752.56603763113</v>
      </c>
      <c r="AP139" s="915"/>
      <c r="AQ139" s="652"/>
      <c r="AR139" s="357">
        <f t="shared" si="51"/>
        <v>295902953.7552911</v>
      </c>
      <c r="AS139" s="358">
        <f t="shared" si="52"/>
        <v>67902953.755291104</v>
      </c>
      <c r="AT139" s="358">
        <f t="shared" si="53"/>
        <v>72000000</v>
      </c>
      <c r="AU139" s="358">
        <f t="shared" si="54"/>
        <v>76000000</v>
      </c>
      <c r="AV139" s="359">
        <f t="shared" si="55"/>
        <v>80000000</v>
      </c>
      <c r="AW139" s="359"/>
      <c r="AX139" s="894" t="s">
        <v>830</v>
      </c>
    </row>
    <row r="140" spans="1:50" ht="75.75" thickBot="1">
      <c r="A140" s="660" t="s">
        <v>1506</v>
      </c>
      <c r="B140" s="661" t="s">
        <v>1501</v>
      </c>
      <c r="C140" s="442">
        <v>11.3</v>
      </c>
      <c r="D140" s="405" t="s">
        <v>1476</v>
      </c>
      <c r="E140" s="444" t="s">
        <v>1486</v>
      </c>
      <c r="F140" s="662" t="s">
        <v>1487</v>
      </c>
      <c r="G140" s="732" t="str">
        <f>CONCATENATE(E140," ",F140)</f>
        <v>11.3.3 Realización de reportes públicos compartidos de avance de cumplimiento PGAR</v>
      </c>
      <c r="H140" s="407" t="s">
        <v>1488</v>
      </c>
      <c r="I140" s="475" t="s">
        <v>836</v>
      </c>
      <c r="J140" s="662" t="s">
        <v>845</v>
      </c>
      <c r="K140" s="475" t="s">
        <v>1067</v>
      </c>
      <c r="L140" s="502">
        <f>SUBTOTAL(9,M140:P140)</f>
        <v>4</v>
      </c>
      <c r="M140" s="502">
        <v>1</v>
      </c>
      <c r="N140" s="502">
        <v>1</v>
      </c>
      <c r="O140" s="502">
        <v>1</v>
      </c>
      <c r="P140" s="502">
        <v>1</v>
      </c>
      <c r="Q140" s="502" t="s">
        <v>847</v>
      </c>
      <c r="R140" s="870" t="s">
        <v>1807</v>
      </c>
      <c r="S140" s="507" t="s">
        <v>1785</v>
      </c>
      <c r="T140" s="855" t="s">
        <v>1042</v>
      </c>
      <c r="U140" s="508" t="s">
        <v>1481</v>
      </c>
      <c r="V140" s="925" t="s">
        <v>1490</v>
      </c>
      <c r="W140" s="970"/>
      <c r="X140" s="413"/>
      <c r="Y140" s="450">
        <f t="shared" si="63"/>
        <v>160000000</v>
      </c>
      <c r="Z140" s="533">
        <v>0</v>
      </c>
      <c r="AA140" s="533">
        <f t="shared" ref="AA140:AB140" si="65">+(8*5000000)</f>
        <v>40000000</v>
      </c>
      <c r="AB140" s="533">
        <f t="shared" si="65"/>
        <v>40000000</v>
      </c>
      <c r="AC140" s="955">
        <f>+(8*5000000)*2</f>
        <v>80000000</v>
      </c>
      <c r="AD140" s="506" t="s">
        <v>1489</v>
      </c>
      <c r="AE140" s="443"/>
      <c r="AF140" s="556">
        <f t="shared" si="59"/>
        <v>0</v>
      </c>
      <c r="AG140" s="557"/>
      <c r="AH140" s="557">
        <f t="shared" si="60"/>
        <v>0</v>
      </c>
      <c r="AI140" s="557">
        <f t="shared" si="60"/>
        <v>0</v>
      </c>
      <c r="AJ140" s="558">
        <f t="shared" si="60"/>
        <v>0</v>
      </c>
      <c r="AK140" s="556">
        <f t="shared" si="61"/>
        <v>0</v>
      </c>
      <c r="AL140" s="557"/>
      <c r="AM140" s="557"/>
      <c r="AN140" s="557"/>
      <c r="AO140" s="558"/>
      <c r="AP140" s="554"/>
      <c r="AQ140" s="413"/>
      <c r="AR140" s="559">
        <f t="shared" si="51"/>
        <v>160000000</v>
      </c>
      <c r="AS140" s="663">
        <f t="shared" si="52"/>
        <v>0</v>
      </c>
      <c r="AT140" s="663">
        <f t="shared" si="53"/>
        <v>40000000</v>
      </c>
      <c r="AU140" s="663">
        <f t="shared" si="54"/>
        <v>40000000</v>
      </c>
      <c r="AV140" s="664">
        <f t="shared" si="55"/>
        <v>80000000</v>
      </c>
      <c r="AW140" s="359"/>
      <c r="AX140" s="898" t="s">
        <v>847</v>
      </c>
    </row>
    <row r="141" spans="1:50" ht="15.75" thickBot="1">
      <c r="J141" s="338"/>
      <c r="W141" s="669">
        <f>SUM(W2:W140)</f>
        <v>297641878321.72394</v>
      </c>
      <c r="X141" s="674">
        <f>SUM(X2:X140)</f>
        <v>297641878321.724</v>
      </c>
      <c r="Y141" s="671">
        <f t="shared" ref="Y141:AC141" si="66">SUM(Y2:Y140)</f>
        <v>297641878321.72412</v>
      </c>
      <c r="Z141" s="671">
        <f>SUM(Z2:Z140)</f>
        <v>58680257962.99276</v>
      </c>
      <c r="AA141" s="671">
        <f t="shared" si="66"/>
        <v>75325383421.17926</v>
      </c>
      <c r="AB141" s="672">
        <f t="shared" si="66"/>
        <v>80089208060.398529</v>
      </c>
      <c r="AC141" s="673">
        <f t="shared" si="66"/>
        <v>83547028877.153381</v>
      </c>
      <c r="AD141" s="665"/>
      <c r="AF141" s="669">
        <f>SUM(AF2:AF140)</f>
        <v>138586706390.96451</v>
      </c>
      <c r="AG141" s="674">
        <f t="shared" ref="AG141:AO141" si="67">SUM(AG2:AG140)</f>
        <v>31679742037.007278</v>
      </c>
      <c r="AH141" s="674">
        <f t="shared" si="67"/>
        <v>33580526559.227703</v>
      </c>
      <c r="AI141" s="675">
        <f t="shared" si="67"/>
        <v>35595358152.781357</v>
      </c>
      <c r="AJ141" s="676">
        <f t="shared" si="67"/>
        <v>37731079641.948273</v>
      </c>
      <c r="AK141" s="669">
        <f>SUM(AK2:AK140)</f>
        <v>194364801064.66101</v>
      </c>
      <c r="AL141" s="674">
        <f t="shared" si="67"/>
        <v>48315937703.435478</v>
      </c>
      <c r="AM141" s="674">
        <f t="shared" si="67"/>
        <v>47268289791.874184</v>
      </c>
      <c r="AN141" s="675">
        <f t="shared" si="67"/>
        <v>48802610122.348625</v>
      </c>
      <c r="AO141" s="676">
        <f t="shared" si="67"/>
        <v>49977963447.002716</v>
      </c>
      <c r="AP141" s="674">
        <f>SUM(AP2:AP140)</f>
        <v>436228584712.68848</v>
      </c>
      <c r="AQ141" s="670">
        <f>SUM(AQ2:AQ140)</f>
        <v>436228584712.68848</v>
      </c>
      <c r="AR141" s="670">
        <f t="shared" ref="AR141" si="68">SUM(AR2:AR140)</f>
        <v>436228584712.68854</v>
      </c>
      <c r="AS141" s="677">
        <f t="shared" si="52"/>
        <v>90360000000.000031</v>
      </c>
      <c r="AT141" s="678">
        <f t="shared" si="53"/>
        <v>108905909980.40697</v>
      </c>
      <c r="AU141" s="678">
        <f t="shared" si="54"/>
        <v>115684566213.17989</v>
      </c>
      <c r="AV141" s="679">
        <f t="shared" si="55"/>
        <v>121278108519.10165</v>
      </c>
      <c r="AW141" s="359"/>
    </row>
    <row r="142" spans="1:50" ht="96" customHeight="1">
      <c r="B142" s="680"/>
      <c r="C142" s="680"/>
      <c r="D142" s="681"/>
      <c r="E142" s="681"/>
      <c r="F142" s="681"/>
      <c r="H142" s="681"/>
      <c r="I142" s="681"/>
      <c r="J142" s="680"/>
      <c r="K142" s="681"/>
      <c r="L142" s="681"/>
      <c r="M142" s="681"/>
      <c r="N142" s="681"/>
      <c r="O142" s="681"/>
      <c r="P142" s="681"/>
      <c r="Q142" s="681"/>
      <c r="S142" s="681"/>
      <c r="T142" s="681"/>
      <c r="U142" s="681"/>
      <c r="V142" s="681"/>
      <c r="W142" s="680"/>
      <c r="X142" s="680"/>
      <c r="Y142" s="681"/>
      <c r="Z142" s="681"/>
      <c r="AA142" s="681"/>
      <c r="AB142" s="681"/>
      <c r="AC142" s="681"/>
      <c r="AD142" s="681"/>
      <c r="AE142" s="681"/>
      <c r="AF142" s="680"/>
      <c r="AG142" s="680"/>
      <c r="AH142" s="680"/>
      <c r="AI142" s="680"/>
      <c r="AJ142" s="680"/>
      <c r="AK142" s="680"/>
      <c r="AL142" s="680"/>
      <c r="AM142" s="680"/>
      <c r="AN142" s="680"/>
      <c r="AO142" s="680"/>
      <c r="AP142" s="680"/>
      <c r="AQ142" s="680"/>
      <c r="AR142" s="680"/>
      <c r="AS142" s="680"/>
      <c r="AT142" s="680"/>
      <c r="AU142" s="680"/>
      <c r="AV142" s="680"/>
      <c r="AW142" s="680"/>
    </row>
    <row r="143" spans="1:50" ht="48.95" customHeight="1">
      <c r="A143" s="680"/>
      <c r="B143" s="680"/>
      <c r="C143" s="680"/>
      <c r="D143" s="681"/>
      <c r="E143" s="681"/>
      <c r="F143" s="681"/>
      <c r="H143" s="681"/>
      <c r="I143" s="681"/>
      <c r="J143" s="680"/>
      <c r="K143" s="681"/>
      <c r="L143" s="681"/>
      <c r="M143" s="681"/>
      <c r="N143" s="681"/>
      <c r="O143" s="681"/>
      <c r="P143" s="681"/>
      <c r="Q143" s="681"/>
      <c r="S143" s="681"/>
      <c r="T143" s="681"/>
      <c r="U143" s="681"/>
      <c r="V143" s="681"/>
      <c r="W143" s="680"/>
      <c r="X143" s="680"/>
      <c r="Y143" s="681"/>
      <c r="Z143" s="681"/>
      <c r="AA143" s="681"/>
      <c r="AB143" s="681"/>
      <c r="AC143" s="681"/>
      <c r="AD143" s="681"/>
      <c r="AW143" s="683"/>
    </row>
    <row r="144" spans="1:50">
      <c r="T144" s="684"/>
      <c r="U144" s="684"/>
      <c r="V144" s="684"/>
      <c r="Z144" s="684"/>
      <c r="AA144" s="684"/>
      <c r="AB144" s="684"/>
      <c r="AC144" s="684"/>
      <c r="AD144" s="684"/>
      <c r="AE144" s="684"/>
      <c r="AF144" s="685"/>
      <c r="AG144" s="685"/>
      <c r="AH144" s="685"/>
      <c r="AI144" s="685"/>
      <c r="AJ144" s="685"/>
      <c r="AK144" s="685"/>
      <c r="AL144" s="685"/>
      <c r="AM144" s="685"/>
      <c r="AN144" s="685"/>
      <c r="AO144" s="685"/>
      <c r="AP144" s="685"/>
      <c r="AQ144" s="685"/>
      <c r="AR144" s="685"/>
      <c r="AS144" s="685"/>
      <c r="AW144" s="683"/>
    </row>
    <row r="145" spans="26:49">
      <c r="Z145" s="684"/>
      <c r="AA145" s="684"/>
      <c r="AB145" s="684"/>
      <c r="AC145" s="684"/>
      <c r="AW145" s="687"/>
    </row>
    <row r="146" spans="26:49">
      <c r="AW146" s="687"/>
    </row>
    <row r="147" spans="26:49">
      <c r="AW147" s="687"/>
    </row>
    <row r="148" spans="26:49">
      <c r="AW148" s="683"/>
    </row>
    <row r="149" spans="26:49">
      <c r="AW149" s="687"/>
    </row>
    <row r="150" spans="26:49">
      <c r="AW150" s="683"/>
    </row>
    <row r="151" spans="26:49">
      <c r="AW151" s="683"/>
    </row>
    <row r="152" spans="26:49">
      <c r="AW152" s="683"/>
    </row>
    <row r="155" spans="26:49">
      <c r="AA155" s="688"/>
    </row>
  </sheetData>
  <autoFilter ref="A1:AX141" xr:uid="{00000000-0009-0000-0000-000005000000}"/>
  <conditionalFormatting sqref="C2:C14 C16">
    <cfRule type="colorScale" priority="16">
      <colorScale>
        <cfvo type="min"/>
        <cfvo type="max"/>
        <color theme="9" tint="0.79998168889431442"/>
        <color theme="9" tint="-0.499984740745262"/>
      </colorScale>
    </cfRule>
  </conditionalFormatting>
  <conditionalFormatting sqref="C60:C71">
    <cfRule type="colorScale" priority="15">
      <colorScale>
        <cfvo type="min"/>
        <cfvo type="max"/>
        <color theme="0" tint="-4.9989318521683403E-2"/>
        <color theme="0" tint="-0.499984740745262"/>
      </colorScale>
    </cfRule>
  </conditionalFormatting>
  <conditionalFormatting sqref="C54:C59">
    <cfRule type="colorScale" priority="17">
      <colorScale>
        <cfvo type="min"/>
        <cfvo type="max"/>
        <color theme="8" tint="0.79998168889431442"/>
        <color theme="8" tint="-0.499984740745262"/>
      </colorScale>
    </cfRule>
  </conditionalFormatting>
  <conditionalFormatting sqref="C81:C96">
    <cfRule type="colorScale" priority="18">
      <colorScale>
        <cfvo type="min"/>
        <cfvo type="max"/>
        <color theme="0" tint="-4.9989318521683403E-2"/>
        <color theme="0" tint="-0.499984740745262"/>
      </colorScale>
    </cfRule>
  </conditionalFormatting>
  <conditionalFormatting sqref="C97:C134">
    <cfRule type="colorScale" priority="19">
      <colorScale>
        <cfvo type="min"/>
        <cfvo type="max"/>
        <color theme="4" tint="0.79998168889431442"/>
        <color theme="4" tint="-0.499984740745262"/>
      </colorScale>
    </cfRule>
  </conditionalFormatting>
  <conditionalFormatting sqref="C44:C53">
    <cfRule type="colorScale" priority="20">
      <colorScale>
        <cfvo type="min"/>
        <cfvo type="max"/>
        <color theme="4" tint="0.79998168889431442"/>
        <color theme="4" tint="-0.499984740745262"/>
      </colorScale>
    </cfRule>
  </conditionalFormatting>
  <conditionalFormatting sqref="C17:C26">
    <cfRule type="colorScale" priority="21">
      <colorScale>
        <cfvo type="min"/>
        <cfvo type="max"/>
        <color theme="9" tint="0.79998168889431442"/>
        <color theme="9" tint="-0.499984740745262"/>
      </colorScale>
    </cfRule>
  </conditionalFormatting>
  <conditionalFormatting sqref="C27:C32">
    <cfRule type="colorScale" priority="22">
      <colorScale>
        <cfvo type="min"/>
        <cfvo type="max"/>
        <color theme="4" tint="0.79998168889431442"/>
        <color theme="4" tint="-0.499984740745262"/>
      </colorScale>
    </cfRule>
  </conditionalFormatting>
  <conditionalFormatting sqref="C33:C43">
    <cfRule type="colorScale" priority="23">
      <colorScale>
        <cfvo type="min"/>
        <cfvo type="max"/>
        <color rgb="FFFF7128"/>
        <color rgb="FFFFEF9C"/>
      </colorScale>
    </cfRule>
  </conditionalFormatting>
  <conditionalFormatting sqref="C72:C80">
    <cfRule type="colorScale" priority="24">
      <colorScale>
        <cfvo type="min"/>
        <cfvo type="max"/>
        <color theme="5" tint="0.79998168889431442"/>
        <color theme="5" tint="-0.499984740745262"/>
      </colorScale>
    </cfRule>
  </conditionalFormatting>
  <conditionalFormatting sqref="C15">
    <cfRule type="colorScale" priority="14">
      <colorScale>
        <cfvo type="min"/>
        <cfvo type="max"/>
        <color theme="9" tint="0.79998168889431442"/>
        <color theme="9" tint="-0.499984740745262"/>
      </colorScale>
    </cfRule>
  </conditionalFormatting>
  <conditionalFormatting sqref="J2:J140">
    <cfRule type="cellIs" dxfId="61" priority="11" operator="equal">
      <formula>"Baja"</formula>
    </cfRule>
    <cfRule type="cellIs" dxfId="60" priority="12" operator="equal">
      <formula>"Media"</formula>
    </cfRule>
    <cfRule type="cellIs" dxfId="59" priority="13" operator="equal">
      <formula>"Alta"</formula>
    </cfRule>
  </conditionalFormatting>
  <conditionalFormatting sqref="E2:E16">
    <cfRule type="colorScale" priority="2">
      <colorScale>
        <cfvo type="min"/>
        <cfvo type="max"/>
        <color theme="9" tint="0.79998168889431442"/>
        <color theme="9" tint="-0.499984740745262"/>
      </colorScale>
    </cfRule>
  </conditionalFormatting>
  <conditionalFormatting sqref="E60:E71">
    <cfRule type="colorScale" priority="1">
      <colorScale>
        <cfvo type="min"/>
        <cfvo type="max"/>
        <color theme="0" tint="-4.9989318521683403E-2"/>
        <color theme="0" tint="-0.499984740745262"/>
      </colorScale>
    </cfRule>
  </conditionalFormatting>
  <conditionalFormatting sqref="E54:E59">
    <cfRule type="colorScale" priority="3">
      <colorScale>
        <cfvo type="min"/>
        <cfvo type="max"/>
        <color theme="8" tint="0.79998168889431442"/>
        <color theme="8" tint="-0.499984740745262"/>
      </colorScale>
    </cfRule>
  </conditionalFormatting>
  <conditionalFormatting sqref="E81:E96">
    <cfRule type="colorScale" priority="4">
      <colorScale>
        <cfvo type="min"/>
        <cfvo type="max"/>
        <color theme="0" tint="-4.9989318521683403E-2"/>
        <color theme="0" tint="-0.499984740745262"/>
      </colorScale>
    </cfRule>
  </conditionalFormatting>
  <conditionalFormatting sqref="E97:E134">
    <cfRule type="colorScale" priority="5">
      <colorScale>
        <cfvo type="min"/>
        <cfvo type="max"/>
        <color theme="4" tint="0.79998168889431442"/>
        <color theme="4" tint="-0.499984740745262"/>
      </colorScale>
    </cfRule>
  </conditionalFormatting>
  <conditionalFormatting sqref="E44:E53">
    <cfRule type="colorScale" priority="6">
      <colorScale>
        <cfvo type="min"/>
        <cfvo type="max"/>
        <color theme="4" tint="0.79998168889431442"/>
        <color theme="4" tint="-0.499984740745262"/>
      </colorScale>
    </cfRule>
  </conditionalFormatting>
  <conditionalFormatting sqref="E17:E26">
    <cfRule type="colorScale" priority="7">
      <colorScale>
        <cfvo type="min"/>
        <cfvo type="max"/>
        <color theme="9" tint="0.79998168889431442"/>
        <color theme="9" tint="-0.499984740745262"/>
      </colorScale>
    </cfRule>
  </conditionalFormatting>
  <conditionalFormatting sqref="E27:E32">
    <cfRule type="colorScale" priority="8">
      <colorScale>
        <cfvo type="min"/>
        <cfvo type="max"/>
        <color theme="4" tint="0.79998168889431442"/>
        <color theme="4" tint="-0.499984740745262"/>
      </colorScale>
    </cfRule>
  </conditionalFormatting>
  <conditionalFormatting sqref="E33:E43">
    <cfRule type="colorScale" priority="9">
      <colorScale>
        <cfvo type="min"/>
        <cfvo type="max"/>
        <color rgb="FFFF7128"/>
        <color rgb="FFFFEF9C"/>
      </colorScale>
    </cfRule>
  </conditionalFormatting>
  <conditionalFormatting sqref="E72:E80">
    <cfRule type="colorScale" priority="10">
      <colorScale>
        <cfvo type="min"/>
        <cfvo type="max"/>
        <color theme="5" tint="0.79998168889431442"/>
        <color theme="5" tint="-0.499984740745262"/>
      </colorScale>
    </cfRule>
  </conditionalFormatting>
  <hyperlinks>
    <hyperlink ref="U115:V115" location="Acciones_étnicas!A1" display="#Acciones_étnicas!A1" xr:uid="{00000000-0004-0000-0500-000000000000}"/>
    <hyperlink ref="U47:V47" location="Acciones_étnicas!A1" display="#Acciones_étnicas!A1" xr:uid="{00000000-0004-0000-0500-000001000000}"/>
    <hyperlink ref="U58:V58" location="Acciones_étnicas!A1" display="#Acciones_étnicas!A1" xr:uid="{00000000-0004-0000-0500-000002000000}"/>
    <hyperlink ref="U88:V88" location="Acciones_étnicas!A1" display="#Acciones_étnicas!A1" xr:uid="{00000000-0004-0000-0500-000003000000}"/>
    <hyperlink ref="U23:V23" location="Acciones_étnicas!A1" display="#Acciones_étnicas!A1" xr:uid="{00000000-0004-0000-0500-000004000000}"/>
    <hyperlink ref="U89:V89" location="Acciones_étnicas!A1" display="#Acciones_étnicas!A1" xr:uid="{00000000-0004-0000-0500-000005000000}"/>
    <hyperlink ref="U16:V16" location="Acciones_étnicas!A1" display="#Acciones_étnicas!A1" xr:uid="{00000000-0004-0000-0500-000006000000}"/>
    <hyperlink ref="U26:V26" location="Acciones_étnicas!A1" display="#Acciones_étnicas!A1" xr:uid="{00000000-0004-0000-0500-000007000000}"/>
    <hyperlink ref="U37:V37" location="Acciones_étnicas!A1" display="#Acciones_étnicas!A1" xr:uid="{00000000-0004-0000-0500-000008000000}"/>
    <hyperlink ref="U46:V46" location="Acciones_étnicas!A1" display="#Acciones_étnicas!A1" xr:uid="{00000000-0004-0000-0500-000009000000}"/>
    <hyperlink ref="AD50" location="'Despliegue de actividades'!S51" display="Esta actividad se ejecuta con los contratos de prestación de servicios de la Actividad 5.6" xr:uid="{00000000-0004-0000-0500-00000A000000}"/>
    <hyperlink ref="U15:V15" location="Acciones_étnicas!A1" display="#Acciones_étnicas!A1" xr:uid="{00000000-0004-0000-0500-00000B000000}"/>
    <hyperlink ref="I115" location="Acciones_étnicas!A1" display="#Acciones_étnicas!A1" xr:uid="{00000000-0004-0000-0500-00000C000000}"/>
    <hyperlink ref="I47" location="Acciones_étnicas!A1" display="#Acciones_étnicas!A1" xr:uid="{00000000-0004-0000-0500-00000D000000}"/>
    <hyperlink ref="I58" location="Acciones_étnicas!A1" display="#Acciones_étnicas!A1" xr:uid="{00000000-0004-0000-0500-00000E000000}"/>
    <hyperlink ref="I88" location="Acciones_étnicas!A1" display="#Acciones_étnicas!A1" xr:uid="{00000000-0004-0000-0500-00000F000000}"/>
    <hyperlink ref="I23" location="Acciones_étnicas!A1" display="#Acciones_étnicas!A1" xr:uid="{00000000-0004-0000-0500-000010000000}"/>
    <hyperlink ref="I89" location="Acciones_étnicas!A1" display="#Acciones_étnicas!A1" xr:uid="{00000000-0004-0000-0500-000011000000}"/>
    <hyperlink ref="I16" location="Acciones_étnicas!A1" display="#Acciones_étnicas!A1" xr:uid="{00000000-0004-0000-0500-000012000000}"/>
    <hyperlink ref="I26" location="Acciones_étnicas!A1" display="#Acciones_étnicas!A1" xr:uid="{00000000-0004-0000-0500-000013000000}"/>
    <hyperlink ref="I37" location="Acciones_étnicas!A1" display="#Acciones_étnicas!A1" xr:uid="{00000000-0004-0000-0500-000014000000}"/>
    <hyperlink ref="I46" location="Acciones_étnicas!A1" display="#Acciones_étnicas!A1" xr:uid="{00000000-0004-0000-0500-000015000000}"/>
    <hyperlink ref="I15" location="Acciones_étnicas!A1" display="#Acciones_étnicas!A1" xr:uid="{00000000-0004-0000-0500-000016000000}"/>
  </hyperlinks>
  <printOptions horizontalCentered="1"/>
  <pageMargins left="0.19685039370078741" right="0.19685039370078741" top="0.39370078740157483" bottom="0.39370078740157483" header="0.19685039370078741" footer="0.19685039370078741"/>
  <pageSetup scale="45" fitToHeight="0" orientation="landscape" verticalDpi="4294967294" r:id="rId1"/>
  <headerFooter>
    <oddFooter>&amp;LPágina &amp;P de &amp;N&amp;C&amp;D&amp;RSubdirección de Planeación</oddFooter>
  </headerFooter>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500-000000000000}">
          <x14:formula1>
            <xm:f>'https://corantioquia.sharepoint.com/sites/PLANDEACCIN2020-2023/Documentos compartidos/DOCUMENTO CONSOLIDADO/[2020-04-23_propuesta_programatica_plan_accion.xlsx]Parámetros'!#REF!</xm:f>
          </x14:formula1>
          <xm:sqref>I2:I140</xm:sqref>
        </x14:dataValidation>
        <x14:dataValidation type="list" allowBlank="1" showInputMessage="1" showErrorMessage="1" xr:uid="{00000000-0002-0000-0500-000001000000}">
          <x14:formula1>
            <xm:f>'https://corantioquia.sharepoint.com/sites/PLANDEACCIN2020-2023/Documentos compartidos/DOCUMENTO CONSOLIDADO/[2020-04-23_propuesta_programatica_plan_accion.xlsx]Tipos de acumulación indicador'!#REF!</xm:f>
          </x14:formula1>
          <xm:sqref>AE2:AE140</xm:sqref>
        </x14:dataValidation>
        <x14:dataValidation type="list" allowBlank="1" showInputMessage="1" showErrorMessage="1" xr:uid="{00000000-0002-0000-0500-000002000000}">
          <x14:formula1>
            <xm:f>Parámetros!$C$2:$C$18</xm:f>
          </x14:formula1>
          <xm:sqref>R139 R46:R51 R2 R57 R70 R72:R77 R79:R80 R82 R63:R67 R4 R129:R130 R134:R135 R137 R98:R127 R37:R44 R35 R30:R33 R21:R26 R11:R17 R7:R8 R88:R96</xm:sqref>
        </x14:dataValidation>
        <x14:dataValidation type="list" allowBlank="1" showInputMessage="1" showErrorMessage="1" xr:uid="{00000000-0002-0000-0500-000003000000}">
          <x14:formula1>
            <xm:f>Parámetros!$B$2:$B$7</xm:f>
          </x14:formula1>
          <xm:sqref>S2:S140</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pageSetUpPr fitToPage="1"/>
  </sheetPr>
  <dimension ref="A1:P165"/>
  <sheetViews>
    <sheetView showGridLines="0" tabSelected="1" zoomScale="115" zoomScaleNormal="115" workbookViewId="0">
      <selection activeCell="C2" sqref="C2"/>
    </sheetView>
  </sheetViews>
  <sheetFormatPr baseColWidth="10" defaultRowHeight="15.75" outlineLevelRow="1"/>
  <cols>
    <col min="1" max="6" width="23.5" style="265" customWidth="1"/>
    <col min="7" max="7" width="15.875" style="265" customWidth="1"/>
    <col min="8" max="12" width="11.875" style="265" customWidth="1"/>
    <col min="13" max="13" width="15.25" style="265" customWidth="1"/>
    <col min="14" max="14" width="20.125" style="265" customWidth="1"/>
    <col min="15" max="15" width="11" style="265"/>
    <col min="16" max="16" width="43.5" style="265" customWidth="1"/>
    <col min="17" max="16384" width="11" style="265"/>
  </cols>
  <sheetData>
    <row r="1" spans="1:16" ht="33.75" customHeight="1">
      <c r="A1" s="299"/>
      <c r="B1" s="304" t="s">
        <v>744</v>
      </c>
      <c r="C1" s="305"/>
      <c r="D1" s="305"/>
      <c r="E1" s="305"/>
      <c r="F1" s="305"/>
      <c r="G1" s="305"/>
      <c r="H1" s="305"/>
      <c r="I1" s="306"/>
      <c r="J1" s="305"/>
      <c r="K1" s="306"/>
      <c r="L1" s="300" t="s">
        <v>742</v>
      </c>
      <c r="M1" s="301" t="s">
        <v>1758</v>
      </c>
    </row>
    <row r="2" spans="1:16" ht="33.75" customHeight="1">
      <c r="A2" s="295"/>
      <c r="B2" s="303" t="s">
        <v>745</v>
      </c>
      <c r="C2" s="307"/>
      <c r="D2" s="307"/>
      <c r="E2" s="307"/>
      <c r="F2" s="307"/>
      <c r="G2" s="307"/>
      <c r="H2" s="307"/>
      <c r="I2" s="307"/>
      <c r="J2" s="307"/>
      <c r="K2" s="308"/>
      <c r="L2" s="300" t="s">
        <v>743</v>
      </c>
      <c r="M2" s="302">
        <v>12</v>
      </c>
    </row>
    <row r="3" spans="1:16" ht="18" customHeight="1">
      <c r="A3" s="972" t="s">
        <v>1747</v>
      </c>
      <c r="B3" s="749"/>
      <c r="C3" s="749"/>
      <c r="D3" s="749"/>
      <c r="E3" s="749"/>
      <c r="F3" s="749"/>
      <c r="G3" s="749"/>
      <c r="H3" s="749"/>
      <c r="I3" s="749"/>
      <c r="J3" s="749"/>
      <c r="K3" s="749"/>
      <c r="L3" s="749"/>
      <c r="M3" s="749"/>
      <c r="P3" s="1041"/>
    </row>
    <row r="4" spans="1:16" ht="30.75" customHeight="1">
      <c r="A4" s="309" t="s">
        <v>746</v>
      </c>
      <c r="B4" s="1139" t="s">
        <v>1964</v>
      </c>
      <c r="C4" s="1140"/>
      <c r="D4" s="1140"/>
      <c r="E4" s="1140"/>
      <c r="F4" s="1140"/>
      <c r="G4" s="1140"/>
      <c r="H4" s="1140"/>
      <c r="I4" s="1141"/>
      <c r="J4" s="1040" t="s">
        <v>1782</v>
      </c>
      <c r="K4" s="1139" t="s">
        <v>1796</v>
      </c>
      <c r="L4" s="1140"/>
      <c r="M4" s="1141"/>
      <c r="P4" s="1041"/>
    </row>
    <row r="5" spans="1:16" ht="6" customHeight="1">
      <c r="A5" s="309"/>
      <c r="B5" s="310"/>
      <c r="C5" s="310"/>
      <c r="D5" s="310"/>
      <c r="E5" s="310"/>
      <c r="F5" s="310"/>
      <c r="G5" s="310"/>
      <c r="H5" s="310"/>
      <c r="I5" s="310"/>
      <c r="J5" s="310"/>
      <c r="K5" s="310"/>
      <c r="L5" s="310"/>
      <c r="M5" s="310"/>
      <c r="P5" s="1041"/>
    </row>
    <row r="6" spans="1:16" ht="18" customHeight="1">
      <c r="A6" s="309" t="s">
        <v>747</v>
      </c>
      <c r="B6" s="750" t="s">
        <v>878</v>
      </c>
      <c r="C6" s="311" t="s">
        <v>748</v>
      </c>
      <c r="D6" s="750" t="s">
        <v>1956</v>
      </c>
      <c r="E6" s="871" t="s">
        <v>749</v>
      </c>
      <c r="F6" s="750" t="s">
        <v>1958</v>
      </c>
      <c r="G6" s="311" t="s">
        <v>750</v>
      </c>
      <c r="H6" s="751">
        <v>44083</v>
      </c>
      <c r="I6" s="1129" t="s">
        <v>1777</v>
      </c>
      <c r="J6" s="1129"/>
      <c r="K6" s="1129"/>
      <c r="L6" s="767">
        <v>2020</v>
      </c>
      <c r="O6" s="766"/>
      <c r="P6" s="1041"/>
    </row>
    <row r="7" spans="1:16" ht="6" customHeight="1">
      <c r="A7" s="309"/>
      <c r="B7" s="310"/>
      <c r="C7" s="310"/>
      <c r="D7" s="310"/>
      <c r="E7" s="310"/>
      <c r="F7" s="310"/>
      <c r="G7" s="310"/>
      <c r="H7" s="310"/>
      <c r="I7" s="310"/>
      <c r="J7" s="310"/>
      <c r="K7" s="310"/>
      <c r="L7" s="310"/>
      <c r="M7" s="310"/>
      <c r="P7" s="1041"/>
    </row>
    <row r="8" spans="1:16" s="971" customFormat="1" ht="30" customHeight="1">
      <c r="A8" s="1130" t="s">
        <v>1911</v>
      </c>
      <c r="B8" s="1130"/>
      <c r="C8" s="1130"/>
      <c r="D8" s="1130"/>
      <c r="E8" s="1130"/>
      <c r="F8" s="1130"/>
      <c r="G8" s="1130"/>
      <c r="H8" s="1130"/>
      <c r="I8" s="1130"/>
      <c r="J8" s="1131"/>
      <c r="K8" s="1131"/>
      <c r="L8" s="1131"/>
      <c r="M8" s="1131"/>
      <c r="P8" s="1041"/>
    </row>
    <row r="9" spans="1:16" s="971" customFormat="1" ht="6" customHeight="1">
      <c r="A9" s="872"/>
      <c r="B9" s="310"/>
      <c r="C9" s="310"/>
      <c r="D9" s="310"/>
      <c r="E9" s="310"/>
      <c r="F9" s="310"/>
      <c r="G9" s="310"/>
      <c r="H9" s="310"/>
      <c r="I9" s="310"/>
      <c r="J9" s="310"/>
      <c r="K9" s="310"/>
      <c r="L9" s="310"/>
      <c r="M9" s="310"/>
      <c r="P9" s="1041"/>
    </row>
    <row r="10" spans="1:16" s="971" customFormat="1" ht="18" customHeight="1">
      <c r="A10" s="1132" t="s">
        <v>1920</v>
      </c>
      <c r="B10" s="1132"/>
      <c r="C10" s="1132"/>
      <c r="D10" s="1132"/>
      <c r="E10" s="1132"/>
      <c r="F10" s="1132"/>
      <c r="G10" s="1132"/>
      <c r="H10" s="1132"/>
      <c r="I10" s="1132"/>
      <c r="J10" s="1125"/>
      <c r="K10" s="1125"/>
      <c r="L10" s="1125"/>
      <c r="M10" s="1125"/>
      <c r="P10" s="1041"/>
    </row>
    <row r="11" spans="1:16" s="971" customFormat="1" ht="6" customHeight="1" thickBot="1">
      <c r="A11" s="872"/>
      <c r="B11" s="310"/>
      <c r="C11" s="310"/>
      <c r="D11" s="310"/>
      <c r="E11" s="310"/>
      <c r="F11" s="310"/>
      <c r="G11" s="310"/>
      <c r="H11" s="310"/>
      <c r="I11" s="310"/>
      <c r="J11" s="310"/>
      <c r="K11" s="310"/>
      <c r="L11" s="310"/>
      <c r="M11" s="310"/>
      <c r="P11" s="1041"/>
    </row>
    <row r="12" spans="1:16" s="971" customFormat="1" ht="18" customHeight="1" thickBot="1">
      <c r="A12" s="872" t="s">
        <v>1898</v>
      </c>
      <c r="B12" s="1023" t="s">
        <v>1811</v>
      </c>
      <c r="C12" s="1024" t="s">
        <v>1812</v>
      </c>
      <c r="D12" s="1024" t="s">
        <v>1813</v>
      </c>
      <c r="E12" s="1024" t="s">
        <v>1814</v>
      </c>
      <c r="F12" s="1024" t="s">
        <v>1900</v>
      </c>
      <c r="G12" s="1133" t="s">
        <v>1816</v>
      </c>
      <c r="H12" s="1133"/>
      <c r="I12" s="1133" t="s">
        <v>1815</v>
      </c>
      <c r="J12" s="1133"/>
      <c r="K12" s="1133" t="s">
        <v>1817</v>
      </c>
      <c r="L12" s="1134"/>
      <c r="M12" s="310"/>
      <c r="P12" s="1041"/>
    </row>
    <row r="13" spans="1:16" s="971" customFormat="1" ht="18" customHeight="1">
      <c r="A13" s="1142" t="s">
        <v>1899</v>
      </c>
      <c r="B13" s="1025" t="s">
        <v>1818</v>
      </c>
      <c r="C13" s="1026" t="s">
        <v>1825</v>
      </c>
      <c r="D13" s="1027" t="s">
        <v>1837</v>
      </c>
      <c r="E13" s="1026" t="s">
        <v>1848</v>
      </c>
      <c r="F13" s="1028" t="s">
        <v>1854</v>
      </c>
      <c r="G13" s="1135" t="s">
        <v>1866</v>
      </c>
      <c r="H13" s="1135"/>
      <c r="I13" s="1137" t="s">
        <v>1881</v>
      </c>
      <c r="J13" s="1137"/>
      <c r="K13" s="1137" t="s">
        <v>1886</v>
      </c>
      <c r="L13" s="1137"/>
      <c r="M13" s="310"/>
      <c r="P13" s="1041"/>
    </row>
    <row r="14" spans="1:16" s="971" customFormat="1" ht="18" customHeight="1">
      <c r="A14" s="1143"/>
      <c r="B14" s="1029" t="s">
        <v>1819</v>
      </c>
      <c r="C14" s="1026" t="s">
        <v>1828</v>
      </c>
      <c r="D14" s="1027" t="s">
        <v>1839</v>
      </c>
      <c r="E14" s="1026" t="s">
        <v>1846</v>
      </c>
      <c r="F14" s="1093" t="s">
        <v>1861</v>
      </c>
      <c r="G14" s="1136"/>
      <c r="H14" s="1136"/>
      <c r="I14" s="1138" t="s">
        <v>1880</v>
      </c>
      <c r="J14" s="1138"/>
      <c r="K14" s="1137" t="s">
        <v>1890</v>
      </c>
      <c r="L14" s="1137"/>
      <c r="M14" s="310"/>
      <c r="P14" s="1041"/>
    </row>
    <row r="15" spans="1:16" s="971" customFormat="1" ht="18" customHeight="1">
      <c r="A15" s="1143"/>
      <c r="B15" s="1029" t="s">
        <v>1820</v>
      </c>
      <c r="C15" s="1026" t="s">
        <v>1824</v>
      </c>
      <c r="D15" s="1027" t="s">
        <v>1834</v>
      </c>
      <c r="E15" s="1026" t="s">
        <v>1844</v>
      </c>
      <c r="F15" s="1094" t="s">
        <v>1859</v>
      </c>
      <c r="G15" s="1136"/>
      <c r="H15" s="1136"/>
      <c r="I15" s="1138" t="s">
        <v>1884</v>
      </c>
      <c r="J15" s="1138"/>
      <c r="K15" s="1138" t="s">
        <v>1892</v>
      </c>
      <c r="L15" s="1138"/>
      <c r="M15" s="310"/>
      <c r="P15" s="1041"/>
    </row>
    <row r="16" spans="1:16" s="971" customFormat="1" ht="18" customHeight="1">
      <c r="A16" s="1143"/>
      <c r="B16" s="1029" t="s">
        <v>1821</v>
      </c>
      <c r="C16" s="1026" t="s">
        <v>1823</v>
      </c>
      <c r="D16" s="1027" t="s">
        <v>1843</v>
      </c>
      <c r="E16" s="1026" t="s">
        <v>1851</v>
      </c>
      <c r="F16" s="1019"/>
      <c r="G16" s="1136"/>
      <c r="H16" s="1136"/>
      <c r="I16" s="1138" t="s">
        <v>1885</v>
      </c>
      <c r="J16" s="1138"/>
      <c r="K16" s="1138" t="s">
        <v>1897</v>
      </c>
      <c r="L16" s="1138"/>
      <c r="M16" s="310"/>
      <c r="P16" s="1041"/>
    </row>
    <row r="17" spans="1:16" s="971" customFormat="1" ht="18" customHeight="1">
      <c r="A17" s="1143"/>
      <c r="B17" s="1029" t="s">
        <v>1822</v>
      </c>
      <c r="C17" s="1026" t="s">
        <v>1826</v>
      </c>
      <c r="D17" s="1027" t="s">
        <v>1836</v>
      </c>
      <c r="E17" s="1026" t="s">
        <v>1847</v>
      </c>
      <c r="F17" s="1019"/>
      <c r="G17" s="1136"/>
      <c r="H17" s="1136"/>
      <c r="I17" s="1138" t="s">
        <v>1872</v>
      </c>
      <c r="J17" s="1138"/>
      <c r="K17" s="1138"/>
      <c r="L17" s="1138"/>
      <c r="M17" s="310"/>
      <c r="P17" s="1041"/>
    </row>
    <row r="18" spans="1:16" s="971" customFormat="1" ht="18" customHeight="1">
      <c r="A18" s="1143"/>
      <c r="B18" s="993"/>
      <c r="C18" s="1026" t="s">
        <v>1832</v>
      </c>
      <c r="D18" s="1027" t="s">
        <v>1835</v>
      </c>
      <c r="E18" s="1026" t="s">
        <v>1850</v>
      </c>
      <c r="F18" s="1019"/>
      <c r="G18" s="1136"/>
      <c r="H18" s="1136"/>
      <c r="I18" s="1138" t="s">
        <v>1870</v>
      </c>
      <c r="J18" s="1138"/>
      <c r="K18" s="1138"/>
      <c r="L18" s="1138"/>
      <c r="M18" s="310"/>
      <c r="P18" s="1041"/>
    </row>
    <row r="19" spans="1:16" s="971" customFormat="1" ht="18" customHeight="1">
      <c r="A19" s="1143"/>
      <c r="B19" s="993"/>
      <c r="C19" s="1026" t="s">
        <v>1830</v>
      </c>
      <c r="D19" s="1027" t="s">
        <v>1841</v>
      </c>
      <c r="E19" s="1026" t="s">
        <v>1845</v>
      </c>
      <c r="F19" s="1019"/>
      <c r="G19" s="1136"/>
      <c r="H19" s="1136"/>
      <c r="I19" s="1138" t="s">
        <v>1879</v>
      </c>
      <c r="J19" s="1138"/>
      <c r="K19" s="1138"/>
      <c r="L19" s="1138"/>
      <c r="M19" s="310"/>
      <c r="P19" s="1041"/>
    </row>
    <row r="20" spans="1:16" s="971" customFormat="1" ht="18" customHeight="1">
      <c r="A20" s="1143"/>
      <c r="B20" s="993"/>
      <c r="C20" s="1026" t="s">
        <v>1831</v>
      </c>
      <c r="D20" s="1027" t="s">
        <v>1838</v>
      </c>
      <c r="E20" s="1026" t="s">
        <v>1849</v>
      </c>
      <c r="F20" s="1019"/>
      <c r="G20" s="989"/>
      <c r="H20" s="989"/>
      <c r="I20" s="1138" t="s">
        <v>1883</v>
      </c>
      <c r="J20" s="1138"/>
      <c r="K20" s="1138"/>
      <c r="L20" s="1138"/>
      <c r="M20" s="310"/>
      <c r="P20" s="1041"/>
    </row>
    <row r="21" spans="1:16" s="971" customFormat="1" ht="18" customHeight="1">
      <c r="A21" s="1143"/>
      <c r="B21" s="993"/>
      <c r="C21" s="1026" t="s">
        <v>1827</v>
      </c>
      <c r="D21" s="1081"/>
      <c r="E21" s="994"/>
      <c r="F21" s="1019"/>
      <c r="G21" s="989"/>
      <c r="H21" s="989"/>
      <c r="I21" s="1138" t="s">
        <v>1882</v>
      </c>
      <c r="J21" s="1138"/>
      <c r="K21" s="1138"/>
      <c r="L21" s="1138"/>
      <c r="M21" s="310"/>
      <c r="P21" s="1041"/>
    </row>
    <row r="22" spans="1:16" s="971" customFormat="1" ht="18" customHeight="1">
      <c r="A22" s="1143"/>
      <c r="B22" s="993"/>
      <c r="C22" s="1026" t="s">
        <v>1829</v>
      </c>
      <c r="D22" s="1027"/>
      <c r="E22" s="994"/>
      <c r="F22" s="1019"/>
      <c r="G22" s="989"/>
      <c r="H22" s="989"/>
      <c r="I22" s="1138" t="s">
        <v>1871</v>
      </c>
      <c r="J22" s="1138"/>
      <c r="K22" s="1138"/>
      <c r="L22" s="1138"/>
      <c r="M22" s="310"/>
      <c r="P22" s="1041"/>
    </row>
    <row r="23" spans="1:16" s="971" customFormat="1" ht="18" customHeight="1">
      <c r="A23" s="1143"/>
      <c r="B23" s="993"/>
      <c r="C23" s="994"/>
      <c r="D23" s="1027"/>
      <c r="E23" s="994"/>
      <c r="F23" s="994"/>
      <c r="G23" s="989"/>
      <c r="H23" s="989"/>
      <c r="I23" s="1138" t="s">
        <v>1875</v>
      </c>
      <c r="J23" s="1138"/>
      <c r="K23" s="1138"/>
      <c r="L23" s="1138"/>
      <c r="M23" s="310"/>
      <c r="P23" s="1041"/>
    </row>
    <row r="24" spans="1:16" s="971" customFormat="1" ht="18" customHeight="1">
      <c r="A24" s="1143"/>
      <c r="B24" s="990"/>
      <c r="C24" s="989"/>
      <c r="D24" s="989"/>
      <c r="E24" s="989"/>
      <c r="F24" s="989"/>
      <c r="G24" s="989"/>
      <c r="H24" s="989"/>
      <c r="I24" s="1138" t="s">
        <v>1876</v>
      </c>
      <c r="J24" s="1138"/>
      <c r="K24" s="1138"/>
      <c r="L24" s="1138"/>
      <c r="M24" s="310"/>
      <c r="P24" s="1041"/>
    </row>
    <row r="25" spans="1:16" s="971" customFormat="1" ht="18" customHeight="1">
      <c r="A25" s="1143"/>
      <c r="B25" s="990"/>
      <c r="C25" s="989"/>
      <c r="D25" s="989"/>
      <c r="E25" s="989"/>
      <c r="F25" s="989"/>
      <c r="G25" s="989"/>
      <c r="H25" s="989"/>
      <c r="I25" s="1138" t="s">
        <v>1877</v>
      </c>
      <c r="J25" s="1138"/>
      <c r="K25" s="989"/>
      <c r="L25" s="989"/>
      <c r="M25" s="310"/>
    </row>
    <row r="26" spans="1:16" s="971" customFormat="1" ht="18" customHeight="1">
      <c r="A26" s="1143"/>
      <c r="B26" s="990"/>
      <c r="C26" s="989"/>
      <c r="D26" s="989"/>
      <c r="E26" s="989"/>
      <c r="F26" s="989"/>
      <c r="G26" s="989"/>
      <c r="H26" s="989"/>
      <c r="I26" s="1138" t="s">
        <v>1878</v>
      </c>
      <c r="J26" s="1138"/>
      <c r="K26" s="989"/>
      <c r="L26" s="989"/>
      <c r="M26" s="310"/>
    </row>
    <row r="27" spans="1:16" s="971" customFormat="1" ht="18" customHeight="1">
      <c r="A27" s="1143"/>
      <c r="B27" s="990"/>
      <c r="C27" s="989"/>
      <c r="D27" s="989"/>
      <c r="E27" s="989"/>
      <c r="F27" s="989"/>
      <c r="G27" s="989"/>
      <c r="H27" s="989"/>
      <c r="I27" s="1138" t="s">
        <v>1874</v>
      </c>
      <c r="J27" s="1138"/>
      <c r="K27" s="989"/>
      <c r="L27" s="989"/>
      <c r="M27" s="310"/>
    </row>
    <row r="28" spans="1:16" s="971" customFormat="1" ht="18" customHeight="1">
      <c r="A28" s="1143"/>
      <c r="B28" s="990"/>
      <c r="C28" s="989"/>
      <c r="D28" s="989"/>
      <c r="E28" s="989"/>
      <c r="F28" s="989"/>
      <c r="G28" s="989"/>
      <c r="H28" s="989"/>
      <c r="I28" s="1138" t="s">
        <v>1869</v>
      </c>
      <c r="J28" s="1138"/>
      <c r="K28" s="989"/>
      <c r="L28" s="989"/>
      <c r="M28" s="310"/>
    </row>
    <row r="29" spans="1:16" s="971" customFormat="1" ht="18" customHeight="1">
      <c r="A29" s="1143"/>
      <c r="B29" s="990"/>
      <c r="C29" s="989"/>
      <c r="D29" s="989"/>
      <c r="E29" s="989"/>
      <c r="F29" s="989"/>
      <c r="G29" s="989"/>
      <c r="H29" s="989"/>
      <c r="I29" s="1138"/>
      <c r="J29" s="1138"/>
      <c r="K29" s="989"/>
      <c r="L29" s="989"/>
      <c r="M29" s="310"/>
    </row>
    <row r="30" spans="1:16" s="971" customFormat="1" ht="6" customHeight="1">
      <c r="A30" s="872"/>
      <c r="B30" s="310"/>
      <c r="C30" s="310"/>
      <c r="D30" s="310"/>
      <c r="E30" s="310"/>
      <c r="F30" s="310"/>
      <c r="G30" s="310"/>
      <c r="H30" s="310"/>
      <c r="I30" s="310"/>
      <c r="J30" s="310"/>
      <c r="K30" s="310"/>
      <c r="L30" s="310"/>
      <c r="M30" s="310"/>
    </row>
    <row r="31" spans="1:16" s="971" customFormat="1" ht="18" customHeight="1">
      <c r="A31" s="1132" t="s">
        <v>1922</v>
      </c>
      <c r="B31" s="1132"/>
      <c r="C31" s="1132"/>
      <c r="D31" s="1132"/>
      <c r="E31" s="1132"/>
      <c r="F31" s="1132"/>
      <c r="G31" s="1132"/>
      <c r="H31" s="1132"/>
      <c r="I31" s="1132"/>
      <c r="J31" s="1125"/>
      <c r="K31" s="1125"/>
      <c r="L31" s="1125"/>
      <c r="M31" s="1125"/>
    </row>
    <row r="32" spans="1:16" s="971" customFormat="1" ht="6" customHeight="1" thickBot="1">
      <c r="A32" s="988"/>
      <c r="B32" s="988"/>
      <c r="C32" s="988"/>
      <c r="D32" s="988"/>
      <c r="E32" s="988"/>
      <c r="F32" s="988"/>
      <c r="G32" s="988"/>
      <c r="H32" s="988"/>
      <c r="I32" s="988"/>
      <c r="J32" s="759"/>
      <c r="K32" s="759"/>
      <c r="L32" s="759"/>
      <c r="M32" s="759"/>
    </row>
    <row r="33" spans="1:14" s="971" customFormat="1" ht="18" customHeight="1" thickBot="1">
      <c r="A33" s="1105" t="s">
        <v>1923</v>
      </c>
      <c r="B33" s="1106"/>
      <c r="C33" s="1106"/>
      <c r="D33" s="1106"/>
      <c r="E33" s="1107"/>
      <c r="G33" s="1105" t="s">
        <v>1921</v>
      </c>
      <c r="H33" s="1106"/>
      <c r="I33" s="1106"/>
      <c r="J33" s="1106"/>
      <c r="K33" s="1106"/>
      <c r="L33" s="1106"/>
      <c r="M33" s="1107"/>
      <c r="N33" s="310"/>
    </row>
    <row r="34" spans="1:14" s="971" customFormat="1" ht="18" customHeight="1" thickBot="1">
      <c r="A34" s="1077" t="s">
        <v>1950</v>
      </c>
      <c r="B34" s="1078" t="s">
        <v>1954</v>
      </c>
      <c r="C34" s="1079" t="s">
        <v>1951</v>
      </c>
      <c r="D34" s="1080" t="s">
        <v>1901</v>
      </c>
      <c r="E34" s="1080" t="s">
        <v>1955</v>
      </c>
      <c r="F34" s="989" t="s">
        <v>1924</v>
      </c>
      <c r="G34" s="1012" t="s">
        <v>1906</v>
      </c>
      <c r="H34" s="1013" t="s">
        <v>1907</v>
      </c>
      <c r="I34" s="1013" t="s">
        <v>1908</v>
      </c>
      <c r="J34" s="1013" t="s">
        <v>1917</v>
      </c>
      <c r="K34" s="1013" t="s">
        <v>1904</v>
      </c>
      <c r="L34" s="1013" t="s">
        <v>1905</v>
      </c>
      <c r="M34" s="1014" t="s">
        <v>1909</v>
      </c>
      <c r="N34" s="989" t="s">
        <v>1918</v>
      </c>
    </row>
    <row r="35" spans="1:14" s="971" customFormat="1" ht="18" customHeight="1">
      <c r="A35" s="1008" t="s">
        <v>1870</v>
      </c>
      <c r="B35" s="1008" t="s">
        <v>1879</v>
      </c>
      <c r="C35" s="1009"/>
      <c r="D35" s="1076"/>
      <c r="E35" s="1009"/>
      <c r="F35" s="1104" t="s">
        <v>1919</v>
      </c>
      <c r="G35" s="1015" t="s">
        <v>1821</v>
      </c>
      <c r="H35" s="1015"/>
      <c r="I35" s="1016" t="s">
        <v>1902</v>
      </c>
      <c r="J35" s="1015" t="s">
        <v>1861</v>
      </c>
      <c r="K35" s="1015"/>
      <c r="L35" s="1015" t="s">
        <v>1871</v>
      </c>
      <c r="M35" s="1021" t="s">
        <v>1892</v>
      </c>
      <c r="N35" s="1104" t="s">
        <v>1919</v>
      </c>
    </row>
    <row r="36" spans="1:14" s="971" customFormat="1" ht="18" customHeight="1">
      <c r="A36" s="1008" t="s">
        <v>1892</v>
      </c>
      <c r="B36" s="1008" t="s">
        <v>1866</v>
      </c>
      <c r="C36" s="1010"/>
      <c r="D36" s="1011"/>
      <c r="E36" s="1010"/>
      <c r="F36" s="1104"/>
      <c r="G36" s="1011"/>
      <c r="H36" s="1011"/>
      <c r="I36" s="1011"/>
      <c r="J36" s="1011"/>
      <c r="K36" s="1017"/>
      <c r="L36" s="1018" t="s">
        <v>1883</v>
      </c>
      <c r="M36" s="1022" t="s">
        <v>1897</v>
      </c>
      <c r="N36" s="1104"/>
    </row>
    <row r="37" spans="1:14" s="971" customFormat="1" ht="18" customHeight="1">
      <c r="A37" s="1008"/>
      <c r="B37" s="1008"/>
      <c r="C37" s="1010"/>
      <c r="D37" s="1011"/>
      <c r="F37" s="1104"/>
      <c r="G37" s="994"/>
      <c r="H37" s="994"/>
      <c r="I37" s="994"/>
      <c r="J37" s="994"/>
      <c r="K37" s="1017"/>
      <c r="L37" s="1070"/>
      <c r="M37" s="1022"/>
      <c r="N37" s="1104"/>
    </row>
    <row r="38" spans="1:14" s="971" customFormat="1" ht="18" customHeight="1">
      <c r="A38" s="1008"/>
      <c r="B38" s="1008"/>
      <c r="C38" s="1010"/>
      <c r="D38" s="994"/>
      <c r="F38" s="1104"/>
      <c r="G38" s="994"/>
      <c r="H38" s="994"/>
      <c r="I38" s="994"/>
      <c r="J38" s="994"/>
      <c r="K38" s="1017"/>
      <c r="L38" s="994"/>
      <c r="M38" s="1022"/>
      <c r="N38" s="1104"/>
    </row>
    <row r="39" spans="1:14" s="971" customFormat="1" ht="18" customHeight="1">
      <c r="A39" s="1008"/>
      <c r="B39" s="1008"/>
      <c r="C39" s="1010"/>
      <c r="D39" s="997"/>
      <c r="F39" s="1104"/>
      <c r="G39" s="994"/>
      <c r="H39" s="994"/>
      <c r="I39" s="994"/>
      <c r="J39" s="994"/>
      <c r="K39" s="1017"/>
      <c r="L39" s="994"/>
      <c r="M39" s="1022"/>
      <c r="N39" s="1104"/>
    </row>
    <row r="40" spans="1:14" s="971" customFormat="1" ht="18" customHeight="1">
      <c r="A40" s="1008"/>
      <c r="B40" s="997"/>
      <c r="C40" s="997"/>
      <c r="D40" s="997"/>
      <c r="F40" s="1104"/>
      <c r="G40" s="994"/>
      <c r="H40" s="994"/>
      <c r="I40" s="994"/>
      <c r="J40" s="994"/>
      <c r="K40" s="1017"/>
      <c r="L40" s="994"/>
      <c r="M40" s="1020"/>
      <c r="N40" s="1104"/>
    </row>
    <row r="41" spans="1:14" s="971" customFormat="1" ht="18" customHeight="1">
      <c r="A41" s="1008"/>
      <c r="B41" s="997"/>
      <c r="C41" s="997"/>
      <c r="D41" s="997"/>
      <c r="F41" s="1104"/>
      <c r="G41" s="994"/>
      <c r="H41" s="994"/>
      <c r="I41" s="994"/>
      <c r="J41" s="994"/>
      <c r="K41" s="1011"/>
      <c r="L41" s="994"/>
      <c r="M41" s="994"/>
      <c r="N41" s="1104"/>
    </row>
    <row r="42" spans="1:14" s="971" customFormat="1" ht="18" customHeight="1">
      <c r="A42" s="1008"/>
      <c r="B42" s="997"/>
      <c r="C42" s="997"/>
      <c r="D42" s="997"/>
      <c r="F42" s="1104"/>
      <c r="G42" s="989"/>
      <c r="H42" s="989"/>
      <c r="I42" s="989"/>
      <c r="J42" s="989"/>
      <c r="K42" s="989"/>
      <c r="L42" s="989"/>
      <c r="M42" s="989"/>
      <c r="N42" s="1104"/>
    </row>
    <row r="43" spans="1:14" s="971" customFormat="1" ht="18" customHeight="1">
      <c r="A43" s="1008"/>
      <c r="B43" s="997"/>
      <c r="C43" s="997"/>
      <c r="D43" s="997"/>
      <c r="F43" s="1104"/>
      <c r="G43" s="989"/>
      <c r="H43" s="989"/>
      <c r="I43" s="989"/>
      <c r="J43" s="989"/>
      <c r="K43" s="989"/>
      <c r="L43" s="989"/>
      <c r="M43" s="989"/>
      <c r="N43" s="1104"/>
    </row>
    <row r="44" spans="1:14" s="971" customFormat="1" ht="18" customHeight="1">
      <c r="A44" s="1008"/>
      <c r="B44" s="997"/>
      <c r="C44" s="997"/>
      <c r="D44" s="997"/>
      <c r="F44" s="1104"/>
      <c r="G44" s="989"/>
      <c r="H44" s="989"/>
      <c r="I44" s="989"/>
      <c r="J44" s="989"/>
      <c r="K44" s="989"/>
      <c r="L44" s="989"/>
      <c r="M44" s="989"/>
      <c r="N44" s="1104"/>
    </row>
    <row r="45" spans="1:14" s="971" customFormat="1" ht="18" customHeight="1">
      <c r="A45" s="1008"/>
      <c r="B45" s="997"/>
      <c r="C45" s="997"/>
      <c r="D45" s="997"/>
      <c r="F45" s="1104"/>
      <c r="G45" s="989"/>
      <c r="H45" s="989"/>
      <c r="I45" s="989"/>
      <c r="J45" s="989"/>
      <c r="K45" s="989"/>
      <c r="L45" s="989"/>
      <c r="M45" s="989"/>
      <c r="N45" s="1104"/>
    </row>
    <row r="46" spans="1:14" s="971" customFormat="1" ht="18" customHeight="1">
      <c r="A46" s="1008"/>
      <c r="B46" s="997"/>
      <c r="C46" s="997"/>
      <c r="D46" s="997"/>
      <c r="F46" s="1104"/>
      <c r="G46" s="989"/>
      <c r="H46" s="989"/>
      <c r="I46" s="989"/>
      <c r="J46" s="989"/>
      <c r="K46" s="989"/>
      <c r="L46" s="989"/>
      <c r="M46" s="989"/>
      <c r="N46" s="1104"/>
    </row>
    <row r="47" spans="1:14" s="971" customFormat="1" ht="18" customHeight="1">
      <c r="A47" s="1008"/>
      <c r="B47" s="997"/>
      <c r="C47" s="997"/>
      <c r="D47" s="997"/>
      <c r="F47" s="1104"/>
      <c r="G47" s="989"/>
      <c r="H47" s="989"/>
      <c r="I47" s="989"/>
      <c r="J47" s="989"/>
      <c r="K47" s="989"/>
      <c r="L47" s="989"/>
      <c r="M47" s="989"/>
      <c r="N47" s="1104"/>
    </row>
    <row r="48" spans="1:14" s="971" customFormat="1" ht="6" customHeight="1">
      <c r="A48" s="996"/>
      <c r="B48" s="997"/>
      <c r="C48" s="997"/>
      <c r="D48" s="997"/>
      <c r="E48" s="310"/>
      <c r="F48" s="310"/>
      <c r="G48" s="310"/>
      <c r="H48" s="310"/>
      <c r="I48" s="310"/>
      <c r="J48" s="310"/>
      <c r="K48" s="310"/>
      <c r="L48" s="310"/>
      <c r="M48" s="310"/>
    </row>
    <row r="49" spans="1:13" ht="18" customHeight="1">
      <c r="A49" s="1130" t="s">
        <v>1912</v>
      </c>
      <c r="B49" s="1130"/>
      <c r="C49" s="1130"/>
      <c r="D49" s="1130"/>
      <c r="E49" s="1130"/>
      <c r="F49" s="1130"/>
      <c r="G49" s="1130"/>
      <c r="H49" s="1130"/>
      <c r="I49" s="1130"/>
      <c r="J49" s="1131"/>
      <c r="K49" s="1131"/>
      <c r="L49" s="1131"/>
      <c r="M49" s="1131"/>
    </row>
    <row r="50" spans="1:13" ht="6" customHeight="1">
      <c r="A50" s="309"/>
      <c r="B50" s="310"/>
      <c r="C50" s="310"/>
      <c r="D50" s="310"/>
      <c r="E50" s="310"/>
      <c r="F50" s="310"/>
      <c r="G50" s="310"/>
      <c r="H50" s="310"/>
      <c r="I50" s="310"/>
      <c r="J50" s="310"/>
      <c r="K50" s="310"/>
      <c r="L50" s="310"/>
      <c r="M50" s="310"/>
    </row>
    <row r="51" spans="1:13" ht="106.5" customHeight="1">
      <c r="A51" s="1126" t="s">
        <v>1910</v>
      </c>
      <c r="B51" s="1127"/>
      <c r="C51" s="1127"/>
      <c r="D51" s="1127"/>
      <c r="E51" s="1127"/>
      <c r="F51" s="1127"/>
      <c r="G51" s="1127"/>
      <c r="H51" s="1127"/>
      <c r="I51" s="1127"/>
      <c r="J51" s="1127"/>
      <c r="K51" s="1127"/>
      <c r="L51" s="1127"/>
      <c r="M51" s="1128"/>
    </row>
    <row r="52" spans="1:13" ht="6" customHeight="1" thickBot="1">
      <c r="A52" s="309"/>
      <c r="B52" s="310"/>
      <c r="C52" s="310"/>
      <c r="D52" s="310"/>
      <c r="E52" s="310"/>
      <c r="F52" s="310"/>
      <c r="G52" s="310"/>
      <c r="H52" s="310"/>
      <c r="I52" s="310"/>
      <c r="J52" s="310"/>
      <c r="K52" s="310"/>
      <c r="L52" s="310"/>
      <c r="M52" s="310"/>
    </row>
    <row r="53" spans="1:13" ht="39" thickBot="1">
      <c r="A53" s="296" t="s">
        <v>641</v>
      </c>
      <c r="B53" s="296" t="s">
        <v>87</v>
      </c>
      <c r="C53" s="296" t="s">
        <v>88</v>
      </c>
      <c r="D53" s="296" t="s">
        <v>3</v>
      </c>
      <c r="E53" s="842" t="s">
        <v>1808</v>
      </c>
      <c r="F53" s="842" t="s">
        <v>1783</v>
      </c>
      <c r="G53" s="297" t="s">
        <v>476</v>
      </c>
      <c r="H53" s="176" t="s">
        <v>471</v>
      </c>
      <c r="I53" s="177" t="s">
        <v>472</v>
      </c>
      <c r="J53" s="177" t="s">
        <v>473</v>
      </c>
      <c r="K53" s="177" t="s">
        <v>474</v>
      </c>
      <c r="L53" s="178" t="s">
        <v>475</v>
      </c>
      <c r="M53" s="298" t="s">
        <v>642</v>
      </c>
    </row>
    <row r="54" spans="1:13" s="1037" customFormat="1" ht="51">
      <c r="A54" s="841" t="s">
        <v>1957</v>
      </c>
      <c r="B54" s="841" t="s">
        <v>655</v>
      </c>
      <c r="C54" s="841" t="s">
        <v>678</v>
      </c>
      <c r="D54" s="841" t="s">
        <v>485</v>
      </c>
      <c r="E54" s="845" t="str">
        <f>IFERROR(VLOOKUP(Aporte_Contrato_Desempeño!$D$54,Estructura_PGAR!$H$3:$R$120,10,FALSE),"")</f>
        <v>6. Agua limpia y saneamiento</v>
      </c>
      <c r="F54" s="845" t="str">
        <f>IFERROR(VLOOKUP(Aporte_Contrato_Desempeño!$D$54,Estructura_PGAR!$H$3:$R$120,11,FALSE),"")</f>
        <v>Planeación ambiental del territorio</v>
      </c>
      <c r="G54" s="843" t="str">
        <f>IFERROR(VLOOKUP(Aporte_Contrato_Desempeño!$D$54,Estructura_PGAR!$H$3:$P$120,4,FALSE),"")</f>
        <v>23 cuerpos de agua</v>
      </c>
      <c r="H54" s="843">
        <f>IFERROR(VLOOKUP(Aporte_Contrato_Desempeño!$D$54,Estructura_PGAR!$H$3:$P$120,5,FALSE),"")</f>
        <v>14</v>
      </c>
      <c r="I54" s="843">
        <f>IFERROR(VLOOKUP(Aporte_Contrato_Desempeño!$D$54,Estructura_PGAR!$H$3:$P$120,6,FALSE),"")</f>
        <v>11</v>
      </c>
      <c r="J54" s="843">
        <f>IFERROR(VLOOKUP(Aporte_Contrato_Desempeño!$D$54,Estructura_PGAR!$H$3:$P$120,7,FALSE),"")</f>
        <v>12</v>
      </c>
      <c r="K54" s="843">
        <f>IFERROR(VLOOKUP(Aporte_Contrato_Desempeño!$D$54,Estructura_PGAR!$H$3:$P$120,8,FALSE),"")</f>
        <v>13</v>
      </c>
      <c r="L54" s="843" t="str">
        <f>IFERROR(VLOOKUP(Aporte_Contrato_Desempeño!$D$44,Estructura_PGAR!$H$3:$P$120,9,FALSE),"")</f>
        <v/>
      </c>
      <c r="M54" s="844" t="s">
        <v>1949</v>
      </c>
    </row>
    <row r="55" spans="1:13" s="1037" customFormat="1" outlineLevel="1">
      <c r="A55" s="841"/>
      <c r="B55" s="841"/>
      <c r="C55" s="841"/>
      <c r="D55" s="841"/>
      <c r="E55" s="845" t="str">
        <f>IFERROR(VLOOKUP(Aporte_Contrato_Desempeño!$D$55,Estructura_PGAR!$H$3:$R$120,10,FALSE),"")</f>
        <v/>
      </c>
      <c r="F55" s="845" t="str">
        <f>IFERROR(VLOOKUP(Aporte_Contrato_Desempeño!$D$55,Estructura_PGAR!$H$3:$R$120,11,FALSE),"")</f>
        <v/>
      </c>
      <c r="G55" s="843" t="str">
        <f>IFERROR(VLOOKUP(Aporte_Contrato_Desempeño!$D$55,Estructura_PGAR!$H$3:$P$120,4,FALSE),"")</f>
        <v/>
      </c>
      <c r="H55" s="843" t="str">
        <f>IFERROR(VLOOKUP(Aporte_Contrato_Desempeño!$D$55,Estructura_PGAR!$H$3:$P$120,5,FALSE),"")</f>
        <v/>
      </c>
      <c r="I55" s="843" t="str">
        <f>IFERROR(VLOOKUP(Aporte_Contrato_Desempeño!$D$55,Estructura_PGAR!$H$3:$P$120,6,FALSE),"")</f>
        <v/>
      </c>
      <c r="J55" s="843" t="str">
        <f>IFERROR(VLOOKUP(Aporte_Contrato_Desempeño!$D$55,Estructura_PGAR!$H$3:$P$120,7,FALSE),"")</f>
        <v/>
      </c>
      <c r="K55" s="843" t="str">
        <f>IFERROR(VLOOKUP(Aporte_Contrato_Desempeño!$D$55,Estructura_PGAR!$H$3:$P$120,8,FALSE),"")</f>
        <v/>
      </c>
      <c r="L55" s="843" t="str">
        <f>IFERROR(VLOOKUP(Aporte_Contrato_Desempeño!$D$55,Estructura_PGAR!$H$3:$P$120,9,FALSE),"")</f>
        <v/>
      </c>
      <c r="M55" s="844" t="s">
        <v>1949</v>
      </c>
    </row>
    <row r="56" spans="1:13" s="1037" customFormat="1" outlineLevel="1">
      <c r="A56" s="841"/>
      <c r="B56" s="841"/>
      <c r="C56" s="841"/>
      <c r="D56" s="841"/>
      <c r="E56" s="845" t="str">
        <f>IFERROR(VLOOKUP(Aporte_Contrato_Desempeño!$D$56,Estructura_PGAR!$H$3:$R$120,10,FALSE),"")</f>
        <v/>
      </c>
      <c r="F56" s="845" t="str">
        <f>IFERROR(VLOOKUP(Aporte_Contrato_Desempeño!$D$56,Estructura_PGAR!$H$3:$R$120,11,FALSE),"")</f>
        <v/>
      </c>
      <c r="G56" s="843" t="str">
        <f>IFERROR(VLOOKUP(Aporte_Contrato_Desempeño!$D$56,Estructura_PGAR!$H$3:$P$120,4,FALSE),"")</f>
        <v/>
      </c>
      <c r="H56" s="843" t="str">
        <f>IFERROR(VLOOKUP(Aporte_Contrato_Desempeño!$D$56,Estructura_PGAR!$H$3:$P$120,5,FALSE),"")</f>
        <v/>
      </c>
      <c r="I56" s="843" t="str">
        <f>IFERROR(VLOOKUP(Aporte_Contrato_Desempeño!$D$56,Estructura_PGAR!$H$3:$P$120,6,FALSE),"")</f>
        <v/>
      </c>
      <c r="J56" s="843" t="str">
        <f>IFERROR(VLOOKUP(Aporte_Contrato_Desempeño!$D$56,Estructura_PGAR!$H$3:$P$120,7,FALSE),"")</f>
        <v/>
      </c>
      <c r="K56" s="843" t="str">
        <f>IFERROR(VLOOKUP(Aporte_Contrato_Desempeño!$D$56,Estructura_PGAR!$H$3:$P$120,8,FALSE),"")</f>
        <v/>
      </c>
      <c r="L56" s="843" t="str">
        <f>IFERROR(VLOOKUP(Aporte_Contrato_Desempeño!$D$56,Estructura_PGAR!$H$3:$P$120,9,FALSE),"")</f>
        <v/>
      </c>
      <c r="M56" s="844" t="s">
        <v>1949</v>
      </c>
    </row>
    <row r="57" spans="1:13" s="1037" customFormat="1" outlineLevel="1">
      <c r="A57" s="841"/>
      <c r="B57" s="841"/>
      <c r="C57" s="841"/>
      <c r="D57" s="841"/>
      <c r="E57" s="845" t="str">
        <f>IFERROR(VLOOKUP(Aporte_Contrato_Desempeño!$D$57,Estructura_PGAR!$H$3:$R$120,10,FALSE),"")</f>
        <v/>
      </c>
      <c r="F57" s="845" t="str">
        <f>IFERROR(VLOOKUP(Aporte_Contrato_Desempeño!$D$57,Estructura_PGAR!$H$3:$R$120,11,FALSE),"")</f>
        <v/>
      </c>
      <c r="G57" s="843" t="str">
        <f>IFERROR(VLOOKUP(Aporte_Contrato_Desempeño!$D$57,Estructura_PGAR!$H$3:$P$120,4,FALSE),"")</f>
        <v/>
      </c>
      <c r="H57" s="843" t="str">
        <f>IFERROR(VLOOKUP(Aporte_Contrato_Desempeño!$D$57,Estructura_PGAR!$H$3:$P$120,5,FALSE),"")</f>
        <v/>
      </c>
      <c r="I57" s="843" t="str">
        <f>IFERROR(VLOOKUP(Aporte_Contrato_Desempeño!$D$57,Estructura_PGAR!$H$3:$P$120,6,FALSE),"")</f>
        <v/>
      </c>
      <c r="J57" s="843" t="str">
        <f>IFERROR(VLOOKUP(Aporte_Contrato_Desempeño!$D$57,Estructura_PGAR!$H$3:$P$120,7,FALSE),"")</f>
        <v/>
      </c>
      <c r="K57" s="843" t="str">
        <f>IFERROR(VLOOKUP(Aporte_Contrato_Desempeño!$D$57,Estructura_PGAR!$H$3:$P$120,8,FALSE),"")</f>
        <v/>
      </c>
      <c r="L57" s="843" t="str">
        <f>IFERROR(VLOOKUP(Aporte_Contrato_Desempeño!$D$57,Estructura_PGAR!$H$3:$P$120,9,FALSE),"")</f>
        <v/>
      </c>
      <c r="M57" s="844" t="s">
        <v>1949</v>
      </c>
    </row>
    <row r="58" spans="1:13" s="1037" customFormat="1" outlineLevel="1">
      <c r="A58" s="841"/>
      <c r="B58" s="841"/>
      <c r="C58" s="841"/>
      <c r="D58" s="841"/>
      <c r="E58" s="845" t="str">
        <f>IFERROR(VLOOKUP(Aporte_Contrato_Desempeño!$D$58,Estructura_PGAR!$H$3:$R$120,10,FALSE),"")</f>
        <v/>
      </c>
      <c r="F58" s="845" t="str">
        <f>IFERROR(VLOOKUP(Aporte_Contrato_Desempeño!$D$58,Estructura_PGAR!$H$3:$R$120,11,FALSE),"")</f>
        <v/>
      </c>
      <c r="G58" s="843" t="str">
        <f>IFERROR(VLOOKUP(Aporte_Contrato_Desempeño!$D$58,Estructura_PGAR!$H$3:$P$120,4,FALSE),"")</f>
        <v/>
      </c>
      <c r="H58" s="843" t="str">
        <f>IFERROR(VLOOKUP(Aporte_Contrato_Desempeño!$D$58,Estructura_PGAR!$H$3:$P$120,5,FALSE),"")</f>
        <v/>
      </c>
      <c r="I58" s="843" t="str">
        <f>IFERROR(VLOOKUP(Aporte_Contrato_Desempeño!$D$58,Estructura_PGAR!$H$3:$P$120,6,FALSE),"")</f>
        <v/>
      </c>
      <c r="J58" s="843" t="str">
        <f>IFERROR(VLOOKUP(Aporte_Contrato_Desempeño!$D$58,Estructura_PGAR!$H$3:$P$120,7,FALSE),"")</f>
        <v/>
      </c>
      <c r="K58" s="843" t="str">
        <f>IFERROR(VLOOKUP(Aporte_Contrato_Desempeño!$D$58,Estructura_PGAR!$H$3:$P$120,8,FALSE),"")</f>
        <v/>
      </c>
      <c r="L58" s="843" t="str">
        <f>IFERROR(VLOOKUP(Aporte_Contrato_Desempeño!$D$58,Estructura_PGAR!$H$3:$P$120,9,FALSE),"")</f>
        <v/>
      </c>
      <c r="M58" s="844" t="s">
        <v>1949</v>
      </c>
    </row>
    <row r="59" spans="1:13" s="1037" customFormat="1">
      <c r="A59" s="841"/>
      <c r="B59" s="841"/>
      <c r="C59" s="841"/>
      <c r="D59" s="841"/>
      <c r="E59" s="845" t="str">
        <f>IFERROR(VLOOKUP(Aporte_Contrato_Desempeño!$D$59,Estructura_PGAR!$H$3:$R$120,10,FALSE),"")</f>
        <v/>
      </c>
      <c r="F59" s="845" t="str">
        <f>IFERROR(VLOOKUP(Aporte_Contrato_Desempeño!$D$59,Estructura_PGAR!$H$3:$R$120,11,FALSE),"")</f>
        <v/>
      </c>
      <c r="G59" s="843" t="str">
        <f>IFERROR(VLOOKUP(Aporte_Contrato_Desempeño!$D$59,Estructura_PGAR!$H$3:$P$120,4,FALSE),"")</f>
        <v/>
      </c>
      <c r="H59" s="843" t="str">
        <f>IFERROR(VLOOKUP(Aporte_Contrato_Desempeño!$D$59,Estructura_PGAR!$H$3:$P$120,5,FALSE),"")</f>
        <v/>
      </c>
      <c r="I59" s="843" t="str">
        <f>IFERROR(VLOOKUP(Aporte_Contrato_Desempeño!$D$59,Estructura_PGAR!$H$3:$P$120,6,FALSE),"")</f>
        <v/>
      </c>
      <c r="J59" s="843" t="str">
        <f>IFERROR(VLOOKUP(Aporte_Contrato_Desempeño!$D$59,Estructura_PGAR!$H$3:$P$120,7,FALSE),"")</f>
        <v/>
      </c>
      <c r="K59" s="843" t="str">
        <f>IFERROR(VLOOKUP(Aporte_Contrato_Desempeño!$D$59,Estructura_PGAR!$H$3:$P$120,8,FALSE),"")</f>
        <v/>
      </c>
      <c r="L59" s="843" t="str">
        <f>IFERROR(VLOOKUP(Aporte_Contrato_Desempeño!$D$59,Estructura_PGAR!$H$3:$P$120,9,FALSE),"")</f>
        <v/>
      </c>
      <c r="M59" s="844" t="s">
        <v>1949</v>
      </c>
    </row>
    <row r="60" spans="1:13" s="1037" customFormat="1" outlineLevel="1">
      <c r="A60" s="841"/>
      <c r="B60" s="841"/>
      <c r="C60" s="841"/>
      <c r="D60" s="841"/>
      <c r="E60" s="845" t="str">
        <f>IFERROR(VLOOKUP(Aporte_Contrato_Desempeño!$D$60,Estructura_PGAR!$H$3:$R$120,10,FALSE),"")</f>
        <v/>
      </c>
      <c r="F60" s="845" t="str">
        <f>IFERROR(VLOOKUP(Aporte_Contrato_Desempeño!$D$60,Estructura_PGAR!$H$3:$R$120,11,FALSE),"")</f>
        <v/>
      </c>
      <c r="G60" s="843" t="str">
        <f>IFERROR(VLOOKUP(Aporte_Contrato_Desempeño!$D$60,Estructura_PGAR!$H$3:$P$120,4,FALSE),"")</f>
        <v/>
      </c>
      <c r="H60" s="843" t="str">
        <f>IFERROR(VLOOKUP(Aporte_Contrato_Desempeño!$D$60,Estructura_PGAR!$H$3:$P$120,5,FALSE),"")</f>
        <v/>
      </c>
      <c r="I60" s="843" t="str">
        <f>IFERROR(VLOOKUP(Aporte_Contrato_Desempeño!$D$60,Estructura_PGAR!$H$3:$P$120,6,FALSE),"")</f>
        <v/>
      </c>
      <c r="J60" s="843" t="str">
        <f>IFERROR(VLOOKUP(Aporte_Contrato_Desempeño!$D$60,Estructura_PGAR!$H$3:$P$120,7,FALSE),"")</f>
        <v/>
      </c>
      <c r="K60" s="843" t="str">
        <f>IFERROR(VLOOKUP(Aporte_Contrato_Desempeño!$D$60,Estructura_PGAR!$H$3:$P$120,8,FALSE),"")</f>
        <v/>
      </c>
      <c r="L60" s="843" t="str">
        <f>IFERROR(VLOOKUP(Aporte_Contrato_Desempeño!$D$60,Estructura_PGAR!$H$3:$P$120,9,FALSE),"")</f>
        <v/>
      </c>
      <c r="M60" s="844" t="s">
        <v>1949</v>
      </c>
    </row>
    <row r="61" spans="1:13" s="1037" customFormat="1" outlineLevel="1">
      <c r="A61" s="841"/>
      <c r="B61" s="841"/>
      <c r="C61" s="841"/>
      <c r="D61" s="841"/>
      <c r="E61" s="845" t="str">
        <f>IFERROR(VLOOKUP(Aporte_Contrato_Desempeño!$D$61,Estructura_PGAR!$H$3:$R$120,10,FALSE),"")</f>
        <v/>
      </c>
      <c r="F61" s="845" t="str">
        <f>IFERROR(VLOOKUP(Aporte_Contrato_Desempeño!$D$61,Estructura_PGAR!$H$3:$R$120,11,FALSE),"")</f>
        <v/>
      </c>
      <c r="G61" s="843" t="str">
        <f>IFERROR(VLOOKUP(Aporte_Contrato_Desempeño!$D$61,Estructura_PGAR!$H$3:$P$120,4,FALSE),"")</f>
        <v/>
      </c>
      <c r="H61" s="843" t="str">
        <f>IFERROR(VLOOKUP(Aporte_Contrato_Desempeño!$D$61,Estructura_PGAR!$H$3:$P$120,5,FALSE),"")</f>
        <v/>
      </c>
      <c r="I61" s="843" t="str">
        <f>IFERROR(VLOOKUP(Aporte_Contrato_Desempeño!$D$61,Estructura_PGAR!$H$3:$P$120,6,FALSE),"")</f>
        <v/>
      </c>
      <c r="J61" s="843" t="str">
        <f>IFERROR(VLOOKUP(Aporte_Contrato_Desempeño!$D$61,Estructura_PGAR!$H$3:$P$120,7,FALSE),"")</f>
        <v/>
      </c>
      <c r="K61" s="843" t="str">
        <f>IFERROR(VLOOKUP(Aporte_Contrato_Desempeño!$D$61,Estructura_PGAR!$H$3:$P$120,8,FALSE),"")</f>
        <v/>
      </c>
      <c r="L61" s="843" t="str">
        <f>IFERROR(VLOOKUP(Aporte_Contrato_Desempeño!$D$61,Estructura_PGAR!$H$3:$P$120,9,FALSE),"")</f>
        <v/>
      </c>
      <c r="M61" s="844" t="s">
        <v>1949</v>
      </c>
    </row>
    <row r="62" spans="1:13" s="1037" customFormat="1" outlineLevel="1">
      <c r="A62" s="841"/>
      <c r="B62" s="841"/>
      <c r="C62" s="841"/>
      <c r="D62" s="841"/>
      <c r="E62" s="845" t="str">
        <f>IFERROR(VLOOKUP(Aporte_Contrato_Desempeño!$D$62,Estructura_PGAR!$H$3:$R$120,10,FALSE),"")</f>
        <v/>
      </c>
      <c r="F62" s="845" t="str">
        <f>IFERROR(VLOOKUP(Aporte_Contrato_Desempeño!$D$62,Estructura_PGAR!$H$3:$R$120,11,FALSE),"")</f>
        <v/>
      </c>
      <c r="G62" s="843" t="str">
        <f>IFERROR(VLOOKUP(Aporte_Contrato_Desempeño!$D$62,Estructura_PGAR!$H$3:$P$120,4,FALSE),"")</f>
        <v/>
      </c>
      <c r="H62" s="843" t="str">
        <f>IFERROR(VLOOKUP(Aporte_Contrato_Desempeño!$D$62,Estructura_PGAR!$H$3:$P$120,5,FALSE),"")</f>
        <v/>
      </c>
      <c r="I62" s="843" t="str">
        <f>IFERROR(VLOOKUP(Aporte_Contrato_Desempeño!$D$62,Estructura_PGAR!$H$3:$P$120,6,FALSE),"")</f>
        <v/>
      </c>
      <c r="J62" s="843" t="str">
        <f>IFERROR(VLOOKUP(Aporte_Contrato_Desempeño!$D$62,Estructura_PGAR!$H$3:$P$120,7,FALSE),"")</f>
        <v/>
      </c>
      <c r="K62" s="843" t="str">
        <f>IFERROR(VLOOKUP(Aporte_Contrato_Desempeño!$D$62,Estructura_PGAR!$H$3:$P$120,8,FALSE),"")</f>
        <v/>
      </c>
      <c r="L62" s="843" t="str">
        <f>IFERROR(VLOOKUP(Aporte_Contrato_Desempeño!$D$62,Estructura_PGAR!$H$3:$P$120,9,FALSE),"")</f>
        <v/>
      </c>
      <c r="M62" s="844" t="s">
        <v>1949</v>
      </c>
    </row>
    <row r="63" spans="1:13" s="1037" customFormat="1" outlineLevel="1">
      <c r="A63" s="841"/>
      <c r="B63" s="841"/>
      <c r="C63" s="841"/>
      <c r="D63" s="841"/>
      <c r="E63" s="845" t="str">
        <f>IFERROR(VLOOKUP(Aporte_Contrato_Desempeño!$D$63,Estructura_PGAR!$H$3:$R$120,10,FALSE),"")</f>
        <v/>
      </c>
      <c r="F63" s="845" t="str">
        <f>IFERROR(VLOOKUP(Aporte_Contrato_Desempeño!$D$63,Estructura_PGAR!$H$3:$R$120,11,FALSE),"")</f>
        <v/>
      </c>
      <c r="G63" s="843" t="str">
        <f>IFERROR(VLOOKUP(Aporte_Contrato_Desempeño!$D$63,Estructura_PGAR!$H$3:$P$120,4,FALSE),"")</f>
        <v/>
      </c>
      <c r="H63" s="843" t="str">
        <f>IFERROR(VLOOKUP(Aporte_Contrato_Desempeño!$D$63,Estructura_PGAR!$H$3:$P$120,5,FALSE),"")</f>
        <v/>
      </c>
      <c r="I63" s="843" t="str">
        <f>IFERROR(VLOOKUP(Aporte_Contrato_Desempeño!$D$63,Estructura_PGAR!$H$3:$P$120,6,FALSE),"")</f>
        <v/>
      </c>
      <c r="J63" s="843" t="str">
        <f>IFERROR(VLOOKUP(Aporte_Contrato_Desempeño!$D$63,Estructura_PGAR!$H$3:$P$120,7,FALSE),"")</f>
        <v/>
      </c>
      <c r="K63" s="843" t="str">
        <f>IFERROR(VLOOKUP(Aporte_Contrato_Desempeño!$D$63,Estructura_PGAR!$H$3:$P$120,8,FALSE),"")</f>
        <v/>
      </c>
      <c r="L63" s="843" t="str">
        <f>IFERROR(VLOOKUP(Aporte_Contrato_Desempeño!$D$63,Estructura_PGAR!$H$3:$P$120,9,FALSE),"")</f>
        <v/>
      </c>
      <c r="M63" s="844"/>
    </row>
    <row r="64" spans="1:13" ht="15.75" customHeight="1">
      <c r="A64" s="841"/>
      <c r="B64" s="841"/>
      <c r="C64" s="841"/>
      <c r="D64" s="841"/>
      <c r="E64" s="845" t="str">
        <f>IFERROR(VLOOKUP(Aporte_Contrato_Desempeño!$D$64,Estructura_PGAR!$H$3:$R$120,10,FALSE),"")</f>
        <v/>
      </c>
      <c r="F64" s="845" t="str">
        <f>IFERROR(VLOOKUP(Aporte_Contrato_Desempeño!$D$64,Estructura_PGAR!$H$3:$R$120,11,FALSE),"")</f>
        <v/>
      </c>
      <c r="G64" s="843" t="str">
        <f>IFERROR(VLOOKUP(Aporte_Contrato_Desempeño!$D$64,Estructura_PGAR!$H$3:$P$120,4,FALSE),"")</f>
        <v/>
      </c>
      <c r="H64" s="843" t="str">
        <f>IFERROR(VLOOKUP(Aporte_Contrato_Desempeño!$D$64,Estructura_PGAR!$H$3:$P$120,5,FALSE),"")</f>
        <v/>
      </c>
      <c r="I64" s="843" t="str">
        <f>IFERROR(VLOOKUP(Aporte_Contrato_Desempeño!$D$64,Estructura_PGAR!$H$3:$P$120,6,FALSE),"")</f>
        <v/>
      </c>
      <c r="J64" s="843" t="str">
        <f>IFERROR(VLOOKUP(Aporte_Contrato_Desempeño!$D$64,Estructura_PGAR!$H$3:$P$120,7,FALSE),"")</f>
        <v/>
      </c>
      <c r="K64" s="843" t="str">
        <f>IFERROR(VLOOKUP(Aporte_Contrato_Desempeño!$D$64,Estructura_PGAR!$H$3:$P$120,8,FALSE),"")</f>
        <v/>
      </c>
      <c r="L64" s="843" t="str">
        <f>IFERROR(VLOOKUP(Aporte_Contrato_Desempeño!$D$64,Estructura_PGAR!$H$3:$P$120,9,FALSE),"")</f>
        <v/>
      </c>
      <c r="M64" s="844"/>
    </row>
    <row r="65" spans="1:13" outlineLevel="1">
      <c r="A65" s="841"/>
      <c r="B65" s="841"/>
      <c r="C65" s="841"/>
      <c r="D65" s="841"/>
      <c r="E65" s="845" t="str">
        <f>IFERROR(VLOOKUP(Aporte_Contrato_Desempeño!$D$65,Estructura_PGAR!$H$3:$R$120,10,FALSE),"")</f>
        <v/>
      </c>
      <c r="F65" s="845" t="str">
        <f>IFERROR(VLOOKUP(Aporte_Contrato_Desempeño!$D$65,Estructura_PGAR!$H$3:$R$120,11,FALSE),"")</f>
        <v/>
      </c>
      <c r="G65" s="843" t="str">
        <f>IFERROR(VLOOKUP(Aporte_Contrato_Desempeño!$D$65,Estructura_PGAR!$H$3:$P$120,4,FALSE),"")</f>
        <v/>
      </c>
      <c r="H65" s="843" t="str">
        <f>IFERROR(VLOOKUP(Aporte_Contrato_Desempeño!$D$65,Estructura_PGAR!$H$3:$P$120,5,FALSE),"")</f>
        <v/>
      </c>
      <c r="I65" s="843" t="str">
        <f>IFERROR(VLOOKUP(Aporte_Contrato_Desempeño!$D$65,Estructura_PGAR!$H$3:$P$120,6,FALSE),"")</f>
        <v/>
      </c>
      <c r="J65" s="843" t="str">
        <f>IFERROR(VLOOKUP(Aporte_Contrato_Desempeño!$D$65,Estructura_PGAR!$H$3:$P$120,7,FALSE),"")</f>
        <v/>
      </c>
      <c r="K65" s="843" t="str">
        <f>IFERROR(VLOOKUP(Aporte_Contrato_Desempeño!$D$65,Estructura_PGAR!$H$3:$P$120,8,FALSE),"")</f>
        <v/>
      </c>
      <c r="L65" s="843" t="str">
        <f>IFERROR(VLOOKUP(Aporte_Contrato_Desempeño!$D$65,Estructura_PGAR!$H$3:$P$120,9,FALSE),"")</f>
        <v/>
      </c>
      <c r="M65" s="844"/>
    </row>
    <row r="66" spans="1:13" outlineLevel="1">
      <c r="A66" s="841"/>
      <c r="B66" s="841"/>
      <c r="C66" s="841"/>
      <c r="D66" s="841"/>
      <c r="E66" s="845" t="str">
        <f>IFERROR(VLOOKUP(Aporte_Contrato_Desempeño!$D$66,Estructura_PGAR!$H$3:$R$120,10,FALSE),"")</f>
        <v/>
      </c>
      <c r="F66" s="845" t="str">
        <f>IFERROR(VLOOKUP(Aporte_Contrato_Desempeño!$D$66,Estructura_PGAR!$H$3:$R$120,11,FALSE),"")</f>
        <v/>
      </c>
      <c r="G66" s="843" t="str">
        <f>IFERROR(VLOOKUP(Aporte_Contrato_Desempeño!$D$66,Estructura_PGAR!$H$3:$P$120,4,FALSE),"")</f>
        <v/>
      </c>
      <c r="H66" s="843" t="str">
        <f>IFERROR(VLOOKUP(Aporte_Contrato_Desempeño!$D$66,Estructura_PGAR!$H$3:$P$120,5,FALSE),"")</f>
        <v/>
      </c>
      <c r="I66" s="843" t="str">
        <f>IFERROR(VLOOKUP(Aporte_Contrato_Desempeño!$D$66,Estructura_PGAR!$H$3:$P$120,6,FALSE),"")</f>
        <v/>
      </c>
      <c r="J66" s="843" t="str">
        <f>IFERROR(VLOOKUP(Aporte_Contrato_Desempeño!$D$66,Estructura_PGAR!$H$3:$P$120,7,FALSE),"")</f>
        <v/>
      </c>
      <c r="K66" s="843" t="str">
        <f>IFERROR(VLOOKUP(Aporte_Contrato_Desempeño!$D$66,Estructura_PGAR!$H$3:$P$120,8,FALSE),"")</f>
        <v/>
      </c>
      <c r="L66" s="843" t="str">
        <f>IFERROR(VLOOKUP(Aporte_Contrato_Desempeño!$D$66,Estructura_PGAR!$H$3:$P$120,9,FALSE),"")</f>
        <v/>
      </c>
      <c r="M66" s="844"/>
    </row>
    <row r="67" spans="1:13" outlineLevel="1">
      <c r="A67" s="841"/>
      <c r="B67" s="841"/>
      <c r="C67" s="841"/>
      <c r="D67" s="841"/>
      <c r="E67" s="845" t="str">
        <f>IFERROR(VLOOKUP(Aporte_Contrato_Desempeño!$D$67,Estructura_PGAR!$H$3:$R$120,10,FALSE),"")</f>
        <v/>
      </c>
      <c r="F67" s="845" t="str">
        <f>IFERROR(VLOOKUP(Aporte_Contrato_Desempeño!$D$67,Estructura_PGAR!$H$3:$R$120,11,FALSE),"")</f>
        <v/>
      </c>
      <c r="G67" s="843" t="str">
        <f>IFERROR(VLOOKUP(Aporte_Contrato_Desempeño!$D$67,Estructura_PGAR!$H$3:$P$120,4,FALSE),"")</f>
        <v/>
      </c>
      <c r="H67" s="843" t="str">
        <f>IFERROR(VLOOKUP(Aporte_Contrato_Desempeño!$D$67,Estructura_PGAR!$H$3:$P$120,5,FALSE),"")</f>
        <v/>
      </c>
      <c r="I67" s="843" t="str">
        <f>IFERROR(VLOOKUP(Aporte_Contrato_Desempeño!$D$67,Estructura_PGAR!$H$3:$P$120,6,FALSE),"")</f>
        <v/>
      </c>
      <c r="J67" s="843" t="str">
        <f>IFERROR(VLOOKUP(Aporte_Contrato_Desempeño!$D$67,Estructura_PGAR!$H$3:$P$120,7,FALSE),"")</f>
        <v/>
      </c>
      <c r="K67" s="843" t="str">
        <f>IFERROR(VLOOKUP(Aporte_Contrato_Desempeño!$D$67,Estructura_PGAR!$H$3:$P$120,8,FALSE),"")</f>
        <v/>
      </c>
      <c r="L67" s="843" t="str">
        <f>IFERROR(VLOOKUP(Aporte_Contrato_Desempeño!$D$67,Estructura_PGAR!$H$3:$P$120,9,FALSE),"")</f>
        <v/>
      </c>
      <c r="M67" s="844"/>
    </row>
    <row r="68" spans="1:13" outlineLevel="1">
      <c r="A68" s="841"/>
      <c r="B68" s="841"/>
      <c r="C68" s="841"/>
      <c r="D68" s="841"/>
      <c r="E68" s="845" t="str">
        <f>IFERROR(VLOOKUP(Aporte_Contrato_Desempeño!$D$68,Estructura_PGAR!$H$3:$R$120,10,FALSE),"")</f>
        <v/>
      </c>
      <c r="F68" s="845" t="str">
        <f>IFERROR(VLOOKUP(Aporte_Contrato_Desempeño!$D$68,Estructura_PGAR!$H$3:$R$120,11,FALSE),"")</f>
        <v/>
      </c>
      <c r="G68" s="843" t="str">
        <f>IFERROR(VLOOKUP(Aporte_Contrato_Desempeño!$D$68,Estructura_PGAR!$H$3:$P$120,4,FALSE),"")</f>
        <v/>
      </c>
      <c r="H68" s="843" t="str">
        <f>IFERROR(VLOOKUP(Aporte_Contrato_Desempeño!$D$68,Estructura_PGAR!$H$3:$P$120,5,FALSE),"")</f>
        <v/>
      </c>
      <c r="I68" s="843" t="str">
        <f>IFERROR(VLOOKUP(Aporte_Contrato_Desempeño!$D$68,Estructura_PGAR!$H$3:$P$120,6,FALSE),"")</f>
        <v/>
      </c>
      <c r="J68" s="843" t="str">
        <f>IFERROR(VLOOKUP(Aporte_Contrato_Desempeño!$D$68,Estructura_PGAR!$H$3:$P$120,7,FALSE),"")</f>
        <v/>
      </c>
      <c r="K68" s="843" t="str">
        <f>IFERROR(VLOOKUP(Aporte_Contrato_Desempeño!$D$68,Estructura_PGAR!$H$3:$P$120,8,FALSE),"")</f>
        <v/>
      </c>
      <c r="L68" s="843" t="str">
        <f>IFERROR(VLOOKUP(Aporte_Contrato_Desempeño!$D$68,Estructura_PGAR!$H$3:$P$120,9,FALSE),"")</f>
        <v/>
      </c>
      <c r="M68" s="844"/>
    </row>
    <row r="69" spans="1:13" ht="15" customHeight="1"/>
    <row r="70" spans="1:13" ht="97.5" customHeight="1">
      <c r="A70" s="1126" t="s">
        <v>1913</v>
      </c>
      <c r="B70" s="1127"/>
      <c r="C70" s="1127"/>
      <c r="D70" s="1127"/>
      <c r="E70" s="1127"/>
      <c r="F70" s="1127"/>
      <c r="G70" s="1127"/>
      <c r="H70" s="1127"/>
      <c r="I70" s="1127"/>
      <c r="J70" s="1127"/>
      <c r="K70" s="1127"/>
      <c r="L70" s="1127"/>
      <c r="M70" s="1128"/>
    </row>
    <row r="71" spans="1:13" ht="16.5" thickBot="1"/>
    <row r="72" spans="1:13" ht="33" customHeight="1" thickBot="1">
      <c r="A72" s="317" t="s">
        <v>751</v>
      </c>
      <c r="B72" s="317" t="s">
        <v>752</v>
      </c>
      <c r="C72" s="317" t="s">
        <v>753</v>
      </c>
      <c r="D72" s="317" t="s">
        <v>3</v>
      </c>
      <c r="E72" s="842" t="s">
        <v>1808</v>
      </c>
      <c r="F72" s="842" t="s">
        <v>1783</v>
      </c>
      <c r="G72" s="318" t="s">
        <v>757</v>
      </c>
      <c r="H72" s="176" t="s">
        <v>471</v>
      </c>
      <c r="I72" s="177" t="s">
        <v>472</v>
      </c>
      <c r="J72" s="177" t="s">
        <v>473</v>
      </c>
      <c r="K72" s="177" t="s">
        <v>474</v>
      </c>
      <c r="L72" s="178" t="s">
        <v>475</v>
      </c>
      <c r="M72" s="319" t="s">
        <v>1778</v>
      </c>
    </row>
    <row r="73" spans="1:13" s="1037" customFormat="1" ht="38.25">
      <c r="A73" s="841" t="s">
        <v>1503</v>
      </c>
      <c r="B73" s="841" t="s">
        <v>1699</v>
      </c>
      <c r="C73" s="1091" t="s">
        <v>1594</v>
      </c>
      <c r="D73" s="843" t="str">
        <f>IFERROR(VLOOKUP(C73,Estructura_Plan_Acción!$G$1:$P$140,2,FALSE),"")</f>
        <v>% de cuerpos de agua con plan de ordenamiento del recurso hídrico adoptados</v>
      </c>
      <c r="E73" s="843" t="str">
        <f>IFERROR(VLOOKUP(D73,Estructura_Plan_Acción!$H$1:$S$140,11,FALSE),"")</f>
        <v>6. Agua limpia y saneamiento</v>
      </c>
      <c r="F73" s="843" t="str">
        <f>IFERROR(VLOOKUP(D73,Estructura_Plan_Acción!$H$1:$S$140,12,FALSE),"")</f>
        <v>Planeación ambiental del territorio</v>
      </c>
      <c r="G73" s="841"/>
      <c r="H73" s="973">
        <f>IFERROR(VLOOKUP($C$73,Estructura_Plan_Acción!$G$1:$P$140,6,FALSE),"")</f>
        <v>1</v>
      </c>
      <c r="I73" s="973">
        <f>IFERROR(VLOOKUP($C$73,Estructura_Plan_Acción!$G$1:$P$140,7,FALSE),"")</f>
        <v>1</v>
      </c>
      <c r="J73" s="973">
        <f>IFERROR(VLOOKUP($C$73,Estructura_Plan_Acción!$G$1:$P$140,8,FALSE),"")</f>
        <v>1</v>
      </c>
      <c r="K73" s="973">
        <f>IFERROR(VLOOKUP($C$73,Estructura_Plan_Acción!$G$1:$P$140,9,FALSE),"")</f>
        <v>1</v>
      </c>
      <c r="L73" s="973">
        <f>IFERROR(VLOOKUP($C$73,Estructura_Plan_Acción!$G$1:$P$140,10,FALSE),"")</f>
        <v>1</v>
      </c>
      <c r="M73" s="974" t="str">
        <f t="shared" ref="M73:M85" si="0">IF(G73="","",IF(AND($L$6=2020,I73&lt;&gt;0),G73/I73,IF(AND($L$6=2021,J73&lt;&gt;0),G73/J73,IF(AND($L$6=2022,K73&lt;&gt;0),G73/K73,IF(AND($L$6=2023,L73&lt;&gt;0),G73/L73,"Meta no planificada para la vigencia")))))</f>
        <v/>
      </c>
    </row>
    <row r="74" spans="1:13" s="1037" customFormat="1" ht="38.25" outlineLevel="1">
      <c r="A74" s="841" t="s">
        <v>1503</v>
      </c>
      <c r="B74" s="841" t="s">
        <v>1700</v>
      </c>
      <c r="C74" s="1087" t="s">
        <v>1598</v>
      </c>
      <c r="D74" s="843" t="str">
        <f>IFERROR(VLOOKUP(C74,Estructura_Plan_Acción!$G$1:$P$140,2,FALSE),"")</f>
        <v>% de Planes de Ordenamiento del Recurso Hídrico en ejecución</v>
      </c>
      <c r="E74" s="843" t="str">
        <f>IFERROR(VLOOKUP(D74,Estructura_Plan_Acción!$H$1:$S$140,11,FALSE),"")</f>
        <v>6. Agua limpia y saneamiento</v>
      </c>
      <c r="F74" s="843" t="str">
        <f>IFERROR(VLOOKUP(D74,Estructura_Plan_Acción!$H$1:$S$140,12,FALSE),"")</f>
        <v>Administración integral de los recursos naturales renovables</v>
      </c>
      <c r="G74" s="1087"/>
      <c r="H74" s="843">
        <f>IFERROR(VLOOKUP(C74,Estructura_Plan_Acción!$G$1:$P$140,6,FALSE),"")</f>
        <v>1</v>
      </c>
      <c r="I74" s="843">
        <f>IFERROR(VLOOKUP(C74,Estructura_Plan_Acción!$G$1:$P$140,7,FALSE),"")</f>
        <v>1</v>
      </c>
      <c r="J74" s="843">
        <f>IFERROR(VLOOKUP(C74,Estructura_Plan_Acción!$G$1:$P$140,8,FALSE),"")</f>
        <v>1</v>
      </c>
      <c r="K74" s="843">
        <f>IFERROR(VLOOKUP(C74,Estructura_Plan_Acción!$G$1:$P$140,9,FALSE),"")</f>
        <v>1</v>
      </c>
      <c r="L74" s="843">
        <f>IFERROR(VLOOKUP(C74,Estructura_Plan_Acción!$G$1:$P$140,10,FALSE),"")</f>
        <v>1</v>
      </c>
      <c r="M74" s="974" t="str">
        <f t="shared" si="0"/>
        <v/>
      </c>
    </row>
    <row r="75" spans="1:13" s="1037" customFormat="1" outlineLevel="1">
      <c r="A75" s="841"/>
      <c r="B75" s="841"/>
      <c r="C75" s="1087"/>
      <c r="D75" s="843" t="str">
        <f>IFERROR(VLOOKUP(C75,Estructura_Plan_Acción!$G$1:$P$140,2,FALSE),"")</f>
        <v/>
      </c>
      <c r="E75" s="843" t="str">
        <f>IFERROR(VLOOKUP(D75,Estructura_Plan_Acción!$H$1:$S$140,11,FALSE),"")</f>
        <v/>
      </c>
      <c r="F75" s="843" t="str">
        <f>IFERROR(VLOOKUP(D75,Estructura_Plan_Acción!$H$1:$S$140,12,FALSE),"")</f>
        <v/>
      </c>
      <c r="G75" s="841"/>
      <c r="H75" s="843" t="str">
        <f>IFERROR(VLOOKUP(C75,Estructura_Plan_Acción!$G$1:$P$140,6,FALSE),"")</f>
        <v/>
      </c>
      <c r="I75" s="843" t="str">
        <f>IFERROR(VLOOKUP(C75,Estructura_Plan_Acción!$G$1:$P$140,7,FALSE),"")</f>
        <v/>
      </c>
      <c r="J75" s="843" t="str">
        <f>IFERROR(VLOOKUP(C75,Estructura_Plan_Acción!$G$1:$P$140,8,FALSE),"")</f>
        <v/>
      </c>
      <c r="K75" s="843" t="str">
        <f>IFERROR(VLOOKUP(C75,Estructura_Plan_Acción!$G$1:$P$140,9,FALSE),"")</f>
        <v/>
      </c>
      <c r="L75" s="843" t="str">
        <f>IFERROR(VLOOKUP(C75,Estructura_Plan_Acción!$G$1:$P$140,10,FALSE),"")</f>
        <v/>
      </c>
      <c r="M75" s="974" t="str">
        <f t="shared" si="0"/>
        <v/>
      </c>
    </row>
    <row r="76" spans="1:13" s="1037" customFormat="1" ht="38.25" customHeight="1" outlineLevel="1">
      <c r="A76" s="841"/>
      <c r="B76" s="841"/>
      <c r="C76" s="1087"/>
      <c r="D76" s="843" t="str">
        <f>IFERROR(VLOOKUP(C76,Estructura_Plan_Acción!$G$1:$P$140,2,FALSE),"")</f>
        <v/>
      </c>
      <c r="E76" s="843" t="str">
        <f>IFERROR(VLOOKUP(D76,Estructura_Plan_Acción!$H$1:$S$140,11,FALSE),"")</f>
        <v/>
      </c>
      <c r="F76" s="843" t="str">
        <f>IFERROR(VLOOKUP(D76,Estructura_Plan_Acción!$H$1:$S$140,12,FALSE),"")</f>
        <v/>
      </c>
      <c r="G76" s="841"/>
      <c r="H76" s="843" t="str">
        <f>IFERROR(VLOOKUP(C76,Estructura_Plan_Acción!$G$1:$P$140,6,FALSE),"")</f>
        <v/>
      </c>
      <c r="I76" s="843" t="str">
        <f>IFERROR(VLOOKUP(C76,Estructura_Plan_Acción!$G$1:$P$140,7,FALSE),"")</f>
        <v/>
      </c>
      <c r="J76" s="843" t="str">
        <f>IFERROR(VLOOKUP(C76,Estructura_Plan_Acción!$G$1:$P$140,8,FALSE),"")</f>
        <v/>
      </c>
      <c r="K76" s="843" t="str">
        <f>IFERROR(VLOOKUP(C76,Estructura_Plan_Acción!$G$1:$P$140,9,FALSE),"")</f>
        <v/>
      </c>
      <c r="L76" s="843" t="str">
        <f>IFERROR(VLOOKUP(C76,Estructura_Plan_Acción!$G$1:$P$140,10,FALSE),"")</f>
        <v/>
      </c>
      <c r="M76" s="974" t="str">
        <f t="shared" si="0"/>
        <v/>
      </c>
    </row>
    <row r="77" spans="1:13" s="1037" customFormat="1">
      <c r="A77" s="841"/>
      <c r="B77" s="841"/>
      <c r="C77" s="1087"/>
      <c r="D77" s="843" t="str">
        <f>IFERROR(VLOOKUP(C77,Estructura_Plan_Acción!$G$1:$P$140,2,FALSE),"")</f>
        <v/>
      </c>
      <c r="E77" s="843" t="str">
        <f>IFERROR(VLOOKUP(D77,Estructura_Plan_Acción!$H$1:$S$140,11,FALSE),"")</f>
        <v/>
      </c>
      <c r="F77" s="843" t="str">
        <f>IFERROR(VLOOKUP(D77,Estructura_Plan_Acción!$H$1:$S$140,12,FALSE),"")</f>
        <v/>
      </c>
      <c r="G77" s="841"/>
      <c r="H77" s="973" t="str">
        <f>IFERROR(VLOOKUP(C77,Estructura_Plan_Acción!$G$1:$P$140,6,FALSE),"")</f>
        <v/>
      </c>
      <c r="I77" s="973" t="str">
        <f>IFERROR(VLOOKUP(C77,Estructura_Plan_Acción!$G$1:$P$140,7,FALSE),"")</f>
        <v/>
      </c>
      <c r="J77" s="973" t="str">
        <f>IFERROR(VLOOKUP(C77,Estructura_Plan_Acción!$G$1:$P$140,8,FALSE),"")</f>
        <v/>
      </c>
      <c r="K77" s="973" t="str">
        <f>IFERROR(VLOOKUP(C77,Estructura_Plan_Acción!$G$1:$P$140,9,FALSE),"")</f>
        <v/>
      </c>
      <c r="L77" s="973" t="str">
        <f>IFERROR(VLOOKUP(C77,Estructura_Plan_Acción!$G$1:$P$140,10,FALSE),"")</f>
        <v/>
      </c>
      <c r="M77" s="974" t="str">
        <f t="shared" si="0"/>
        <v/>
      </c>
    </row>
    <row r="78" spans="1:13" s="1037" customFormat="1" outlineLevel="1">
      <c r="A78" s="841"/>
      <c r="B78" s="841"/>
      <c r="C78" s="1087"/>
      <c r="D78" s="843" t="str">
        <f>IFERROR(VLOOKUP(C78,Estructura_Plan_Acción!$G$1:$P$140,2,FALSE),"")</f>
        <v/>
      </c>
      <c r="E78" s="843" t="str">
        <f>IFERROR(VLOOKUP(D78,Estructura_Plan_Acción!$H$1:$S$140,11,FALSE),"")</f>
        <v/>
      </c>
      <c r="F78" s="843" t="str">
        <f>IFERROR(VLOOKUP(D78,Estructura_Plan_Acción!$H$1:$S$140,12,FALSE),"")</f>
        <v/>
      </c>
      <c r="G78" s="841"/>
      <c r="H78" s="843" t="str">
        <f>IFERROR(VLOOKUP(C78,Estructura_Plan_Acción!$G$1:$P$140,6,FALSE),"")</f>
        <v/>
      </c>
      <c r="I78" s="843" t="str">
        <f>IFERROR(VLOOKUP(C78,Estructura_Plan_Acción!$G$1:$P$140,7,FALSE),"")</f>
        <v/>
      </c>
      <c r="J78" s="843" t="str">
        <f>IFERROR(VLOOKUP(C78,Estructura_Plan_Acción!$G$1:$P$140,8,FALSE),"")</f>
        <v/>
      </c>
      <c r="K78" s="843" t="str">
        <f>IFERROR(VLOOKUP(C78,Estructura_Plan_Acción!$G$1:$P$140,9,FALSE),"")</f>
        <v/>
      </c>
      <c r="L78" s="843" t="str">
        <f>IFERROR(VLOOKUP(C78,Estructura_Plan_Acción!$G$1:$P$140,10,FALSE),"")</f>
        <v/>
      </c>
      <c r="M78" s="974" t="str">
        <f t="shared" si="0"/>
        <v/>
      </c>
    </row>
    <row r="79" spans="1:13" s="1037" customFormat="1" outlineLevel="1">
      <c r="A79" s="1087"/>
      <c r="B79" s="1087"/>
      <c r="C79" s="1087"/>
      <c r="D79" s="1089" t="str">
        <f>IFERROR(VLOOKUP(C79,Estructura_Plan_Acción!$G$1:$P$140,2,FALSE),"")</f>
        <v/>
      </c>
      <c r="E79" s="1089" t="str">
        <f>IFERROR(VLOOKUP(D79,Estructura_Plan_Acción!$H$1:$S$140,11,FALSE),"")</f>
        <v/>
      </c>
      <c r="F79" s="1089" t="str">
        <f>IFERROR(VLOOKUP(D79,Estructura_Plan_Acción!$H$1:$S$140,12,FALSE),"")</f>
        <v/>
      </c>
      <c r="G79" s="1087"/>
      <c r="H79" s="1089" t="str">
        <f>IFERROR(VLOOKUP(C79,Estructura_Plan_Acción!$G$1:$P$140,6,FALSE),"")</f>
        <v/>
      </c>
      <c r="I79" s="1089" t="str">
        <f>IFERROR(VLOOKUP(C79,Estructura_Plan_Acción!$G$1:$P$140,7,FALSE),"")</f>
        <v/>
      </c>
      <c r="J79" s="1089" t="str">
        <f>IFERROR(VLOOKUP(C79,Estructura_Plan_Acción!$G$1:$P$140,8,FALSE),"")</f>
        <v/>
      </c>
      <c r="K79" s="1089" t="str">
        <f>IFERROR(VLOOKUP(C79,Estructura_Plan_Acción!$G$1:$P$140,9,FALSE),"")</f>
        <v/>
      </c>
      <c r="L79" s="1089" t="str">
        <f>IFERROR(VLOOKUP(C79,Estructura_Plan_Acción!$G$1:$P$140,10,FALSE),"")</f>
        <v/>
      </c>
      <c r="M79" s="974" t="str">
        <f t="shared" si="0"/>
        <v/>
      </c>
    </row>
    <row r="80" spans="1:13" s="1037" customFormat="1" outlineLevel="1">
      <c r="A80" s="841"/>
      <c r="B80" s="841"/>
      <c r="C80" s="841"/>
      <c r="D80" s="843" t="str">
        <f>IFERROR(VLOOKUP(C80,Estructura_Plan_Acción!$G$1:$P$140,2,FALSE),"")</f>
        <v/>
      </c>
      <c r="E80" s="843" t="str">
        <f>IFERROR(VLOOKUP(D80,Estructura_Plan_Acción!$H$1:$S$140,11,FALSE),"")</f>
        <v/>
      </c>
      <c r="F80" s="843" t="str">
        <f>IFERROR(VLOOKUP(D80,Estructura_Plan_Acción!$H$1:$S$140,12,FALSE),"")</f>
        <v/>
      </c>
      <c r="G80" s="841"/>
      <c r="H80" s="843" t="str">
        <f>IFERROR(VLOOKUP(C80,Estructura_Plan_Acción!$G$1:$P$140,6,FALSE),"")</f>
        <v/>
      </c>
      <c r="I80" s="843" t="str">
        <f>IFERROR(VLOOKUP(C80,Estructura_Plan_Acción!$G$1:$P$140,7,FALSE),"")</f>
        <v/>
      </c>
      <c r="J80" s="843" t="str">
        <f>IFERROR(VLOOKUP(C80,Estructura_Plan_Acción!$G$1:$P$140,8,FALSE),"")</f>
        <v/>
      </c>
      <c r="K80" s="843" t="str">
        <f>IFERROR(VLOOKUP(C80,Estructura_Plan_Acción!$G$1:$P$140,9,FALSE),"")</f>
        <v/>
      </c>
      <c r="L80" s="843" t="str">
        <f>IFERROR(VLOOKUP(C80,Estructura_Plan_Acción!$G$1:$P$140,10,FALSE),"")</f>
        <v/>
      </c>
      <c r="M80" s="974" t="str">
        <f t="shared" si="0"/>
        <v/>
      </c>
    </row>
    <row r="81" spans="1:13">
      <c r="A81" s="841"/>
      <c r="B81" s="841"/>
      <c r="C81" s="841"/>
      <c r="D81" s="843" t="str">
        <f>IFERROR(VLOOKUP(C81,Estructura_Plan_Acción!$G$1:$P$140,2,FALSE),"")</f>
        <v/>
      </c>
      <c r="E81" s="843" t="str">
        <f>IFERROR(VLOOKUP(D81,Estructura_Plan_Acción!$H$1:$S$140,11,FALSE),"")</f>
        <v/>
      </c>
      <c r="F81" s="843" t="str">
        <f>IFERROR(VLOOKUP(D81,Estructura_Plan_Acción!$H$1:$S$140,12,FALSE),"")</f>
        <v/>
      </c>
      <c r="G81" s="841"/>
      <c r="H81" s="973" t="str">
        <f>IFERROR(VLOOKUP($C$81,Estructura_Plan_Acción!$G$1:$P$140,6,FALSE),"")</f>
        <v/>
      </c>
      <c r="I81" s="973" t="str">
        <f>IFERROR(VLOOKUP($C$81,Estructura_Plan_Acción!$G$1:$P$140,7,FALSE),"")</f>
        <v/>
      </c>
      <c r="J81" s="973" t="str">
        <f>IFERROR(VLOOKUP($C$81,Estructura_Plan_Acción!$G$1:$P$140,8,FALSE),"")</f>
        <v/>
      </c>
      <c r="K81" s="973" t="str">
        <f>IFERROR(VLOOKUP($C$81,Estructura_Plan_Acción!$G$1:$P$140,9,FALSE),"")</f>
        <v/>
      </c>
      <c r="L81" s="973" t="str">
        <f>IFERROR(VLOOKUP($C$81,Estructura_Plan_Acción!$G$1:$P$140,10,FALSE),"")</f>
        <v/>
      </c>
      <c r="M81" s="974" t="str">
        <f t="shared" si="0"/>
        <v/>
      </c>
    </row>
    <row r="82" spans="1:13" outlineLevel="1">
      <c r="A82" s="841"/>
      <c r="B82" s="841"/>
      <c r="C82" s="841"/>
      <c r="D82" s="843" t="str">
        <f>IFERROR(VLOOKUP(C82,Estructura_Plan_Acción!$G$1:$P$140,2,FALSE),"")</f>
        <v/>
      </c>
      <c r="E82" s="843" t="str">
        <f>IFERROR(VLOOKUP(D82,Estructura_Plan_Acción!$H$1:$S$140,11,FALSE),"")</f>
        <v/>
      </c>
      <c r="F82" s="843" t="str">
        <f>IFERROR(VLOOKUP(D82,Estructura_Plan_Acción!$H$1:$S$140,12,FALSE),"")</f>
        <v/>
      </c>
      <c r="G82" s="841"/>
      <c r="H82" s="843" t="str">
        <f>IFERROR(VLOOKUP($C$82,Estructura_Plan_Acción!$G$1:$P$140,6,FALSE),"")</f>
        <v/>
      </c>
      <c r="I82" s="843" t="str">
        <f>IFERROR(VLOOKUP($C$82,Estructura_Plan_Acción!$G$1:$P$140,7,FALSE),"")</f>
        <v/>
      </c>
      <c r="J82" s="843" t="str">
        <f>IFERROR(VLOOKUP($C$82,Estructura_Plan_Acción!$G$1:$P$140,8,FALSE),"")</f>
        <v/>
      </c>
      <c r="K82" s="843" t="str">
        <f>IFERROR(VLOOKUP($C$82,Estructura_Plan_Acción!$G$1:$P$140,9,FALSE),"")</f>
        <v/>
      </c>
      <c r="L82" s="843" t="str">
        <f>IFERROR(VLOOKUP($C$82,Estructura_Plan_Acción!$G$1:$P$140,10,FALSE),"")</f>
        <v/>
      </c>
      <c r="M82" s="974" t="str">
        <f t="shared" si="0"/>
        <v/>
      </c>
    </row>
    <row r="83" spans="1:13" outlineLevel="1">
      <c r="A83" s="841"/>
      <c r="B83" s="841"/>
      <c r="C83" s="841"/>
      <c r="D83" s="843" t="str">
        <f>IFERROR(VLOOKUP(C83,Estructura_Plan_Acción!$G$1:$P$140,2,FALSE),"")</f>
        <v/>
      </c>
      <c r="E83" s="843" t="str">
        <f>IFERROR(VLOOKUP(D83,Estructura_Plan_Acción!$H$1:$S$140,11,FALSE),"")</f>
        <v/>
      </c>
      <c r="F83" s="843" t="str">
        <f>IFERROR(VLOOKUP(D83,Estructura_Plan_Acción!$H$1:$S$140,12,FALSE),"")</f>
        <v/>
      </c>
      <c r="G83" s="841"/>
      <c r="H83" s="843" t="str">
        <f>IFERROR(VLOOKUP($C$83,Estructura_Plan_Acción!$G$1:$P$140,6,FALSE),"")</f>
        <v/>
      </c>
      <c r="I83" s="843" t="str">
        <f>IFERROR(VLOOKUP($C$83,Estructura_Plan_Acción!$G$1:$P$140,7,FALSE),"")</f>
        <v/>
      </c>
      <c r="J83" s="843" t="str">
        <f>IFERROR(VLOOKUP($C$83,Estructura_Plan_Acción!$G$1:$P$140,8,FALSE),"")</f>
        <v/>
      </c>
      <c r="K83" s="843" t="str">
        <f>IFERROR(VLOOKUP($C$83,Estructura_Plan_Acción!$G$1:$P$140,9,FALSE),"")</f>
        <v/>
      </c>
      <c r="L83" s="843" t="str">
        <f>IFERROR(VLOOKUP($C$83,Estructura_Plan_Acción!$G$1:$P$140,10,FALSE),"")</f>
        <v/>
      </c>
      <c r="M83" s="974" t="str">
        <f t="shared" si="0"/>
        <v/>
      </c>
    </row>
    <row r="84" spans="1:13" outlineLevel="1">
      <c r="A84" s="841"/>
      <c r="B84" s="841"/>
      <c r="C84" s="841"/>
      <c r="D84" s="843" t="str">
        <f>IFERROR(VLOOKUP(C84,Estructura_Plan_Acción!$G$1:$P$140,2,FALSE),"")</f>
        <v/>
      </c>
      <c r="E84" s="843" t="str">
        <f>IFERROR(VLOOKUP(D84,Estructura_Plan_Acción!$H$1:$S$140,11,FALSE),"")</f>
        <v/>
      </c>
      <c r="F84" s="843" t="str">
        <f>IFERROR(VLOOKUP(D84,Estructura_Plan_Acción!$H$1:$S$140,12,FALSE),"")</f>
        <v/>
      </c>
      <c r="G84" s="841"/>
      <c r="H84" s="843" t="str">
        <f>IFERROR(VLOOKUP($C$84,Estructura_Plan_Acción!$G$1:$P$140,6,FALSE),"")</f>
        <v/>
      </c>
      <c r="I84" s="843" t="str">
        <f>IFERROR(VLOOKUP($C$84,Estructura_Plan_Acción!$G$1:$P$140,7,FALSE),"")</f>
        <v/>
      </c>
      <c r="J84" s="843" t="str">
        <f>IFERROR(VLOOKUP($C$84,Estructura_Plan_Acción!$G$1:$P$140,8,FALSE),"")</f>
        <v/>
      </c>
      <c r="K84" s="843" t="str">
        <f>IFERROR(VLOOKUP($C$84,Estructura_Plan_Acción!$G$1:$P$140,9,FALSE),"")</f>
        <v/>
      </c>
      <c r="L84" s="843" t="str">
        <f>IFERROR(VLOOKUP($C$84,Estructura_Plan_Acción!$G$1:$P$140,10,FALSE),"")</f>
        <v/>
      </c>
      <c r="M84" s="974" t="str">
        <f t="shared" si="0"/>
        <v/>
      </c>
    </row>
    <row r="85" spans="1:13" outlineLevel="1">
      <c r="A85" s="841"/>
      <c r="B85" s="841"/>
      <c r="C85" s="841"/>
      <c r="D85" s="843" t="str">
        <f>IFERROR(VLOOKUP(C85,Estructura_Plan_Acción!$G$1:$P$140,2,FALSE),"")</f>
        <v/>
      </c>
      <c r="E85" s="843" t="str">
        <f>IFERROR(VLOOKUP(D85,Estructura_Plan_Acción!$H$1:$S$140,11,FALSE),"")</f>
        <v/>
      </c>
      <c r="F85" s="843" t="str">
        <f>IFERROR(VLOOKUP(D85,Estructura_Plan_Acción!$H$1:$S$140,12,FALSE),"")</f>
        <v/>
      </c>
      <c r="G85" s="841"/>
      <c r="H85" s="843" t="str">
        <f>IFERROR(VLOOKUP($C$85,Estructura_Plan_Acción!$G$1:$P$140,6,FALSE),"")</f>
        <v/>
      </c>
      <c r="I85" s="843" t="str">
        <f>IFERROR(VLOOKUP($C$85,Estructura_Plan_Acción!$G$1:$P$140,7,FALSE),"")</f>
        <v/>
      </c>
      <c r="J85" s="843" t="str">
        <f>IFERROR(VLOOKUP($C$85,Estructura_Plan_Acción!$G$1:$P$140,8,FALSE),"")</f>
        <v/>
      </c>
      <c r="K85" s="843" t="str">
        <f>IFERROR(VLOOKUP($C$85,Estructura_Plan_Acción!$G$1:$P$140,9,FALSE),"")</f>
        <v/>
      </c>
      <c r="L85" s="843" t="str">
        <f>IFERROR(VLOOKUP($C$85,Estructura_Plan_Acción!$G$1:$P$140,10,FALSE),"")</f>
        <v/>
      </c>
      <c r="M85" s="974" t="str">
        <f t="shared" si="0"/>
        <v/>
      </c>
    </row>
    <row r="86" spans="1:13" ht="15" customHeight="1"/>
    <row r="87" spans="1:13" ht="84.75" customHeight="1">
      <c r="A87" s="1126" t="s">
        <v>1914</v>
      </c>
      <c r="B87" s="1127"/>
      <c r="C87" s="1127"/>
      <c r="D87" s="1127"/>
      <c r="E87" s="1127"/>
      <c r="F87" s="1127"/>
      <c r="G87" s="1127"/>
      <c r="H87" s="1127"/>
      <c r="I87" s="1127"/>
      <c r="J87" s="1127"/>
      <c r="K87" s="1127"/>
      <c r="L87" s="1127"/>
      <c r="M87" s="1128"/>
    </row>
    <row r="88" spans="1:13" ht="6" customHeight="1" thickBot="1"/>
    <row r="89" spans="1:13" ht="39" thickBot="1">
      <c r="A89" s="317" t="s">
        <v>754</v>
      </c>
      <c r="B89" s="317" t="s">
        <v>755</v>
      </c>
      <c r="C89" s="317" t="s">
        <v>756</v>
      </c>
      <c r="D89" s="317" t="s">
        <v>3</v>
      </c>
      <c r="E89" s="842" t="s">
        <v>1808</v>
      </c>
      <c r="F89" s="842" t="s">
        <v>1783</v>
      </c>
      <c r="G89" s="318" t="s">
        <v>757</v>
      </c>
      <c r="H89" s="176" t="s">
        <v>758</v>
      </c>
      <c r="I89" s="177" t="s">
        <v>472</v>
      </c>
      <c r="J89" s="177" t="s">
        <v>473</v>
      </c>
      <c r="K89" s="177" t="s">
        <v>474</v>
      </c>
      <c r="L89" s="178" t="s">
        <v>475</v>
      </c>
      <c r="M89" s="319" t="s">
        <v>1778</v>
      </c>
    </row>
    <row r="90" spans="1:13" ht="18" customHeight="1">
      <c r="A90" s="843" t="s">
        <v>759</v>
      </c>
      <c r="B90" s="841"/>
      <c r="C90" s="841"/>
      <c r="D90" s="841"/>
      <c r="E90" s="841"/>
      <c r="F90" s="841"/>
      <c r="G90" s="841"/>
      <c r="H90" s="975"/>
      <c r="I90" s="975"/>
      <c r="J90" s="975"/>
      <c r="K90" s="975"/>
      <c r="L90" s="975"/>
      <c r="M90" s="974" t="str">
        <f>IF(G90="","",IF(AND($L$6=2020,I90&lt;&gt;0),G90/I90,IF(AND($L$6=2021,J90&lt;&gt;0),G90/J90,IF(AND($L$6=2022,K90&lt;&gt;0),G90/K90,IF(AND($L$6=2023,L90&lt;&gt;0),G90/L90,"Meta no planificada para la vigencia")))))</f>
        <v/>
      </c>
    </row>
    <row r="91" spans="1:13" ht="18" customHeight="1">
      <c r="A91" s="843" t="s">
        <v>760</v>
      </c>
      <c r="B91" s="841"/>
      <c r="C91" s="841"/>
      <c r="D91" s="841"/>
      <c r="E91" s="841"/>
      <c r="F91" s="841"/>
      <c r="G91" s="841"/>
      <c r="H91" s="841"/>
      <c r="I91" s="841"/>
      <c r="J91" s="841"/>
      <c r="K91" s="841"/>
      <c r="L91" s="841"/>
      <c r="M91" s="974" t="str">
        <f t="shared" ref="M91:M99" si="1">IF(G91="","",IF(AND($L$6=2020,I91&lt;&gt;0),G91/I91,IF(AND($L$6=2021,J91&lt;&gt;0),G91/J91,IF(AND($L$6=2022,K91&lt;&gt;0),G91/K91,IF(AND($L$6=2023,L91&lt;&gt;0),G91/L91,"Meta no planificada para la vigencia")))))</f>
        <v/>
      </c>
    </row>
    <row r="92" spans="1:13" ht="25.5">
      <c r="A92" s="843" t="s">
        <v>761</v>
      </c>
      <c r="B92" s="845"/>
      <c r="C92" s="841"/>
      <c r="D92"/>
      <c r="E92" s="841"/>
      <c r="F92" s="841"/>
      <c r="G92" s="841"/>
      <c r="H92" s="1092"/>
      <c r="I92" s="1092"/>
      <c r="J92" s="1092"/>
      <c r="K92" s="1092"/>
      <c r="L92" s="1092"/>
      <c r="M92" s="974" t="str">
        <f t="shared" si="1"/>
        <v/>
      </c>
    </row>
    <row r="93" spans="1:13" ht="18" customHeight="1">
      <c r="A93" s="843" t="s">
        <v>762</v>
      </c>
      <c r="B93" s="841"/>
      <c r="C93" s="841"/>
      <c r="D93" s="841"/>
      <c r="E93" s="841"/>
      <c r="F93" s="841"/>
      <c r="G93" s="841"/>
      <c r="H93" s="841"/>
      <c r="I93" s="841"/>
      <c r="J93" s="841"/>
      <c r="K93" s="841"/>
      <c r="L93" s="841"/>
      <c r="M93" s="974" t="str">
        <f t="shared" si="1"/>
        <v/>
      </c>
    </row>
    <row r="94" spans="1:13" ht="25.5">
      <c r="A94" s="843" t="s">
        <v>763</v>
      </c>
      <c r="B94" s="1087"/>
      <c r="C94" s="841"/>
      <c r="D94" s="1090"/>
      <c r="E94" s="841"/>
      <c r="F94" s="841"/>
      <c r="G94" s="841"/>
      <c r="H94" s="841"/>
      <c r="I94" s="841"/>
      <c r="J94" s="841"/>
      <c r="K94" s="841"/>
      <c r="L94" s="841"/>
      <c r="M94" s="974"/>
    </row>
    <row r="95" spans="1:13" ht="25.5">
      <c r="A95" s="843" t="s">
        <v>764</v>
      </c>
      <c r="B95" s="841"/>
      <c r="C95" s="841"/>
      <c r="D95" s="841"/>
      <c r="E95" s="841"/>
      <c r="F95" s="841"/>
      <c r="G95" s="841"/>
      <c r="H95" s="841"/>
      <c r="I95" s="841"/>
      <c r="J95" s="841"/>
      <c r="K95" s="841"/>
      <c r="L95" s="841"/>
      <c r="M95" s="974" t="str">
        <f t="shared" si="1"/>
        <v/>
      </c>
    </row>
    <row r="96" spans="1:13" ht="30" customHeight="1">
      <c r="A96" s="843" t="s">
        <v>765</v>
      </c>
      <c r="B96" s="1081"/>
      <c r="C96" s="1081"/>
      <c r="D96" s="1082"/>
      <c r="E96" s="1082"/>
      <c r="F96" s="841"/>
      <c r="G96" s="841"/>
      <c r="H96" s="841"/>
      <c r="I96" s="841"/>
      <c r="J96" s="841"/>
      <c r="K96" s="841"/>
      <c r="L96" s="841"/>
      <c r="M96" s="974" t="str">
        <f t="shared" si="1"/>
        <v/>
      </c>
    </row>
    <row r="97" spans="1:13" ht="30" customHeight="1">
      <c r="A97" s="843" t="s">
        <v>766</v>
      </c>
      <c r="B97" s="1082"/>
      <c r="C97" s="1082"/>
      <c r="D97" s="1082"/>
      <c r="E97" s="841"/>
      <c r="F97" s="841"/>
      <c r="G97" s="841"/>
      <c r="H97" s="841"/>
      <c r="I97" s="841"/>
      <c r="J97" s="841"/>
      <c r="K97" s="841"/>
      <c r="L97" s="841"/>
      <c r="M97" s="974" t="str">
        <f t="shared" si="1"/>
        <v/>
      </c>
    </row>
    <row r="98" spans="1:13" ht="30" customHeight="1">
      <c r="A98" s="843" t="s">
        <v>767</v>
      </c>
      <c r="B98" s="841"/>
      <c r="C98" s="841"/>
      <c r="D98" s="841"/>
      <c r="E98" s="841"/>
      <c r="F98" s="841"/>
      <c r="G98" s="841"/>
      <c r="H98" s="841"/>
      <c r="I98" s="841"/>
      <c r="J98" s="841"/>
      <c r="K98" s="841"/>
      <c r="L98" s="841"/>
      <c r="M98" s="974" t="str">
        <f t="shared" si="1"/>
        <v/>
      </c>
    </row>
    <row r="99" spans="1:13" ht="30" customHeight="1">
      <c r="A99" s="843" t="s">
        <v>770</v>
      </c>
      <c r="B99" s="841"/>
      <c r="C99" s="841"/>
      <c r="D99" s="841"/>
      <c r="E99" s="841"/>
      <c r="F99" s="841"/>
      <c r="G99" s="841"/>
      <c r="H99" s="841"/>
      <c r="I99" s="841"/>
      <c r="J99" s="841"/>
      <c r="K99" s="841"/>
      <c r="L99" s="841"/>
      <c r="M99" s="974" t="str">
        <f t="shared" si="1"/>
        <v/>
      </c>
    </row>
    <row r="100" spans="1:13" ht="30" customHeight="1">
      <c r="A100" s="843" t="s">
        <v>1781</v>
      </c>
      <c r="B100" s="841"/>
      <c r="C100" s="841"/>
      <c r="D100" s="841"/>
      <c r="E100" s="841"/>
      <c r="F100" s="841"/>
      <c r="G100" s="841"/>
      <c r="H100" s="841"/>
      <c r="I100" s="841"/>
      <c r="J100" s="841"/>
      <c r="K100" s="841"/>
      <c r="L100" s="841"/>
      <c r="M100" s="974" t="str">
        <f>IF(G100="","",IF(AND($L$6=2020,I100&lt;&gt;0),G100/I100,IF(AND($L$6=2021,J100&lt;&gt;0),G100/J100,IF(AND($L$6=2022,K100&lt;&gt;0),G100/K100,IF(AND($L$6=2023,L100&lt;&gt;0),G100/L100,"Meta no planificada para la vigencia")))))</f>
        <v/>
      </c>
    </row>
    <row r="101" spans="1:13" ht="26.25" customHeight="1"/>
    <row r="102" spans="1:13" ht="81" customHeight="1">
      <c r="A102" s="1126" t="s">
        <v>1915</v>
      </c>
      <c r="B102" s="1127"/>
      <c r="C102" s="1127"/>
      <c r="D102" s="1127"/>
      <c r="E102" s="1127"/>
      <c r="F102" s="1127"/>
      <c r="G102" s="1127"/>
      <c r="H102" s="1127"/>
      <c r="I102" s="1127"/>
      <c r="J102" s="1127"/>
      <c r="K102" s="1127"/>
      <c r="L102" s="1127"/>
      <c r="M102" s="1128"/>
    </row>
    <row r="103" spans="1:13" ht="6" customHeight="1" thickBot="1"/>
    <row r="104" spans="1:13" ht="39" thickBot="1">
      <c r="A104" s="317" t="s">
        <v>754</v>
      </c>
      <c r="B104" s="317" t="s">
        <v>755</v>
      </c>
      <c r="C104" s="317" t="s">
        <v>756</v>
      </c>
      <c r="D104" s="317" t="s">
        <v>3</v>
      </c>
      <c r="E104" s="842" t="s">
        <v>1808</v>
      </c>
      <c r="F104" s="842" t="s">
        <v>1783</v>
      </c>
      <c r="G104" s="318" t="s">
        <v>757</v>
      </c>
      <c r="H104" s="176" t="s">
        <v>758</v>
      </c>
      <c r="I104" s="177" t="s">
        <v>472</v>
      </c>
      <c r="J104" s="177" t="s">
        <v>473</v>
      </c>
      <c r="K104" s="177" t="s">
        <v>474</v>
      </c>
      <c r="L104" s="178" t="s">
        <v>475</v>
      </c>
      <c r="M104" s="319" t="s">
        <v>1778</v>
      </c>
    </row>
    <row r="105" spans="1:13" ht="18" customHeight="1">
      <c r="A105" s="843" t="s">
        <v>768</v>
      </c>
      <c r="B105" s="841"/>
      <c r="C105" s="841"/>
      <c r="D105" s="841"/>
      <c r="E105" s="841"/>
      <c r="F105" s="841"/>
      <c r="G105" s="841"/>
      <c r="H105" s="975"/>
      <c r="I105" s="975"/>
      <c r="J105" s="975"/>
      <c r="K105" s="975"/>
      <c r="L105" s="975"/>
      <c r="M105" s="974" t="str">
        <f>IF(G105="","",IF(AND($L$6=2020,I105&lt;&gt;0),G105/I105,IF(AND($L$6=2021,J105&lt;&gt;0),G105/J105,IF(AND($L$6=2022,K105&lt;&gt;0),G105/K105,IF(AND($L$6=2023,L105&lt;&gt;0),G105/L105,"Meta no planificada para la vigencia")))))</f>
        <v/>
      </c>
    </row>
    <row r="106" spans="1:13" ht="25.5">
      <c r="A106" s="843" t="s">
        <v>769</v>
      </c>
      <c r="B106" s="841"/>
      <c r="C106" s="841"/>
      <c r="D106" s="841"/>
      <c r="E106" s="841"/>
      <c r="F106" s="841"/>
      <c r="G106" s="841"/>
      <c r="H106" s="841"/>
      <c r="I106" s="841"/>
      <c r="J106" s="841"/>
      <c r="K106" s="841"/>
      <c r="L106" s="841"/>
      <c r="M106" s="974" t="str">
        <f t="shared" ref="M106:M121" si="2">IF(G106="","",IF(AND($L$6=2020,I106&lt;&gt;0),G106/I106,IF(AND($L$6=2021,J106&lt;&gt;0),G106/J106,IF(AND($L$6=2022,K106&lt;&gt;0),G106/K106,IF(AND($L$6=2023,L106&lt;&gt;0),G106/L106,"Meta no planificada para la vigencia")))))</f>
        <v/>
      </c>
    </row>
    <row r="107" spans="1:13" ht="25.5">
      <c r="A107" s="843" t="s">
        <v>771</v>
      </c>
      <c r="B107" s="841"/>
      <c r="C107" s="841"/>
      <c r="D107" s="841"/>
      <c r="E107" s="841"/>
      <c r="F107" s="841"/>
      <c r="G107" s="841"/>
      <c r="H107" s="841"/>
      <c r="I107" s="841"/>
      <c r="J107" s="841"/>
      <c r="K107" s="841"/>
      <c r="L107" s="841"/>
      <c r="M107" s="974" t="str">
        <f t="shared" si="2"/>
        <v/>
      </c>
    </row>
    <row r="108" spans="1:13" ht="25.5">
      <c r="A108" s="843" t="s">
        <v>772</v>
      </c>
      <c r="B108" s="841"/>
      <c r="C108" s="841"/>
      <c r="D108" s="841"/>
      <c r="E108" s="841"/>
      <c r="F108" s="841"/>
      <c r="G108" s="841"/>
      <c r="H108" s="841"/>
      <c r="I108" s="841"/>
      <c r="J108" s="841"/>
      <c r="K108" s="841"/>
      <c r="L108" s="841"/>
      <c r="M108" s="974" t="str">
        <f t="shared" si="2"/>
        <v/>
      </c>
    </row>
    <row r="109" spans="1:13" ht="18" customHeight="1">
      <c r="A109" s="843" t="s">
        <v>773</v>
      </c>
      <c r="B109" s="841"/>
      <c r="C109" s="841"/>
      <c r="D109" s="841"/>
      <c r="E109" s="841"/>
      <c r="F109" s="841"/>
      <c r="G109" s="841"/>
      <c r="H109" s="841"/>
      <c r="I109" s="841"/>
      <c r="J109" s="841"/>
      <c r="K109" s="841"/>
      <c r="L109" s="841"/>
      <c r="M109" s="974" t="str">
        <f t="shared" si="2"/>
        <v/>
      </c>
    </row>
    <row r="110" spans="1:13" ht="25.5">
      <c r="A110" s="843" t="s">
        <v>774</v>
      </c>
      <c r="B110" s="841"/>
      <c r="C110" s="841"/>
      <c r="D110" s="841"/>
      <c r="E110" s="841"/>
      <c r="F110" s="841"/>
      <c r="G110" s="841"/>
      <c r="H110" s="841"/>
      <c r="I110" s="841"/>
      <c r="J110" s="841"/>
      <c r="K110" s="841"/>
      <c r="L110" s="841"/>
      <c r="M110" s="974" t="str">
        <f t="shared" si="2"/>
        <v/>
      </c>
    </row>
    <row r="111" spans="1:13" ht="30" customHeight="1">
      <c r="A111" s="843" t="s">
        <v>775</v>
      </c>
      <c r="B111" s="841"/>
      <c r="C111" s="841"/>
      <c r="D111" s="841"/>
      <c r="E111" s="841"/>
      <c r="F111" s="841"/>
      <c r="G111" s="841"/>
      <c r="H111" s="841"/>
      <c r="I111" s="841"/>
      <c r="J111" s="841"/>
      <c r="K111" s="841"/>
      <c r="L111" s="841"/>
      <c r="M111" s="974" t="str">
        <f t="shared" si="2"/>
        <v/>
      </c>
    </row>
    <row r="112" spans="1:13" ht="30" customHeight="1">
      <c r="A112" s="843" t="s">
        <v>776</v>
      </c>
      <c r="B112" s="841"/>
      <c r="C112" s="841"/>
      <c r="D112" s="841"/>
      <c r="E112" s="841"/>
      <c r="F112" s="841"/>
      <c r="G112" s="841"/>
      <c r="H112" s="841"/>
      <c r="I112" s="841"/>
      <c r="J112" s="841"/>
      <c r="K112" s="841"/>
      <c r="L112" s="841"/>
      <c r="M112" s="974" t="str">
        <f t="shared" si="2"/>
        <v/>
      </c>
    </row>
    <row r="113" spans="1:13" ht="18" customHeight="1">
      <c r="A113" s="843" t="s">
        <v>777</v>
      </c>
      <c r="B113" s="841"/>
      <c r="C113" s="841"/>
      <c r="D113" s="841"/>
      <c r="E113" s="841"/>
      <c r="F113" s="841"/>
      <c r="G113" s="841"/>
      <c r="H113" s="841"/>
      <c r="I113" s="841"/>
      <c r="J113" s="841"/>
      <c r="K113" s="841"/>
      <c r="L113" s="841"/>
      <c r="M113" s="974" t="str">
        <f t="shared" si="2"/>
        <v/>
      </c>
    </row>
    <row r="114" spans="1:13" ht="25.5">
      <c r="A114" s="843" t="s">
        <v>778</v>
      </c>
      <c r="B114" s="841"/>
      <c r="C114" s="841"/>
      <c r="D114" s="841"/>
      <c r="E114" s="841"/>
      <c r="F114" s="841"/>
      <c r="G114" s="841"/>
      <c r="H114" s="841"/>
      <c r="I114" s="841"/>
      <c r="J114" s="841"/>
      <c r="K114" s="841"/>
      <c r="L114" s="841"/>
      <c r="M114" s="974" t="str">
        <f t="shared" si="2"/>
        <v/>
      </c>
    </row>
    <row r="115" spans="1:13" ht="38.25">
      <c r="A115" s="843" t="s">
        <v>779</v>
      </c>
      <c r="B115" s="841"/>
      <c r="C115" s="841"/>
      <c r="D115" s="841"/>
      <c r="E115" s="841"/>
      <c r="F115" s="841"/>
      <c r="G115" s="841"/>
      <c r="H115" s="841"/>
      <c r="I115" s="841"/>
      <c r="J115" s="841"/>
      <c r="K115" s="841"/>
      <c r="L115" s="841"/>
      <c r="M115" s="974" t="str">
        <f t="shared" si="2"/>
        <v/>
      </c>
    </row>
    <row r="116" spans="1:13" ht="38.25">
      <c r="A116" s="843" t="s">
        <v>780</v>
      </c>
      <c r="B116" s="841"/>
      <c r="C116" s="841"/>
      <c r="D116" s="841"/>
      <c r="E116" s="841"/>
      <c r="F116" s="841"/>
      <c r="G116" s="841"/>
      <c r="H116" s="841"/>
      <c r="I116" s="841"/>
      <c r="J116" s="841"/>
      <c r="K116" s="841"/>
      <c r="L116" s="841"/>
      <c r="M116" s="974" t="str">
        <f t="shared" si="2"/>
        <v/>
      </c>
    </row>
    <row r="117" spans="1:13" ht="25.5">
      <c r="A117" s="843" t="s">
        <v>781</v>
      </c>
      <c r="B117" s="841"/>
      <c r="C117" s="841"/>
      <c r="D117" s="841"/>
      <c r="E117" s="841"/>
      <c r="F117" s="841"/>
      <c r="G117" s="841"/>
      <c r="H117" s="841"/>
      <c r="I117" s="841"/>
      <c r="J117" s="841"/>
      <c r="K117" s="841"/>
      <c r="L117" s="841"/>
      <c r="M117" s="974" t="str">
        <f t="shared" si="2"/>
        <v/>
      </c>
    </row>
    <row r="118" spans="1:13" ht="25.5">
      <c r="A118" s="843" t="s">
        <v>782</v>
      </c>
      <c r="B118" s="841"/>
      <c r="C118" s="841"/>
      <c r="D118" s="841"/>
      <c r="E118" s="841"/>
      <c r="F118" s="841"/>
      <c r="G118" s="841"/>
      <c r="H118" s="841"/>
      <c r="I118" s="841"/>
      <c r="J118" s="841"/>
      <c r="K118" s="841"/>
      <c r="L118" s="841"/>
      <c r="M118" s="974" t="str">
        <f t="shared" si="2"/>
        <v/>
      </c>
    </row>
    <row r="119" spans="1:13" ht="25.5">
      <c r="A119" s="843" t="s">
        <v>783</v>
      </c>
      <c r="B119" s="841"/>
      <c r="C119" s="841"/>
      <c r="D119" s="841"/>
      <c r="E119" s="841"/>
      <c r="F119" s="841"/>
      <c r="G119" s="841"/>
      <c r="H119" s="841"/>
      <c r="I119" s="841"/>
      <c r="J119" s="841"/>
      <c r="K119" s="841"/>
      <c r="L119" s="841"/>
      <c r="M119" s="974" t="str">
        <f t="shared" si="2"/>
        <v/>
      </c>
    </row>
    <row r="120" spans="1:13" ht="30" customHeight="1">
      <c r="A120" s="843" t="s">
        <v>784</v>
      </c>
      <c r="B120" s="841"/>
      <c r="C120" s="841"/>
      <c r="D120" s="841"/>
      <c r="E120" s="841"/>
      <c r="F120" s="841"/>
      <c r="G120" s="841"/>
      <c r="H120" s="841"/>
      <c r="I120" s="841"/>
      <c r="J120" s="841"/>
      <c r="K120" s="841"/>
      <c r="L120" s="841"/>
      <c r="M120" s="974" t="str">
        <f t="shared" si="2"/>
        <v/>
      </c>
    </row>
    <row r="121" spans="1:13" ht="38.25">
      <c r="A121" s="843" t="s">
        <v>785</v>
      </c>
      <c r="B121" s="841"/>
      <c r="C121" s="841"/>
      <c r="D121" s="841"/>
      <c r="E121" s="841"/>
      <c r="F121" s="841"/>
      <c r="G121" s="841"/>
      <c r="H121" s="841"/>
      <c r="I121" s="841"/>
      <c r="J121" s="841"/>
      <c r="K121" s="841"/>
      <c r="L121" s="841"/>
      <c r="M121" s="974" t="str">
        <f t="shared" si="2"/>
        <v/>
      </c>
    </row>
    <row r="122" spans="1:13" ht="6" customHeight="1"/>
    <row r="123" spans="1:13" ht="31.5" customHeight="1">
      <c r="A123" s="1126" t="s">
        <v>1916</v>
      </c>
      <c r="B123" s="1127"/>
      <c r="C123" s="1127"/>
      <c r="D123" s="1127"/>
      <c r="E123" s="1127"/>
      <c r="F123" s="1127"/>
      <c r="G123" s="1127"/>
      <c r="H123" s="1127"/>
      <c r="I123" s="1127"/>
      <c r="J123" s="1127"/>
      <c r="K123" s="1127"/>
      <c r="L123" s="1127"/>
      <c r="M123" s="1128"/>
    </row>
    <row r="124" spans="1:13" ht="6" customHeight="1">
      <c r="A124" s="755"/>
      <c r="B124" s="756"/>
      <c r="C124" s="756"/>
      <c r="D124" s="756"/>
      <c r="E124" s="756"/>
      <c r="F124" s="756"/>
      <c r="G124" s="756"/>
      <c r="H124" s="756"/>
      <c r="I124" s="756"/>
      <c r="J124" s="756"/>
      <c r="K124" s="756"/>
      <c r="L124" s="756"/>
      <c r="M124" s="757"/>
    </row>
    <row r="125" spans="1:13" ht="26.25" customHeight="1">
      <c r="A125" s="758"/>
      <c r="C125" s="980" t="s">
        <v>1751</v>
      </c>
      <c r="D125" s="980" t="s">
        <v>1925</v>
      </c>
      <c r="E125" s="980" t="s">
        <v>1926</v>
      </c>
      <c r="F125" s="980" t="s">
        <v>1927</v>
      </c>
      <c r="G125" s="980" t="s">
        <v>1754</v>
      </c>
      <c r="H125" s="980" t="s">
        <v>1752</v>
      </c>
      <c r="I125" s="980" t="s">
        <v>1755</v>
      </c>
      <c r="J125" s="759"/>
      <c r="K125" s="759"/>
      <c r="L125" s="759"/>
      <c r="M125" s="760"/>
    </row>
    <row r="126" spans="1:13" ht="17.25" customHeight="1">
      <c r="A126" s="758"/>
      <c r="C126" s="1095" t="s">
        <v>1959</v>
      </c>
      <c r="D126" s="1096">
        <v>1</v>
      </c>
      <c r="E126" s="1097">
        <v>6300000</v>
      </c>
      <c r="F126" s="1098">
        <v>14</v>
      </c>
      <c r="G126" s="977">
        <v>48526</v>
      </c>
      <c r="H126" s="1038">
        <f>(D126*E126*F126)/G126</f>
        <v>1817.5823269999587</v>
      </c>
      <c r="I126" s="977">
        <f>D126*E126*F126</f>
        <v>88200000</v>
      </c>
      <c r="J126" s="759"/>
      <c r="L126" s="1124" t="s">
        <v>1757</v>
      </c>
      <c r="M126" s="1125"/>
    </row>
    <row r="127" spans="1:13" ht="17.25" customHeight="1">
      <c r="A127" s="758"/>
      <c r="C127" s="1095" t="s">
        <v>1960</v>
      </c>
      <c r="D127" s="1096">
        <v>1</v>
      </c>
      <c r="E127" s="1097">
        <v>5250000</v>
      </c>
      <c r="F127" s="1098">
        <v>13</v>
      </c>
      <c r="G127" s="977">
        <v>48526</v>
      </c>
      <c r="H127" s="1038">
        <f t="shared" ref="H127:H128" si="3">(D127*E127*F127)/G127</f>
        <v>1406.4625149404444</v>
      </c>
      <c r="I127" s="977">
        <f t="shared" ref="I127" si="4">D127*E127*F127</f>
        <v>68250000</v>
      </c>
      <c r="J127" s="759"/>
      <c r="K127" s="310"/>
      <c r="L127" s="1125"/>
      <c r="M127" s="1125"/>
    </row>
    <row r="128" spans="1:13" ht="17.25" customHeight="1">
      <c r="A128" s="758"/>
      <c r="C128" s="1095" t="s">
        <v>1961</v>
      </c>
      <c r="D128" s="1096">
        <v>1</v>
      </c>
      <c r="E128" s="1097">
        <v>5250000</v>
      </c>
      <c r="F128" s="1098">
        <v>13</v>
      </c>
      <c r="G128" s="977">
        <v>48526</v>
      </c>
      <c r="H128" s="1038">
        <f t="shared" si="3"/>
        <v>1406.4625149404444</v>
      </c>
      <c r="I128" s="977">
        <f t="shared" ref="I128:I130" si="5">D128*E128*F128</f>
        <v>68250000</v>
      </c>
      <c r="J128" s="759"/>
      <c r="K128" s="310"/>
      <c r="L128" s="1125"/>
      <c r="M128" s="1125"/>
    </row>
    <row r="129" spans="1:13" s="1039" customFormat="1" ht="17.25" customHeight="1">
      <c r="A129" s="758"/>
      <c r="C129" s="1095" t="s">
        <v>1962</v>
      </c>
      <c r="D129" s="1096">
        <v>1</v>
      </c>
      <c r="E129" s="1097">
        <v>3350000</v>
      </c>
      <c r="F129" s="1098">
        <v>9</v>
      </c>
      <c r="G129" s="977">
        <v>48526</v>
      </c>
      <c r="H129" s="1038">
        <f t="shared" ref="H129:H130" si="6">(D129*E129*F129)/G129</f>
        <v>621.31640769896546</v>
      </c>
      <c r="I129" s="977">
        <f t="shared" si="5"/>
        <v>30150000</v>
      </c>
      <c r="J129" s="759"/>
      <c r="K129" s="310"/>
      <c r="L129" s="310"/>
      <c r="M129" s="760"/>
    </row>
    <row r="130" spans="1:13" s="1039" customFormat="1" ht="17.25" customHeight="1">
      <c r="A130" s="758"/>
      <c r="C130" s="1095" t="s">
        <v>1963</v>
      </c>
      <c r="D130" s="1096">
        <v>1</v>
      </c>
      <c r="E130" s="1097">
        <v>5250000</v>
      </c>
      <c r="F130" s="1098">
        <v>3</v>
      </c>
      <c r="G130" s="977">
        <v>48526</v>
      </c>
      <c r="H130" s="1038">
        <f t="shared" si="6"/>
        <v>324.56827267856409</v>
      </c>
      <c r="I130" s="977">
        <f t="shared" si="5"/>
        <v>15750000</v>
      </c>
      <c r="J130" s="759"/>
      <c r="K130" s="310"/>
      <c r="L130" s="310"/>
      <c r="M130" s="760"/>
    </row>
    <row r="131" spans="1:13" s="1039" customFormat="1" ht="17.25" customHeight="1">
      <c r="A131" s="758"/>
      <c r="C131" s="1088"/>
      <c r="D131" s="1083"/>
      <c r="E131" s="976"/>
      <c r="F131" s="1084"/>
      <c r="G131" s="977"/>
      <c r="H131" s="1038"/>
      <c r="I131" s="977"/>
      <c r="J131" s="759"/>
      <c r="K131" s="310"/>
      <c r="L131" s="310"/>
      <c r="M131" s="760"/>
    </row>
    <row r="132" spans="1:13" s="1039" customFormat="1" ht="17.25" customHeight="1">
      <c r="A132" s="758"/>
      <c r="C132" s="1088"/>
      <c r="D132" s="1083"/>
      <c r="E132" s="976"/>
      <c r="F132" s="1084"/>
      <c r="G132" s="977"/>
      <c r="H132" s="1038"/>
      <c r="I132" s="977"/>
      <c r="J132" s="759"/>
      <c r="K132" s="310"/>
      <c r="L132" s="310"/>
      <c r="M132" s="760"/>
    </row>
    <row r="133" spans="1:13" s="1039" customFormat="1" ht="17.25" customHeight="1">
      <c r="A133" s="758"/>
      <c r="C133" s="1088"/>
      <c r="D133" s="1083"/>
      <c r="E133" s="976"/>
      <c r="F133" s="1084"/>
      <c r="G133" s="977"/>
      <c r="H133" s="1038"/>
      <c r="I133" s="977"/>
      <c r="J133" s="759"/>
      <c r="K133" s="310"/>
      <c r="L133" s="310"/>
      <c r="M133" s="760"/>
    </row>
    <row r="134" spans="1:13" s="1039" customFormat="1" ht="17.25" customHeight="1">
      <c r="A134" s="758"/>
      <c r="C134" s="1088"/>
      <c r="D134" s="1083"/>
      <c r="E134" s="976"/>
      <c r="F134" s="1084"/>
      <c r="G134" s="977"/>
      <c r="H134" s="1038"/>
      <c r="I134" s="977"/>
      <c r="J134" s="759"/>
      <c r="K134" s="310"/>
      <c r="L134" s="310"/>
      <c r="M134" s="760"/>
    </row>
    <row r="135" spans="1:13" s="1039" customFormat="1" ht="17.25" customHeight="1">
      <c r="A135" s="758"/>
      <c r="C135" s="1088"/>
      <c r="D135" s="1083"/>
      <c r="E135" s="976"/>
      <c r="F135" s="1084"/>
      <c r="G135" s="977"/>
      <c r="H135" s="1038"/>
      <c r="I135" s="977"/>
      <c r="J135" s="759"/>
      <c r="K135" s="310"/>
      <c r="L135" s="310"/>
      <c r="M135" s="760"/>
    </row>
    <row r="136" spans="1:13" s="1039" customFormat="1" ht="17.25" customHeight="1">
      <c r="A136" s="758"/>
      <c r="C136" s="1088"/>
      <c r="D136" s="1083"/>
      <c r="E136" s="976"/>
      <c r="F136" s="1084"/>
      <c r="G136" s="977"/>
      <c r="H136" s="1038"/>
      <c r="I136" s="977"/>
      <c r="J136" s="759"/>
      <c r="K136" s="310"/>
      <c r="L136" s="310"/>
      <c r="M136" s="760"/>
    </row>
    <row r="137" spans="1:13" s="1039" customFormat="1" ht="17.25" customHeight="1">
      <c r="A137" s="758"/>
      <c r="C137" s="1088"/>
      <c r="D137" s="1083"/>
      <c r="E137" s="976"/>
      <c r="F137" s="1084"/>
      <c r="G137" s="977"/>
      <c r="H137" s="1038"/>
      <c r="I137" s="977"/>
      <c r="J137" s="759"/>
      <c r="K137" s="310"/>
      <c r="L137" s="310"/>
      <c r="M137" s="760"/>
    </row>
    <row r="138" spans="1:13" s="1039" customFormat="1" ht="17.25" customHeight="1">
      <c r="A138" s="758"/>
      <c r="C138" s="1088"/>
      <c r="D138" s="1083"/>
      <c r="E138" s="976"/>
      <c r="F138" s="1084"/>
      <c r="G138" s="977"/>
      <c r="H138" s="1038"/>
      <c r="I138" s="977"/>
      <c r="J138" s="759"/>
      <c r="K138" s="310"/>
      <c r="L138" s="310"/>
      <c r="M138" s="760"/>
    </row>
    <row r="139" spans="1:13" s="1039" customFormat="1" ht="17.25" customHeight="1">
      <c r="A139" s="758"/>
      <c r="C139" s="1088"/>
      <c r="D139" s="1083"/>
      <c r="E139" s="976"/>
      <c r="F139" s="1084"/>
      <c r="G139" s="977"/>
      <c r="H139" s="1038"/>
      <c r="I139" s="977"/>
      <c r="J139" s="759"/>
      <c r="K139" s="310"/>
      <c r="L139" s="310"/>
      <c r="M139" s="760"/>
    </row>
    <row r="140" spans="1:13" s="1039" customFormat="1" ht="17.25" customHeight="1">
      <c r="A140" s="758"/>
      <c r="C140" s="1088"/>
      <c r="D140" s="1083"/>
      <c r="E140" s="976"/>
      <c r="F140" s="1084"/>
      <c r="G140" s="977"/>
      <c r="H140" s="1038"/>
      <c r="I140" s="977"/>
      <c r="J140" s="759"/>
      <c r="K140" s="310"/>
      <c r="L140" s="310"/>
      <c r="M140" s="760"/>
    </row>
    <row r="141" spans="1:13" s="1039" customFormat="1" ht="17.25" customHeight="1">
      <c r="A141" s="758"/>
      <c r="C141" s="1088"/>
      <c r="D141" s="1083"/>
      <c r="E141" s="976"/>
      <c r="F141" s="1084"/>
      <c r="G141" s="977"/>
      <c r="H141" s="1038"/>
      <c r="I141" s="977"/>
      <c r="J141" s="759"/>
      <c r="K141" s="310"/>
      <c r="L141" s="310"/>
      <c r="M141" s="760"/>
    </row>
    <row r="142" spans="1:13" s="1039" customFormat="1" ht="17.25" customHeight="1">
      <c r="A142" s="758"/>
      <c r="C142" s="1088"/>
      <c r="D142" s="1083"/>
      <c r="E142" s="976"/>
      <c r="F142" s="1084"/>
      <c r="G142" s="977"/>
      <c r="H142" s="1038"/>
      <c r="I142" s="977"/>
      <c r="J142" s="759"/>
      <c r="K142" s="310"/>
      <c r="L142" s="310"/>
      <c r="M142" s="760"/>
    </row>
    <row r="143" spans="1:13" s="1085" customFormat="1" ht="17.25" customHeight="1">
      <c r="A143" s="758"/>
      <c r="C143" s="1088"/>
      <c r="D143" s="1083"/>
      <c r="E143" s="976"/>
      <c r="F143" s="1084"/>
      <c r="G143" s="977"/>
      <c r="H143" s="1038"/>
      <c r="I143" s="977"/>
      <c r="J143" s="759"/>
      <c r="K143" s="310"/>
      <c r="L143" s="310"/>
      <c r="M143" s="760"/>
    </row>
    <row r="144" spans="1:13" s="1085" customFormat="1" ht="17.25" customHeight="1">
      <c r="A144" s="758"/>
      <c r="C144" s="1088"/>
      <c r="D144" s="1083"/>
      <c r="E144" s="976"/>
      <c r="F144" s="1084"/>
      <c r="G144" s="977"/>
      <c r="H144" s="1038"/>
      <c r="I144" s="977"/>
      <c r="J144" s="759"/>
      <c r="K144" s="310"/>
      <c r="L144" s="310"/>
      <c r="M144" s="760"/>
    </row>
    <row r="145" spans="1:13" s="1085" customFormat="1" ht="17.25" customHeight="1">
      <c r="A145" s="758"/>
      <c r="C145" s="1088"/>
      <c r="D145" s="1083"/>
      <c r="E145" s="976"/>
      <c r="F145" s="1084"/>
      <c r="G145" s="977"/>
      <c r="H145" s="1038"/>
      <c r="I145" s="977"/>
      <c r="J145" s="759"/>
      <c r="K145" s="310"/>
      <c r="L145" s="310"/>
      <c r="M145" s="760"/>
    </row>
    <row r="146" spans="1:13" s="1085" customFormat="1" ht="17.25" customHeight="1">
      <c r="A146" s="758"/>
      <c r="C146" s="1088"/>
      <c r="D146" s="1083"/>
      <c r="E146" s="976"/>
      <c r="F146" s="1084"/>
      <c r="G146" s="977"/>
      <c r="H146" s="1038"/>
      <c r="I146" s="977"/>
      <c r="J146" s="759"/>
      <c r="K146" s="310"/>
      <c r="L146" s="310"/>
      <c r="M146" s="760"/>
    </row>
    <row r="147" spans="1:13" s="1085" customFormat="1" ht="17.25" customHeight="1">
      <c r="A147" s="758"/>
      <c r="C147" s="1086"/>
      <c r="D147" s="1086"/>
      <c r="E147" s="976"/>
      <c r="F147" s="1086"/>
      <c r="G147" s="977"/>
      <c r="H147" s="1038"/>
      <c r="I147" s="977"/>
      <c r="J147" s="759"/>
      <c r="K147" s="310"/>
      <c r="L147" s="310"/>
      <c r="M147" s="760"/>
    </row>
    <row r="148" spans="1:13" s="1085" customFormat="1" ht="17.25" customHeight="1">
      <c r="A148" s="758"/>
      <c r="C148" s="1086"/>
      <c r="D148" s="1086"/>
      <c r="E148" s="976"/>
      <c r="F148" s="1086"/>
      <c r="G148" s="977"/>
      <c r="H148" s="1038"/>
      <c r="I148" s="977"/>
      <c r="J148" s="759"/>
      <c r="K148" s="310"/>
      <c r="L148" s="310"/>
      <c r="M148" s="760"/>
    </row>
    <row r="149" spans="1:13" ht="17.25" customHeight="1">
      <c r="A149" s="758"/>
      <c r="C149" s="841"/>
      <c r="D149" s="841"/>
      <c r="E149" s="976"/>
      <c r="F149" s="841"/>
      <c r="G149" s="977"/>
      <c r="H149" s="1038"/>
      <c r="I149" s="977"/>
      <c r="J149" s="759"/>
      <c r="K149" s="310"/>
      <c r="L149" s="310"/>
      <c r="M149" s="760"/>
    </row>
    <row r="150" spans="1:13" s="1039" customFormat="1" ht="17.25" customHeight="1">
      <c r="A150" s="758"/>
      <c r="C150" s="841"/>
      <c r="D150" s="841"/>
      <c r="E150" s="976"/>
      <c r="F150" s="841"/>
      <c r="G150" s="977"/>
      <c r="H150" s="1038"/>
      <c r="I150" s="977"/>
      <c r="J150" s="759"/>
      <c r="K150" s="310"/>
      <c r="L150" s="310"/>
      <c r="M150" s="760"/>
    </row>
    <row r="151" spans="1:13" ht="17.25" customHeight="1">
      <c r="A151" s="758"/>
      <c r="C151" s="841"/>
      <c r="D151" s="841"/>
      <c r="E151" s="976"/>
      <c r="F151" s="841"/>
      <c r="G151" s="977"/>
      <c r="H151" s="1038"/>
      <c r="I151" s="977"/>
      <c r="J151" s="759"/>
      <c r="K151" s="310"/>
      <c r="L151" s="310"/>
      <c r="M151" s="760"/>
    </row>
    <row r="152" spans="1:13" ht="17.25" customHeight="1">
      <c r="A152" s="758"/>
      <c r="C152" s="978" t="s">
        <v>1753</v>
      </c>
      <c r="D152" s="843">
        <f>SUM(D126:D151)</f>
        <v>5</v>
      </c>
      <c r="E152" s="979">
        <f>SUM(E126:E151)</f>
        <v>25400000</v>
      </c>
      <c r="F152" s="843"/>
      <c r="G152" s="979"/>
      <c r="H152" s="1038">
        <f>SUM(H126:H151)</f>
        <v>5576.3920372583771</v>
      </c>
      <c r="I152" s="977">
        <f>SUM(I126:I151)</f>
        <v>270600000</v>
      </c>
      <c r="J152" s="759"/>
      <c r="K152" s="759"/>
      <c r="L152" s="759"/>
      <c r="M152" s="760"/>
    </row>
    <row r="153" spans="1:13" ht="6" customHeight="1">
      <c r="A153" s="761"/>
      <c r="B153" s="762"/>
      <c r="C153" s="762"/>
      <c r="D153" s="762"/>
      <c r="E153" s="762"/>
      <c r="F153" s="762"/>
      <c r="G153" s="762"/>
      <c r="H153" s="762"/>
      <c r="I153" s="762"/>
      <c r="J153" s="762"/>
      <c r="K153" s="762"/>
      <c r="L153" s="762"/>
      <c r="M153" s="763"/>
    </row>
    <row r="154" spans="1:13" s="1041" customFormat="1" ht="31.5" customHeight="1">
      <c r="A154" s="1126" t="s">
        <v>1935</v>
      </c>
      <c r="B154" s="1127"/>
      <c r="C154" s="1127"/>
      <c r="D154" s="1127"/>
      <c r="E154" s="1127"/>
      <c r="F154" s="1127"/>
      <c r="G154" s="1127"/>
      <c r="H154" s="1127"/>
      <c r="I154" s="1127"/>
      <c r="J154" s="1127"/>
      <c r="K154" s="1127"/>
      <c r="L154" s="1127"/>
      <c r="M154" s="1128"/>
    </row>
    <row r="155" spans="1:13" s="1041" customFormat="1" ht="6" customHeight="1" thickBot="1">
      <c r="A155" s="755"/>
      <c r="B155" s="756"/>
      <c r="C155" s="756"/>
      <c r="D155" s="756"/>
      <c r="E155" s="756"/>
      <c r="F155" s="756"/>
      <c r="G155" s="756"/>
      <c r="H155" s="756"/>
      <c r="I155" s="756"/>
      <c r="J155" s="756"/>
      <c r="K155" s="756"/>
      <c r="L155" s="756"/>
      <c r="M155" s="757"/>
    </row>
    <row r="156" spans="1:13" ht="16.5" thickBot="1">
      <c r="A156" s="871" t="s">
        <v>1936</v>
      </c>
      <c r="B156" s="1120" t="s">
        <v>1946</v>
      </c>
      <c r="C156" s="1121"/>
      <c r="D156" s="1121"/>
      <c r="E156" s="1122"/>
      <c r="F156" s="1120" t="s">
        <v>1947</v>
      </c>
      <c r="G156" s="1121"/>
      <c r="H156" s="1121"/>
      <c r="I156" s="1121"/>
      <c r="J156" s="1121"/>
      <c r="K156" s="1121"/>
      <c r="L156" s="1122"/>
      <c r="M156" s="760"/>
    </row>
    <row r="157" spans="1:13" ht="41.25" customHeight="1">
      <c r="A157" s="1108" t="s">
        <v>1948</v>
      </c>
      <c r="B157" s="1123" t="s">
        <v>1933</v>
      </c>
      <c r="C157" s="1117"/>
      <c r="D157" s="1117"/>
      <c r="E157" s="1118"/>
      <c r="F157" s="1116" t="s">
        <v>1938</v>
      </c>
      <c r="G157" s="1117"/>
      <c r="H157" s="1117"/>
      <c r="I157" s="1117"/>
      <c r="J157" s="1117"/>
      <c r="K157" s="1117"/>
      <c r="L157" s="1118"/>
      <c r="M157" s="1115" t="s">
        <v>1948</v>
      </c>
    </row>
    <row r="158" spans="1:13" ht="41.25" customHeight="1">
      <c r="A158" s="1108"/>
      <c r="B158" s="1109" t="s">
        <v>1932</v>
      </c>
      <c r="C158" s="1110"/>
      <c r="D158" s="1110"/>
      <c r="E158" s="1111"/>
      <c r="F158" s="1119" t="s">
        <v>1940</v>
      </c>
      <c r="G158" s="1110"/>
      <c r="H158" s="1110"/>
      <c r="I158" s="1110"/>
      <c r="J158" s="1110"/>
      <c r="K158" s="1110"/>
      <c r="L158" s="1111"/>
      <c r="M158" s="1115"/>
    </row>
    <row r="159" spans="1:13" ht="41.25" customHeight="1">
      <c r="A159" s="1108"/>
      <c r="B159" s="1109"/>
      <c r="C159" s="1110"/>
      <c r="D159" s="1110"/>
      <c r="E159" s="1111"/>
      <c r="F159" s="1119" t="s">
        <v>1943</v>
      </c>
      <c r="G159" s="1110"/>
      <c r="H159" s="1110"/>
      <c r="I159" s="1110"/>
      <c r="J159" s="1110"/>
      <c r="K159" s="1110"/>
      <c r="L159" s="1111"/>
      <c r="M159" s="1115"/>
    </row>
    <row r="160" spans="1:13" ht="41.25" customHeight="1" thickBot="1">
      <c r="A160" s="1108"/>
      <c r="B160" s="1112"/>
      <c r="C160" s="1113"/>
      <c r="D160" s="1113"/>
      <c r="E160" s="1114"/>
      <c r="F160" s="1119" t="s">
        <v>1945</v>
      </c>
      <c r="G160" s="1110"/>
      <c r="H160" s="1110"/>
      <c r="I160" s="1110"/>
      <c r="J160" s="1110"/>
      <c r="K160" s="1110"/>
      <c r="L160" s="1111"/>
      <c r="M160" s="1115"/>
    </row>
    <row r="161" spans="1:13" ht="41.25" customHeight="1">
      <c r="A161" s="1108"/>
      <c r="B161" s="1068"/>
      <c r="C161" s="1069"/>
      <c r="D161" s="1069"/>
      <c r="E161" s="1069"/>
      <c r="F161" s="1109"/>
      <c r="G161" s="1110"/>
      <c r="H161" s="1110"/>
      <c r="I161" s="1110"/>
      <c r="J161" s="1110"/>
      <c r="K161" s="1110"/>
      <c r="L161" s="1111"/>
      <c r="M161" s="1115"/>
    </row>
    <row r="162" spans="1:13" ht="41.25" customHeight="1">
      <c r="A162" s="1108"/>
      <c r="B162" s="1068"/>
      <c r="C162" s="1069"/>
      <c r="D162" s="1069"/>
      <c r="E162" s="1069"/>
      <c r="F162" s="1109"/>
      <c r="G162" s="1110"/>
      <c r="H162" s="1110"/>
      <c r="I162" s="1110"/>
      <c r="J162" s="1110"/>
      <c r="K162" s="1110"/>
      <c r="L162" s="1111"/>
      <c r="M162" s="1115"/>
    </row>
    <row r="163" spans="1:13" ht="41.25" customHeight="1">
      <c r="A163" s="1108"/>
      <c r="B163" s="1068"/>
      <c r="C163" s="1069"/>
      <c r="D163" s="1069"/>
      <c r="E163" s="1069"/>
      <c r="F163" s="1109"/>
      <c r="G163" s="1110"/>
      <c r="H163" s="1110"/>
      <c r="I163" s="1110"/>
      <c r="J163" s="1110"/>
      <c r="K163" s="1110"/>
      <c r="L163" s="1111"/>
      <c r="M163" s="1115"/>
    </row>
    <row r="164" spans="1:13" ht="41.25" customHeight="1" thickBot="1">
      <c r="A164" s="1108"/>
      <c r="B164" s="1068"/>
      <c r="C164" s="1069"/>
      <c r="D164" s="1069"/>
      <c r="E164" s="1069"/>
      <c r="F164" s="1112"/>
      <c r="G164" s="1113"/>
      <c r="H164" s="1113"/>
      <c r="I164" s="1113"/>
      <c r="J164" s="1113"/>
      <c r="K164" s="1113"/>
      <c r="L164" s="1114"/>
      <c r="M164" s="1115"/>
    </row>
    <row r="165" spans="1:13" ht="6" customHeight="1">
      <c r="A165" s="761"/>
      <c r="B165" s="762"/>
      <c r="C165" s="762"/>
      <c r="D165" s="762"/>
      <c r="E165" s="762"/>
      <c r="F165" s="762"/>
      <c r="G165" s="762"/>
      <c r="H165" s="762"/>
      <c r="I165" s="762"/>
      <c r="J165" s="762"/>
      <c r="K165" s="762"/>
      <c r="L165" s="762"/>
      <c r="M165" s="763"/>
    </row>
  </sheetData>
  <sheetProtection formatCells="0" formatColumns="0" formatRows="0" insertRows="0" insertHyperlinks="0" deleteRows="0" sort="0" autoFilter="0"/>
  <dataConsolidate/>
  <mergeCells count="74">
    <mergeCell ref="B4:I4"/>
    <mergeCell ref="K4:M4"/>
    <mergeCell ref="A13:A29"/>
    <mergeCell ref="A31:M31"/>
    <mergeCell ref="F35:F47"/>
    <mergeCell ref="I28:J28"/>
    <mergeCell ref="I29:J29"/>
    <mergeCell ref="K13:L13"/>
    <mergeCell ref="K14:L14"/>
    <mergeCell ref="K15:L15"/>
    <mergeCell ref="K16:L16"/>
    <mergeCell ref="K17:L17"/>
    <mergeCell ref="K18:L18"/>
    <mergeCell ref="K19:L19"/>
    <mergeCell ref="K20:L20"/>
    <mergeCell ref="K21:L21"/>
    <mergeCell ref="K22:L22"/>
    <mergeCell ref="K23:L23"/>
    <mergeCell ref="K24:L24"/>
    <mergeCell ref="I23:J23"/>
    <mergeCell ref="I24:J24"/>
    <mergeCell ref="I25:J25"/>
    <mergeCell ref="I26:J26"/>
    <mergeCell ref="I27:J27"/>
    <mergeCell ref="I18:J18"/>
    <mergeCell ref="I19:J19"/>
    <mergeCell ref="I20:J20"/>
    <mergeCell ref="I21:J21"/>
    <mergeCell ref="I22:J22"/>
    <mergeCell ref="G18:H18"/>
    <mergeCell ref="G19:H19"/>
    <mergeCell ref="I13:J13"/>
    <mergeCell ref="I14:J14"/>
    <mergeCell ref="I15:J15"/>
    <mergeCell ref="I16:J16"/>
    <mergeCell ref="I17:J17"/>
    <mergeCell ref="I6:K6"/>
    <mergeCell ref="A49:M49"/>
    <mergeCell ref="A123:M123"/>
    <mergeCell ref="A70:M70"/>
    <mergeCell ref="A87:M87"/>
    <mergeCell ref="A102:M102"/>
    <mergeCell ref="A10:M10"/>
    <mergeCell ref="A8:M8"/>
    <mergeCell ref="G12:H12"/>
    <mergeCell ref="I12:J12"/>
    <mergeCell ref="K12:L12"/>
    <mergeCell ref="G13:H13"/>
    <mergeCell ref="G14:H14"/>
    <mergeCell ref="G15:H15"/>
    <mergeCell ref="G16:H16"/>
    <mergeCell ref="G17:H17"/>
    <mergeCell ref="B157:E157"/>
    <mergeCell ref="B158:E158"/>
    <mergeCell ref="B159:E159"/>
    <mergeCell ref="L126:M128"/>
    <mergeCell ref="A51:M51"/>
    <mergeCell ref="A154:M154"/>
    <mergeCell ref="N35:N47"/>
    <mergeCell ref="G33:M33"/>
    <mergeCell ref="A33:E33"/>
    <mergeCell ref="A157:A164"/>
    <mergeCell ref="F161:L161"/>
    <mergeCell ref="F162:L162"/>
    <mergeCell ref="F163:L163"/>
    <mergeCell ref="F164:L164"/>
    <mergeCell ref="M157:M164"/>
    <mergeCell ref="B160:E160"/>
    <mergeCell ref="F157:L157"/>
    <mergeCell ref="F158:L158"/>
    <mergeCell ref="F159:L159"/>
    <mergeCell ref="F160:L160"/>
    <mergeCell ref="B156:E156"/>
    <mergeCell ref="F156:L156"/>
  </mergeCells>
  <conditionalFormatting sqref="B4 B6 D6 H6 M64:M68 B100:L100 A64:D68 F6 B90:L91 B105:L121 G19:H19 D22:D23 F19:F22 I28:J29 B12:L12 C126:D128 G126:H128 G149:H149 C149:D149 C151:D151 G151:H151 K4 B98:L98 F96:L96 E97:L97 A77:C85 G77:G85 B93:L95 C92 E92:L92 D13:D14 F13 G14:H15 F16:H18 K13:L13 K17:L24">
    <cfRule type="cellIs" dxfId="58" priority="62" operator="equal">
      <formula>""</formula>
    </cfRule>
  </conditionalFormatting>
  <conditionalFormatting sqref="L6">
    <cfRule type="cellIs" dxfId="57" priority="61" operator="equal">
      <formula>""</formula>
    </cfRule>
  </conditionalFormatting>
  <conditionalFormatting sqref="B99:L99">
    <cfRule type="cellIs" dxfId="56" priority="60" operator="equal">
      <formula>""</formula>
    </cfRule>
  </conditionalFormatting>
  <conditionalFormatting sqref="A34:A47 B34:C38 D34:D36 G34:M36 K37:K41 L37:M37 M38:M40">
    <cfRule type="cellIs" dxfId="55" priority="59" operator="equal">
      <formula>""</formula>
    </cfRule>
  </conditionalFormatting>
  <conditionalFormatting sqref="E126:F128 E149:F149 E151:F151">
    <cfRule type="cellIs" dxfId="54" priority="57" operator="equal">
      <formula>""</formula>
    </cfRule>
  </conditionalFormatting>
  <conditionalFormatting sqref="M54:M58 A54:D58">
    <cfRule type="cellIs" dxfId="53" priority="56" operator="equal">
      <formula>""</formula>
    </cfRule>
  </conditionalFormatting>
  <conditionalFormatting sqref="M59:M63 A59:D63">
    <cfRule type="cellIs" dxfId="52" priority="55" operator="equal">
      <formula>""</formula>
    </cfRule>
  </conditionalFormatting>
  <conditionalFormatting sqref="A73:C76 G73:G76">
    <cfRule type="cellIs" dxfId="51" priority="53" operator="equal">
      <formula>""</formula>
    </cfRule>
  </conditionalFormatting>
  <conditionalFormatting sqref="C141:D148 G141:H148">
    <cfRule type="cellIs" dxfId="50" priority="52" operator="equal">
      <formula>""</formula>
    </cfRule>
  </conditionalFormatting>
  <conditionalFormatting sqref="E141:F148">
    <cfRule type="cellIs" dxfId="49" priority="51" operator="equal">
      <formula>""</formula>
    </cfRule>
  </conditionalFormatting>
  <conditionalFormatting sqref="G139:H140 C139:D140">
    <cfRule type="cellIs" dxfId="48" priority="50" operator="equal">
      <formula>""</formula>
    </cfRule>
  </conditionalFormatting>
  <conditionalFormatting sqref="E139:F140">
    <cfRule type="cellIs" dxfId="47" priority="49" operator="equal">
      <formula>""</formula>
    </cfRule>
  </conditionalFormatting>
  <conditionalFormatting sqref="G137:H138 C137:D138">
    <cfRule type="cellIs" dxfId="46" priority="48" operator="equal">
      <formula>""</formula>
    </cfRule>
  </conditionalFormatting>
  <conditionalFormatting sqref="E137:F138">
    <cfRule type="cellIs" dxfId="45" priority="47" operator="equal">
      <formula>""</formula>
    </cfRule>
  </conditionalFormatting>
  <conditionalFormatting sqref="G135:H136 C135:D136">
    <cfRule type="cellIs" dxfId="44" priority="46" operator="equal">
      <formula>""</formula>
    </cfRule>
  </conditionalFormatting>
  <conditionalFormatting sqref="E135:F136">
    <cfRule type="cellIs" dxfId="43" priority="45" operator="equal">
      <formula>""</formula>
    </cfRule>
  </conditionalFormatting>
  <conditionalFormatting sqref="G133:H134 C133:D134">
    <cfRule type="cellIs" dxfId="42" priority="44" operator="equal">
      <formula>""</formula>
    </cfRule>
  </conditionalFormatting>
  <conditionalFormatting sqref="E133:F134">
    <cfRule type="cellIs" dxfId="41" priority="43" operator="equal">
      <formula>""</formula>
    </cfRule>
  </conditionalFormatting>
  <conditionalFormatting sqref="G131:H132 C131:D132">
    <cfRule type="cellIs" dxfId="40" priority="42" operator="equal">
      <formula>""</formula>
    </cfRule>
  </conditionalFormatting>
  <conditionalFormatting sqref="E131:F132">
    <cfRule type="cellIs" dxfId="39" priority="41" operator="equal">
      <formula>""</formula>
    </cfRule>
  </conditionalFormatting>
  <conditionalFormatting sqref="G129:H130 C129:D130">
    <cfRule type="cellIs" dxfId="38" priority="40" operator="equal">
      <formula>""</formula>
    </cfRule>
  </conditionalFormatting>
  <conditionalFormatting sqref="E129:F130">
    <cfRule type="cellIs" dxfId="37" priority="39" operator="equal">
      <formula>""</formula>
    </cfRule>
  </conditionalFormatting>
  <conditionalFormatting sqref="C150:D150 G150:H150">
    <cfRule type="cellIs" dxfId="36" priority="38" operator="equal">
      <formula>""</formula>
    </cfRule>
  </conditionalFormatting>
  <conditionalFormatting sqref="E150:F150">
    <cfRule type="cellIs" dxfId="35" priority="37" operator="equal">
      <formula>""</formula>
    </cfRule>
  </conditionalFormatting>
  <conditionalFormatting sqref="B156:E160 F156:L164">
    <cfRule type="cellIs" dxfId="34" priority="19" operator="equal">
      <formula>""</formula>
    </cfRule>
  </conditionalFormatting>
  <conditionalFormatting sqref="D37">
    <cfRule type="cellIs" dxfId="33" priority="15" operator="equal">
      <formula>""</formula>
    </cfRule>
  </conditionalFormatting>
  <conditionalFormatting sqref="B39">
    <cfRule type="cellIs" dxfId="32" priority="17" operator="equal">
      <formula>""</formula>
    </cfRule>
  </conditionalFormatting>
  <conditionalFormatting sqref="C39">
    <cfRule type="cellIs" dxfId="31" priority="16" operator="equal">
      <formula>""</formula>
    </cfRule>
  </conditionalFormatting>
  <conditionalFormatting sqref="E34">
    <cfRule type="cellIs" dxfId="30" priority="14" operator="equal">
      <formula>""</formula>
    </cfRule>
  </conditionalFormatting>
  <conditionalFormatting sqref="E35:E36">
    <cfRule type="cellIs" dxfId="29" priority="13" operator="equal">
      <formula>""</formula>
    </cfRule>
  </conditionalFormatting>
  <conditionalFormatting sqref="D96">
    <cfRule type="cellIs" dxfId="28" priority="12" operator="equal">
      <formula>""</formula>
    </cfRule>
  </conditionalFormatting>
  <conditionalFormatting sqref="E96">
    <cfRule type="cellIs" dxfId="27" priority="11" operator="equal">
      <formula>""</formula>
    </cfRule>
  </conditionalFormatting>
  <conditionalFormatting sqref="B97:D97">
    <cfRule type="cellIs" dxfId="26" priority="10" operator="equal">
      <formula>""</formula>
    </cfRule>
  </conditionalFormatting>
  <conditionalFormatting sqref="B92">
    <cfRule type="cellIs" dxfId="25" priority="9" operator="equal">
      <formula>""</formula>
    </cfRule>
  </conditionalFormatting>
  <conditionalFormatting sqref="B13:B17">
    <cfRule type="cellIs" dxfId="24" priority="8" operator="equal">
      <formula>""</formula>
    </cfRule>
  </conditionalFormatting>
  <conditionalFormatting sqref="C13:C22">
    <cfRule type="cellIs" dxfId="23" priority="7" operator="equal">
      <formula>""</formula>
    </cfRule>
  </conditionalFormatting>
  <conditionalFormatting sqref="D15:D20">
    <cfRule type="cellIs" dxfId="22" priority="6" operator="equal">
      <formula>""</formula>
    </cfRule>
  </conditionalFormatting>
  <conditionalFormatting sqref="E13:E20">
    <cfRule type="cellIs" dxfId="21" priority="5" operator="equal">
      <formula>""</formula>
    </cfRule>
  </conditionalFormatting>
  <conditionalFormatting sqref="F14:F15">
    <cfRule type="cellIs" dxfId="20" priority="4" operator="equal">
      <formula>""</formula>
    </cfRule>
  </conditionalFormatting>
  <conditionalFormatting sqref="G13:H13">
    <cfRule type="cellIs" dxfId="19" priority="3" operator="equal">
      <formula>""</formula>
    </cfRule>
  </conditionalFormatting>
  <conditionalFormatting sqref="I13:J27">
    <cfRule type="cellIs" dxfId="18" priority="2" operator="equal">
      <formula>""</formula>
    </cfRule>
  </conditionalFormatting>
  <conditionalFormatting sqref="K14:L16">
    <cfRule type="cellIs" dxfId="17" priority="1" operator="equal">
      <formula>""</formula>
    </cfRule>
  </conditionalFormatting>
  <dataValidations count="27">
    <dataValidation type="list" allowBlank="1" showInputMessage="1" showErrorMessage="1" sqref="B54:B68 B73:B85" xr:uid="{00000000-0002-0000-0600-000000000000}">
      <formula1>INDIRECT(SUBSTITUTE($A54," ","_"))</formula1>
    </dataValidation>
    <dataValidation type="list" allowBlank="1" showInputMessage="1" showErrorMessage="1" sqref="A54:A68" xr:uid="{00000000-0002-0000-0600-000001000000}">
      <formula1>líneas</formula1>
    </dataValidation>
    <dataValidation type="list" allowBlank="1" showInputMessage="1" showErrorMessage="1" sqref="C54:C68 C73:C85" xr:uid="{00000000-0002-0000-0600-000002000000}">
      <formula1>INDIRECT(SUBSTITUTE($B54," ","_"))</formula1>
    </dataValidation>
    <dataValidation type="list" allowBlank="1" showInputMessage="1" showErrorMessage="1" sqref="D54:D68" xr:uid="{00000000-0002-0000-0600-000003000000}">
      <formula1>INDIRECT(SUBSTITUTE($C54," ","_"))</formula1>
    </dataValidation>
    <dataValidation type="list" allowBlank="1" showInputMessage="1" showErrorMessage="1" sqref="M54:M68" xr:uid="{00000000-0002-0000-0600-000004000000}">
      <formula1>"x"</formula1>
    </dataValidation>
    <dataValidation type="list" allowBlank="1" showInputMessage="1" showErrorMessage="1" sqref="L6" xr:uid="{00000000-0002-0000-0600-000005000000}">
      <formula1>"2020,2021,2022,2023"</formula1>
    </dataValidation>
    <dataValidation type="list" allowBlank="1" showInputMessage="1" showErrorMessage="1" sqref="B13:B17" xr:uid="{00000000-0002-0000-0600-000006000000}">
      <formula1>INDIRECT(SUBSTITUTE($B$12," ","_"))</formula1>
    </dataValidation>
    <dataValidation type="list" allowBlank="1" showInputMessage="1" showErrorMessage="1" sqref="C13:C22" xr:uid="{00000000-0002-0000-0600-000007000000}">
      <formula1>INDIRECT(SUBSTITUTE($C$12," ","_"))</formula1>
    </dataValidation>
    <dataValidation type="list" allowBlank="1" showInputMessage="1" showErrorMessage="1" sqref="D13:D20 D22:D23" xr:uid="{00000000-0002-0000-0600-000008000000}">
      <formula1>INDIRECT(SUBSTITUTE($D$12," ","_"))</formula1>
    </dataValidation>
    <dataValidation type="list" allowBlank="1" showInputMessage="1" showErrorMessage="1" sqref="E13:E20" xr:uid="{00000000-0002-0000-0600-000009000000}">
      <formula1>INDIRECT(SUBSTITUTE($E$12," ","_"))</formula1>
    </dataValidation>
    <dataValidation type="list" allowBlank="1" showInputMessage="1" showErrorMessage="1" sqref="F13:F22" xr:uid="{00000000-0002-0000-0600-00000A000000}">
      <formula1>INDIRECT(SUBSTITUTE($F$12," ","_"))</formula1>
    </dataValidation>
    <dataValidation type="list" allowBlank="1" showInputMessage="1" showErrorMessage="1" sqref="G13:H19" xr:uid="{00000000-0002-0000-0600-00000B000000}">
      <formula1>INDIRECT(SUBSTITUTE($G$12," ","_"))</formula1>
    </dataValidation>
    <dataValidation type="list" allowBlank="1" showInputMessage="1" showErrorMessage="1" sqref="I13:J29" xr:uid="{00000000-0002-0000-0600-00000C000000}">
      <formula1>INDIRECT(SUBSTITUTE($I$12," ","_"))</formula1>
    </dataValidation>
    <dataValidation type="list" allowBlank="1" showInputMessage="1" showErrorMessage="1" sqref="K13:L24" xr:uid="{00000000-0002-0000-0600-00000D000000}">
      <formula1>INDIRECT(SUBSTITUTE($K$12," ","_"))</formula1>
    </dataValidation>
    <dataValidation type="list" allowBlank="1" showInputMessage="1" showErrorMessage="1" sqref="A35:A47" xr:uid="{00000000-0002-0000-0600-00000E000000}">
      <formula1>Embera_Chami</formula1>
    </dataValidation>
    <dataValidation type="list" allowBlank="1" showInputMessage="1" showErrorMessage="1" sqref="C35:C39" xr:uid="{00000000-0002-0000-0600-00000F000000}">
      <formula1>Zenu</formula1>
    </dataValidation>
    <dataValidation type="list" allowBlank="1" showInputMessage="1" showErrorMessage="1" sqref="G35:G36" xr:uid="{00000000-0002-0000-0600-000010000000}">
      <formula1>Afro_Aburrá_Norte</formula1>
    </dataValidation>
    <dataValidation type="list" allowBlank="1" showInputMessage="1" showErrorMessage="1" sqref="H35:H36" xr:uid="{00000000-0002-0000-0600-000011000000}">
      <formula1>Afro_Aburrá_Sur</formula1>
    </dataValidation>
    <dataValidation type="list" allowBlank="1" showInputMessage="1" showErrorMessage="1" sqref="I35:I36" xr:uid="{00000000-0002-0000-0600-000012000000}">
      <formula1>Afro_Cartama</formula1>
    </dataValidation>
    <dataValidation type="list" allowBlank="1" showInputMessage="1" showErrorMessage="1" sqref="J35:J36" xr:uid="{00000000-0002-0000-0600-000013000000}">
      <formula1>Afro_Hevéxicos</formula1>
    </dataValidation>
    <dataValidation type="list" allowBlank="1" showInputMessage="1" showErrorMessage="1" sqref="K35:K41" xr:uid="{00000000-0002-0000-0600-000014000000}">
      <formula1>Afro_Panzenú</formula1>
    </dataValidation>
    <dataValidation type="list" allowBlank="1" showInputMessage="1" showErrorMessage="1" sqref="L35:L37" xr:uid="{00000000-0002-0000-0600-000015000000}">
      <formula1>Afro_Tahamíes</formula1>
    </dataValidation>
    <dataValidation type="list" allowBlank="1" showInputMessage="1" showErrorMessage="1" sqref="M35:M40" xr:uid="{00000000-0002-0000-0600-000016000000}">
      <formula1>Afro_Zenufaná</formula1>
    </dataValidation>
    <dataValidation type="list" allowBlank="1" showInputMessage="1" showErrorMessage="1" sqref="B157:E160" xr:uid="{00000000-0002-0000-0600-000017000000}">
      <formula1>INDIRECT(SUBSTITUTE($B$156," ","_"))</formula1>
    </dataValidation>
    <dataValidation type="list" allowBlank="1" showInputMessage="1" showErrorMessage="1" sqref="F157:L164" xr:uid="{00000000-0002-0000-0600-000018000000}">
      <formula1>INDIRECT(SUBSTITUTE($F$156," ","_"))</formula1>
    </dataValidation>
    <dataValidation allowBlank="1" showInputMessage="1" showErrorMessage="1" prompt="diligencie la cantidad del personal requerido" sqref="D126:D130" xr:uid="{00000000-0002-0000-0600-000019000000}"/>
    <dataValidation allowBlank="1" showInputMessage="1" showErrorMessage="1" prompt="diligencie la cantidad de unidad de medida del valor unitario" sqref="F126:F130" xr:uid="{00000000-0002-0000-0600-00001A000000}"/>
  </dataValidations>
  <printOptions horizontalCentered="1"/>
  <pageMargins left="0.19685039370078741" right="0.19685039370078741" top="0.59055118110236227" bottom="0.59055118110236227" header="0.19685039370078741" footer="0.19685039370078741"/>
  <pageSetup scale="50" fitToHeight="0" orientation="landscape" horizontalDpi="4294967294" verticalDpi="4294967294" r:id="rId1"/>
  <headerFooter>
    <oddFooter>&amp;LPágina &amp;P de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cellIs" priority="20" operator="equal" id="{3D5597FF-FC64-4FF3-AD03-AECD0DBF7310}">
            <xm:f>Parámetros!$C$18</xm:f>
            <x14:dxf>
              <font>
                <b/>
                <i val="0"/>
                <color theme="0"/>
              </font>
              <fill>
                <patternFill>
                  <bgColor theme="4" tint="-0.499984740745262"/>
                </patternFill>
              </fill>
            </x14:dxf>
          </x14:cfRule>
          <x14:cfRule type="cellIs" priority="21" operator="equal" id="{85AFDE5D-4F8B-4E05-9A76-E734153819F2}">
            <xm:f>Parámetros!$C$17</xm:f>
            <x14:dxf>
              <font>
                <b/>
                <i val="0"/>
                <color theme="0"/>
              </font>
              <fill>
                <patternFill>
                  <bgColor theme="8" tint="-0.499984740745262"/>
                </patternFill>
              </fill>
            </x14:dxf>
          </x14:cfRule>
          <x14:cfRule type="cellIs" priority="22" operator="equal" id="{50DE31F3-086E-4F82-9D2F-6DAAC604A5D7}">
            <xm:f>Parámetros!$C$16</xm:f>
            <x14:dxf>
              <font>
                <b/>
                <i val="0"/>
                <color theme="0"/>
              </font>
              <fill>
                <patternFill>
                  <bgColor rgb="FF92D050"/>
                </patternFill>
              </fill>
            </x14:dxf>
          </x14:cfRule>
          <x14:cfRule type="cellIs" priority="23" operator="equal" id="{02DEC8BD-3997-4AC6-A8BE-98C632DCCD88}">
            <xm:f>Parámetros!$C$15</xm:f>
            <x14:dxf>
              <font>
                <b/>
                <i val="0"/>
                <color theme="0"/>
              </font>
              <fill>
                <patternFill>
                  <bgColor rgb="FF0070C0"/>
                </patternFill>
              </fill>
            </x14:dxf>
          </x14:cfRule>
          <x14:cfRule type="cellIs" priority="24" operator="equal" id="{29537E49-F360-4C65-8855-CBA2E224C363}">
            <xm:f>Parámetros!$C$14</xm:f>
            <x14:dxf>
              <font>
                <b/>
                <i val="0"/>
                <color theme="0"/>
              </font>
              <fill>
                <patternFill>
                  <bgColor theme="9" tint="-0.24994659260841701"/>
                </patternFill>
              </fill>
            </x14:dxf>
          </x14:cfRule>
          <x14:cfRule type="cellIs" priority="25" operator="equal" id="{674ABF5A-8D6C-4731-B49F-42B26CAFBDF6}">
            <xm:f>Parámetros!$C$13</xm:f>
            <x14:dxf>
              <font>
                <b/>
                <i val="0"/>
                <color theme="0"/>
              </font>
              <fill>
                <patternFill>
                  <bgColor theme="7" tint="-0.499984740745262"/>
                </patternFill>
              </fill>
            </x14:dxf>
          </x14:cfRule>
          <x14:cfRule type="cellIs" priority="26" operator="equal" id="{A199E469-17B4-4408-B4A7-72D25B7931D7}">
            <xm:f>Parámetros!$C$12</xm:f>
            <x14:dxf>
              <font>
                <b/>
                <i val="0"/>
                <color theme="0"/>
              </font>
              <fill>
                <patternFill>
                  <bgColor rgb="FFFF9933"/>
                </patternFill>
              </fill>
            </x14:dxf>
          </x14:cfRule>
          <x14:cfRule type="cellIs" priority="27" operator="equal" id="{C9F74A97-DCBB-43F9-83E9-4D87D4B68121}">
            <xm:f>Parámetros!$C$11</xm:f>
            <x14:dxf>
              <font>
                <b/>
                <i val="0"/>
                <color theme="0"/>
              </font>
              <fill>
                <patternFill>
                  <bgColor rgb="FFD60093"/>
                </patternFill>
              </fill>
            </x14:dxf>
          </x14:cfRule>
          <x14:cfRule type="cellIs" priority="28" operator="equal" id="{9B793070-F759-4A77-AE78-8DDE8B0B8C46}">
            <xm:f>Parámetros!$C$10</xm:f>
            <x14:dxf>
              <font>
                <b/>
                <i val="0"/>
                <color theme="0"/>
              </font>
              <fill>
                <patternFill>
                  <bgColor rgb="FFFF6600"/>
                </patternFill>
              </fill>
            </x14:dxf>
          </x14:cfRule>
          <x14:cfRule type="cellIs" priority="29" operator="equal" id="{29852861-4293-4A1B-B82B-4412EBB95C62}">
            <xm:f>Parámetros!$C$9</xm:f>
            <x14:dxf>
              <font>
                <b/>
                <i val="0"/>
                <color theme="0"/>
              </font>
              <fill>
                <patternFill>
                  <bgColor rgb="FFCC0000"/>
                </patternFill>
              </fill>
            </x14:dxf>
          </x14:cfRule>
          <x14:cfRule type="cellIs" priority="30" operator="equal" id="{ECAB35F6-137A-4CA2-9D0C-372E59821C8F}">
            <xm:f>Parámetros!$C$8</xm:f>
            <x14:dxf>
              <font>
                <b/>
                <i val="0"/>
                <color theme="0"/>
              </font>
              <fill>
                <patternFill>
                  <bgColor rgb="FFFFCC00"/>
                </patternFill>
              </fill>
            </x14:dxf>
          </x14:cfRule>
          <x14:cfRule type="cellIs" priority="31" operator="equal" id="{0AB2D98A-F2CD-46D9-9014-68028D73831B}">
            <xm:f>Parámetros!$C$7</xm:f>
            <x14:dxf>
              <font>
                <b/>
                <i val="0"/>
                <color theme="0"/>
              </font>
              <fill>
                <patternFill>
                  <bgColor rgb="FF00B0F0"/>
                </patternFill>
              </fill>
            </x14:dxf>
          </x14:cfRule>
          <x14:cfRule type="cellIs" priority="32" operator="equal" id="{877D2FDE-6277-4E47-8813-A30F092BA195}">
            <xm:f>Parámetros!$C$6</xm:f>
            <x14:dxf>
              <font>
                <b/>
                <i val="0"/>
                <color theme="0"/>
              </font>
              <fill>
                <patternFill>
                  <bgColor rgb="FFFF3300"/>
                </patternFill>
              </fill>
            </x14:dxf>
          </x14:cfRule>
          <x14:cfRule type="cellIs" priority="33" operator="equal" id="{9D140011-5902-45B6-9357-946C7300EE0A}">
            <xm:f>Parámetros!$C$5</xm:f>
            <x14:dxf>
              <font>
                <b/>
                <i val="0"/>
                <color theme="0"/>
              </font>
              <fill>
                <patternFill>
                  <bgColor rgb="FFC00000"/>
                </patternFill>
              </fill>
            </x14:dxf>
          </x14:cfRule>
          <x14:cfRule type="cellIs" priority="34" operator="equal" id="{CA87C7E9-92B7-45BD-BDD4-50679A64A66A}">
            <xm:f>Parámetros!$C$4</xm:f>
            <x14:dxf>
              <font>
                <b/>
                <i val="0"/>
                <color theme="0"/>
              </font>
              <fill>
                <patternFill>
                  <bgColor rgb="FF00B050"/>
                </patternFill>
              </fill>
            </x14:dxf>
          </x14:cfRule>
          <x14:cfRule type="cellIs" priority="35" operator="equal" id="{E9008EED-A093-41FA-9BA5-B5C5C5765332}">
            <xm:f>Parámetros!$C$3</xm:f>
            <x14:dxf>
              <font>
                <b/>
                <i val="0"/>
                <color theme="0"/>
              </font>
              <fill>
                <patternFill>
                  <bgColor theme="7" tint="-0.24994659260841701"/>
                </patternFill>
              </fill>
            </x14:dxf>
          </x14:cfRule>
          <x14:cfRule type="cellIs" priority="36" operator="equal" id="{F4DEABBF-4521-4B71-B871-60C95DB2457C}">
            <xm:f>Parámetros!$C$2</xm:f>
            <x14:dxf>
              <font>
                <b/>
                <i val="0"/>
                <color theme="0"/>
              </font>
              <fill>
                <patternFill>
                  <bgColor rgb="FFFF0000"/>
                </patternFill>
              </fill>
            </x14:dxf>
          </x14:cfRule>
          <xm:sqref>K4:M4</xm:sqref>
        </x14:conditionalFormatting>
      </x14:conditionalFormattings>
    </ext>
    <ext xmlns:x14="http://schemas.microsoft.com/office/spreadsheetml/2009/9/main" uri="{CCE6A557-97BC-4b89-ADB6-D9C93CAAB3DF}">
      <x14:dataValidations xmlns:xm="http://schemas.microsoft.com/office/excel/2006/main" count="29">
        <x14:dataValidation type="list" allowBlank="1" showInputMessage="1" showErrorMessage="1" xr:uid="{00000000-0002-0000-0600-00001B000000}">
          <x14:formula1>
            <xm:f>Comunidades_vs_Municipios!$B$2:$B$6</xm:f>
          </x14:formula1>
          <xm:sqref>B35:B39</xm:sqref>
        </x14:dataValidation>
        <x14:dataValidation type="list" allowBlank="1" showInputMessage="1" showErrorMessage="1" xr:uid="{00000000-0002-0000-0600-00001C000000}">
          <x14:formula1>
            <xm:f>Comunidades_vs_Municipios!$D$2:$D$4</xm:f>
          </x14:formula1>
          <xm:sqref>D35:D37</xm:sqref>
        </x14:dataValidation>
        <x14:dataValidation type="list" allowBlank="1" showInputMessage="1" showErrorMessage="1" xr:uid="{00000000-0002-0000-0600-00001D000000}">
          <x14:formula1>
            <xm:f>Parámetros!$A$2:$A$13</xm:f>
          </x14:formula1>
          <xm:sqref>B6</xm:sqref>
        </x14:dataValidation>
        <x14:dataValidation type="list" allowBlank="1" showInputMessage="1" showErrorMessage="1" xr:uid="{00000000-0002-0000-0600-00001E000000}">
          <x14:formula1>
            <xm:f>Parámetros!$B$2:$B$7</xm:f>
          </x14:formula1>
          <xm:sqref>F90:F100 F105:F121</xm:sqref>
        </x14:dataValidation>
        <x14:dataValidation type="list" allowBlank="1" showInputMessage="1" showErrorMessage="1" xr:uid="{00000000-0002-0000-0600-00001F000000}">
          <x14:formula1>
            <xm:f>Parámetros!$C$2:$C$18</xm:f>
          </x14:formula1>
          <xm:sqref>E90:E100 E105:E121 K4</xm:sqref>
        </x14:dataValidation>
        <x14:dataValidation type="list" allowBlank="1" showInputMessage="1" showErrorMessage="1" xr:uid="{00000000-0002-0000-0600-000020000000}">
          <x14:formula1>
            <xm:f>OT_vs_Municipios!$A$1</xm:f>
          </x14:formula1>
          <xm:sqref>B12</xm:sqref>
        </x14:dataValidation>
        <x14:dataValidation type="list" allowBlank="1" showInputMessage="1" showErrorMessage="1" xr:uid="{00000000-0002-0000-0600-000021000000}">
          <x14:formula1>
            <xm:f>OT_vs_Municipios!$B$1</xm:f>
          </x14:formula1>
          <xm:sqref>C12</xm:sqref>
        </x14:dataValidation>
        <x14:dataValidation type="list" allowBlank="1" showInputMessage="1" showErrorMessage="1" xr:uid="{00000000-0002-0000-0600-000022000000}">
          <x14:formula1>
            <xm:f>OT_vs_Municipios!$C$1</xm:f>
          </x14:formula1>
          <xm:sqref>D12</xm:sqref>
        </x14:dataValidation>
        <x14:dataValidation type="list" allowBlank="1" showInputMessage="1" showErrorMessage="1" xr:uid="{00000000-0002-0000-0600-000023000000}">
          <x14:formula1>
            <xm:f>OT_vs_Municipios!$D$1</xm:f>
          </x14:formula1>
          <xm:sqref>E12</xm:sqref>
        </x14:dataValidation>
        <x14:dataValidation type="list" allowBlank="1" showInputMessage="1" showErrorMessage="1" xr:uid="{00000000-0002-0000-0600-000024000000}">
          <x14:formula1>
            <xm:f>OT_vs_Municipios!$E$1</xm:f>
          </x14:formula1>
          <xm:sqref>F12</xm:sqref>
        </x14:dataValidation>
        <x14:dataValidation type="list" allowBlank="1" showInputMessage="1" showErrorMessage="1" xr:uid="{00000000-0002-0000-0600-000025000000}">
          <x14:formula1>
            <xm:f>OT_vs_Municipios!$F$1</xm:f>
          </x14:formula1>
          <xm:sqref>G12:H12</xm:sqref>
        </x14:dataValidation>
        <x14:dataValidation type="list" allowBlank="1" showInputMessage="1" showErrorMessage="1" xr:uid="{00000000-0002-0000-0600-000026000000}">
          <x14:formula1>
            <xm:f>OT_vs_Municipios!$G$1</xm:f>
          </x14:formula1>
          <xm:sqref>I12:J12</xm:sqref>
        </x14:dataValidation>
        <x14:dataValidation type="list" allowBlank="1" showInputMessage="1" showErrorMessage="1" xr:uid="{00000000-0002-0000-0600-000027000000}">
          <x14:formula1>
            <xm:f>OT_vs_Municipios!$H$1</xm:f>
          </x14:formula1>
          <xm:sqref>K12:L12</xm:sqref>
        </x14:dataValidation>
        <x14:dataValidation type="list" allowBlank="1" showInputMessage="1" showErrorMessage="1" xr:uid="{00000000-0002-0000-0600-000028000000}">
          <x14:formula1>
            <xm:f>Comunidades_vs_Municipios!$D$1</xm:f>
          </x14:formula1>
          <xm:sqref>D34</xm:sqref>
        </x14:dataValidation>
        <x14:dataValidation type="list" allowBlank="1" showInputMessage="1" showErrorMessage="1" xr:uid="{00000000-0002-0000-0600-000029000000}">
          <x14:formula1>
            <xm:f>Comunidades_vs_Municipios!$A$1</xm:f>
          </x14:formula1>
          <xm:sqref>A34</xm:sqref>
        </x14:dataValidation>
        <x14:dataValidation type="list" allowBlank="1" showInputMessage="1" showErrorMessage="1" xr:uid="{00000000-0002-0000-0600-00002A000000}">
          <x14:formula1>
            <xm:f>Comunidades_vs_Municipios!$B$1</xm:f>
          </x14:formula1>
          <xm:sqref>B34</xm:sqref>
        </x14:dataValidation>
        <x14:dataValidation type="list" allowBlank="1" showInputMessage="1" showErrorMessage="1" xr:uid="{00000000-0002-0000-0600-00002B000000}">
          <x14:formula1>
            <xm:f>Comunidades_vs_Municipios!$C$1</xm:f>
          </x14:formula1>
          <xm:sqref>C34</xm:sqref>
        </x14:dataValidation>
        <x14:dataValidation type="list" allowBlank="1" showInputMessage="1" showErrorMessage="1" xr:uid="{00000000-0002-0000-0600-00002C000000}">
          <x14:formula1>
            <xm:f>Comunidades_vs_Municipios!$G$1</xm:f>
          </x14:formula1>
          <xm:sqref>G34</xm:sqref>
        </x14:dataValidation>
        <x14:dataValidation type="list" allowBlank="1" showInputMessage="1" showErrorMessage="1" xr:uid="{00000000-0002-0000-0600-00002D000000}">
          <x14:formula1>
            <xm:f>Comunidades_vs_Municipios!$H$1</xm:f>
          </x14:formula1>
          <xm:sqref>H34</xm:sqref>
        </x14:dataValidation>
        <x14:dataValidation type="list" allowBlank="1" showInputMessage="1" showErrorMessage="1" xr:uid="{00000000-0002-0000-0600-00002E000000}">
          <x14:formula1>
            <xm:f>Comunidades_vs_Municipios!$I$1</xm:f>
          </x14:formula1>
          <xm:sqref>I34</xm:sqref>
        </x14:dataValidation>
        <x14:dataValidation type="list" allowBlank="1" showInputMessage="1" showErrorMessage="1" xr:uid="{00000000-0002-0000-0600-00002F000000}">
          <x14:formula1>
            <xm:f>Comunidades_vs_Municipios!$J$1</xm:f>
          </x14:formula1>
          <xm:sqref>J34</xm:sqref>
        </x14:dataValidation>
        <x14:dataValidation type="list" allowBlank="1" showInputMessage="1" showErrorMessage="1" xr:uid="{00000000-0002-0000-0600-000030000000}">
          <x14:formula1>
            <xm:f>Comunidades_vs_Municipios!$K$1</xm:f>
          </x14:formula1>
          <xm:sqref>K34</xm:sqref>
        </x14:dataValidation>
        <x14:dataValidation type="list" allowBlank="1" showInputMessage="1" showErrorMessage="1" xr:uid="{00000000-0002-0000-0600-000031000000}">
          <x14:formula1>
            <xm:f>Comunidades_vs_Municipios!$L$1</xm:f>
          </x14:formula1>
          <xm:sqref>L34</xm:sqref>
        </x14:dataValidation>
        <x14:dataValidation type="list" allowBlank="1" showInputMessage="1" showErrorMessage="1" xr:uid="{00000000-0002-0000-0600-000032000000}">
          <x14:formula1>
            <xm:f>Comunidades_vs_Municipios!$M$1</xm:f>
          </x14:formula1>
          <xm:sqref>M34</xm:sqref>
        </x14:dataValidation>
        <x14:dataValidation type="list" allowBlank="1" showInputMessage="1" showErrorMessage="1" xr:uid="{00000000-0002-0000-0600-000033000000}">
          <x14:formula1>
            <xm:f>Política_inclusión_social!$B$1</xm:f>
          </x14:formula1>
          <xm:sqref>B156:E156</xm:sqref>
        </x14:dataValidation>
        <x14:dataValidation type="list" allowBlank="1" showInputMessage="1" showErrorMessage="1" xr:uid="{00000000-0002-0000-0600-000034000000}">
          <x14:formula1>
            <xm:f>Política_inclusión_social!$C$1</xm:f>
          </x14:formula1>
          <xm:sqref>F156:L156</xm:sqref>
        </x14:dataValidation>
        <x14:dataValidation type="list" allowBlank="1" showInputMessage="1" showErrorMessage="1" xr:uid="{00000000-0002-0000-0600-000035000000}">
          <x14:formula1>
            <xm:f>Comunidades_vs_Municipios!$E$1</xm:f>
          </x14:formula1>
          <xm:sqref>E34</xm:sqref>
        </x14:dataValidation>
        <x14:dataValidation type="list" allowBlank="1" showInputMessage="1" showErrorMessage="1" xr:uid="{00000000-0002-0000-0600-000036000000}">
          <x14:formula1>
            <xm:f>Comunidades_vs_Municipios!$E$2:$E$3</xm:f>
          </x14:formula1>
          <xm:sqref>E35:E36</xm:sqref>
        </x14:dataValidation>
        <x14:dataValidation type="list" allowBlank="1" showInputMessage="1" showErrorMessage="1" xr:uid="{00000000-0002-0000-0600-000037000000}">
          <x14:formula1>
            <xm:f>Párametros_programas_proyectos!$A$2:$A$6</xm:f>
          </x14:formula1>
          <xm:sqref>A73:A85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4"/>
  <dimension ref="A1:H18"/>
  <sheetViews>
    <sheetView showGridLines="0" workbookViewId="0">
      <selection activeCell="A2" sqref="A2:A6"/>
    </sheetView>
  </sheetViews>
  <sheetFormatPr baseColWidth="10" defaultRowHeight="15.75"/>
  <cols>
    <col min="1" max="8" width="23.5" style="981" customWidth="1"/>
    <col min="9" max="16384" width="11" style="981"/>
  </cols>
  <sheetData>
    <row r="1" spans="1:8">
      <c r="A1" s="982" t="s">
        <v>1811</v>
      </c>
      <c r="B1" s="982" t="s">
        <v>1812</v>
      </c>
      <c r="C1" s="986" t="s">
        <v>1813</v>
      </c>
      <c r="D1" s="982" t="s">
        <v>1814</v>
      </c>
      <c r="E1" s="982" t="s">
        <v>1900</v>
      </c>
      <c r="F1" s="982" t="s">
        <v>1816</v>
      </c>
      <c r="G1" s="982" t="s">
        <v>1815</v>
      </c>
      <c r="H1" s="982" t="s">
        <v>1817</v>
      </c>
    </row>
    <row r="2" spans="1:8">
      <c r="A2" s="985" t="s">
        <v>1818</v>
      </c>
      <c r="B2" s="985" t="s">
        <v>1823</v>
      </c>
      <c r="C2" s="987" t="s">
        <v>1833</v>
      </c>
      <c r="D2" s="985" t="s">
        <v>1844</v>
      </c>
      <c r="E2" s="983" t="s">
        <v>1852</v>
      </c>
      <c r="F2" s="985" t="s">
        <v>1862</v>
      </c>
      <c r="G2" s="983" t="s">
        <v>1869</v>
      </c>
      <c r="H2" s="983" t="s">
        <v>1886</v>
      </c>
    </row>
    <row r="3" spans="1:8">
      <c r="A3" s="985" t="s">
        <v>1819</v>
      </c>
      <c r="B3" s="985" t="s">
        <v>1824</v>
      </c>
      <c r="C3" s="987" t="s">
        <v>1834</v>
      </c>
      <c r="D3" s="985" t="s">
        <v>1845</v>
      </c>
      <c r="E3" s="983" t="s">
        <v>1853</v>
      </c>
      <c r="F3" s="985" t="s">
        <v>1863</v>
      </c>
      <c r="G3" s="983" t="s">
        <v>1870</v>
      </c>
      <c r="H3" s="983" t="s">
        <v>1887</v>
      </c>
    </row>
    <row r="4" spans="1:8">
      <c r="A4" s="985" t="s">
        <v>1820</v>
      </c>
      <c r="B4" s="985" t="s">
        <v>1825</v>
      </c>
      <c r="C4" s="987" t="s">
        <v>1835</v>
      </c>
      <c r="D4" s="985" t="s">
        <v>1846</v>
      </c>
      <c r="E4" s="983" t="s">
        <v>1854</v>
      </c>
      <c r="F4" s="985" t="s">
        <v>1864</v>
      </c>
      <c r="G4" s="983" t="s">
        <v>1871</v>
      </c>
      <c r="H4" s="983" t="s">
        <v>1888</v>
      </c>
    </row>
    <row r="5" spans="1:8">
      <c r="A5" s="985" t="s">
        <v>1821</v>
      </c>
      <c r="B5" s="985" t="s">
        <v>1826</v>
      </c>
      <c r="C5" s="987" t="s">
        <v>1836</v>
      </c>
      <c r="D5" s="985" t="s">
        <v>1847</v>
      </c>
      <c r="E5" s="983" t="s">
        <v>1855</v>
      </c>
      <c r="F5" s="985" t="s">
        <v>1865</v>
      </c>
      <c r="G5" s="983" t="s">
        <v>1872</v>
      </c>
      <c r="H5" s="983" t="s">
        <v>1889</v>
      </c>
    </row>
    <row r="6" spans="1:8">
      <c r="A6" s="985" t="s">
        <v>1822</v>
      </c>
      <c r="B6" s="985" t="s">
        <v>1827</v>
      </c>
      <c r="C6" s="987" t="s">
        <v>1837</v>
      </c>
      <c r="D6" s="985" t="s">
        <v>1848</v>
      </c>
      <c r="E6" s="983" t="s">
        <v>1856</v>
      </c>
      <c r="F6" s="985" t="s">
        <v>1866</v>
      </c>
      <c r="G6" s="983" t="s">
        <v>1873</v>
      </c>
      <c r="H6" s="983" t="s">
        <v>1890</v>
      </c>
    </row>
    <row r="7" spans="1:8">
      <c r="B7" s="985" t="s">
        <v>1828</v>
      </c>
      <c r="C7" s="987" t="s">
        <v>1838</v>
      </c>
      <c r="D7" s="985" t="s">
        <v>1849</v>
      </c>
      <c r="E7" s="983" t="s">
        <v>1857</v>
      </c>
      <c r="F7" s="985" t="s">
        <v>1867</v>
      </c>
      <c r="G7" s="983" t="s">
        <v>1874</v>
      </c>
      <c r="H7" s="983" t="s">
        <v>1891</v>
      </c>
    </row>
    <row r="8" spans="1:8">
      <c r="B8" s="985" t="s">
        <v>1829</v>
      </c>
      <c r="C8" s="987" t="s">
        <v>1839</v>
      </c>
      <c r="D8" s="985" t="s">
        <v>1850</v>
      </c>
      <c r="E8" s="983" t="s">
        <v>1858</v>
      </c>
      <c r="F8" s="985" t="s">
        <v>1868</v>
      </c>
      <c r="G8" s="983" t="s">
        <v>1875</v>
      </c>
      <c r="H8" s="983" t="s">
        <v>1892</v>
      </c>
    </row>
    <row r="9" spans="1:8">
      <c r="B9" s="985" t="s">
        <v>1830</v>
      </c>
      <c r="C9" s="987" t="s">
        <v>1840</v>
      </c>
      <c r="D9" s="985" t="s">
        <v>1851</v>
      </c>
      <c r="E9" s="983" t="s">
        <v>1859</v>
      </c>
      <c r="F9" s="984"/>
      <c r="G9" s="983" t="s">
        <v>1876</v>
      </c>
      <c r="H9" s="983" t="s">
        <v>1893</v>
      </c>
    </row>
    <row r="10" spans="1:8">
      <c r="B10" s="985" t="s">
        <v>1831</v>
      </c>
      <c r="C10" s="987" t="s">
        <v>1841</v>
      </c>
      <c r="D10" s="984"/>
      <c r="E10" s="983" t="s">
        <v>1860</v>
      </c>
      <c r="F10" s="984"/>
      <c r="G10" s="983" t="s">
        <v>1877</v>
      </c>
      <c r="H10" s="983" t="s">
        <v>1894</v>
      </c>
    </row>
    <row r="11" spans="1:8">
      <c r="B11" s="985" t="s">
        <v>1832</v>
      </c>
      <c r="C11" s="987" t="s">
        <v>1842</v>
      </c>
      <c r="D11" s="984"/>
      <c r="E11" s="983" t="s">
        <v>1861</v>
      </c>
      <c r="F11" s="984"/>
      <c r="G11" s="983" t="s">
        <v>1878</v>
      </c>
      <c r="H11" s="983" t="s">
        <v>1895</v>
      </c>
    </row>
    <row r="12" spans="1:8">
      <c r="B12" s="984"/>
      <c r="C12" s="987" t="s">
        <v>1843</v>
      </c>
      <c r="D12" s="984"/>
      <c r="E12" s="984"/>
      <c r="F12" s="984"/>
      <c r="G12" s="983" t="s">
        <v>1879</v>
      </c>
      <c r="H12" s="983" t="s">
        <v>1896</v>
      </c>
    </row>
    <row r="13" spans="1:8">
      <c r="B13" s="984"/>
      <c r="C13" s="984"/>
      <c r="D13" s="984"/>
      <c r="E13" s="984"/>
      <c r="F13" s="984"/>
      <c r="G13" s="983" t="s">
        <v>1880</v>
      </c>
      <c r="H13" s="983" t="s">
        <v>1897</v>
      </c>
    </row>
    <row r="14" spans="1:8">
      <c r="B14" s="984"/>
      <c r="C14" s="984"/>
      <c r="D14" s="984"/>
      <c r="E14" s="984"/>
      <c r="F14" s="984"/>
      <c r="G14" s="983" t="s">
        <v>1881</v>
      </c>
      <c r="H14" s="984"/>
    </row>
    <row r="15" spans="1:8">
      <c r="B15" s="984"/>
      <c r="C15" s="984"/>
      <c r="D15" s="984"/>
      <c r="E15" s="984"/>
      <c r="F15" s="984"/>
      <c r="G15" s="983" t="s">
        <v>1882</v>
      </c>
      <c r="H15" s="984"/>
    </row>
    <row r="16" spans="1:8">
      <c r="G16" s="983" t="s">
        <v>1883</v>
      </c>
    </row>
    <row r="17" spans="7:7">
      <c r="G17" s="983" t="s">
        <v>1884</v>
      </c>
    </row>
    <row r="18" spans="7:7">
      <c r="G18" s="983" t="s">
        <v>1885</v>
      </c>
    </row>
  </sheetData>
  <pageMargins left="0.7" right="0.7" top="0.75" bottom="0.75" header="0.3" footer="0.3"/>
  <pageSetup orientation="portrait" verticalDpi="599"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5"/>
  <dimension ref="A1:M18"/>
  <sheetViews>
    <sheetView showGridLines="0" workbookViewId="0">
      <selection activeCell="D9" sqref="D9"/>
    </sheetView>
  </sheetViews>
  <sheetFormatPr baseColWidth="10" defaultColWidth="9" defaultRowHeight="12.75"/>
  <cols>
    <col min="1" max="1" width="11.5" style="984" bestFit="1" customWidth="1"/>
    <col min="2" max="2" width="11.625" style="984" bestFit="1" customWidth="1"/>
    <col min="3" max="3" width="7.125" style="984" bestFit="1" customWidth="1"/>
    <col min="4" max="4" width="28.625" style="984" customWidth="1"/>
    <col min="5" max="5" width="19" style="984" customWidth="1"/>
    <col min="6" max="6" width="9.625" style="995" bestFit="1" customWidth="1"/>
    <col min="7" max="7" width="12.375" style="984" bestFit="1" customWidth="1"/>
    <col min="8" max="8" width="11.125" style="984" bestFit="1" customWidth="1"/>
    <col min="9" max="9" width="9.5" style="984" bestFit="1" customWidth="1"/>
    <col min="10" max="10" width="11.125" style="984" bestFit="1" customWidth="1"/>
    <col min="11" max="11" width="9.625" style="984" bestFit="1" customWidth="1"/>
    <col min="12" max="12" width="13" style="984" bestFit="1" customWidth="1"/>
    <col min="13" max="13" width="10.25" style="984" bestFit="1" customWidth="1"/>
    <col min="14" max="16384" width="9" style="984"/>
  </cols>
  <sheetData>
    <row r="1" spans="1:13" s="994" customFormat="1" ht="18" customHeight="1" thickBot="1">
      <c r="A1" s="1072" t="s">
        <v>1950</v>
      </c>
      <c r="B1" s="1073" t="s">
        <v>1954</v>
      </c>
      <c r="C1" s="1074" t="s">
        <v>1951</v>
      </c>
      <c r="D1" s="1075" t="s">
        <v>1901</v>
      </c>
      <c r="E1" s="1073" t="s">
        <v>1955</v>
      </c>
      <c r="G1" s="1005" t="s">
        <v>1906</v>
      </c>
      <c r="H1" s="1006" t="s">
        <v>1907</v>
      </c>
      <c r="I1" s="1006" t="s">
        <v>1908</v>
      </c>
      <c r="J1" s="1006" t="s">
        <v>1917</v>
      </c>
      <c r="K1" s="1006" t="s">
        <v>1904</v>
      </c>
      <c r="L1" s="1006" t="s">
        <v>1905</v>
      </c>
      <c r="M1" s="1007" t="s">
        <v>1909</v>
      </c>
    </row>
    <row r="2" spans="1:13" s="994" customFormat="1" ht="18" customHeight="1">
      <c r="A2" s="991" t="s">
        <v>1844</v>
      </c>
      <c r="B2" s="991" t="s">
        <v>1864</v>
      </c>
      <c r="C2" s="999" t="s">
        <v>1862</v>
      </c>
      <c r="D2" s="991" t="s">
        <v>1879</v>
      </c>
      <c r="E2" s="991" t="s">
        <v>1868</v>
      </c>
      <c r="G2" s="1003" t="s">
        <v>1821</v>
      </c>
      <c r="H2" s="1003" t="s">
        <v>1829</v>
      </c>
      <c r="I2" s="1004" t="s">
        <v>1902</v>
      </c>
      <c r="J2" s="1003" t="s">
        <v>1861</v>
      </c>
      <c r="K2" s="1003" t="s">
        <v>1864</v>
      </c>
      <c r="L2" s="1003" t="s">
        <v>1871</v>
      </c>
      <c r="M2" s="1004" t="s">
        <v>1903</v>
      </c>
    </row>
    <row r="3" spans="1:13" s="994" customFormat="1" ht="18" customHeight="1">
      <c r="A3" s="992" t="s">
        <v>1870</v>
      </c>
      <c r="B3" s="992" t="s">
        <v>1879</v>
      </c>
      <c r="C3" s="998" t="s">
        <v>1863</v>
      </c>
      <c r="D3" s="991" t="s">
        <v>1952</v>
      </c>
      <c r="E3" s="992"/>
      <c r="G3" s="992"/>
      <c r="H3" s="992"/>
      <c r="I3" s="992"/>
      <c r="J3" s="992"/>
      <c r="K3" s="1001" t="s">
        <v>1863</v>
      </c>
      <c r="L3" s="1002" t="s">
        <v>1883</v>
      </c>
      <c r="M3" s="1001" t="s">
        <v>1891</v>
      </c>
    </row>
    <row r="4" spans="1:13" s="994" customFormat="1" ht="18" customHeight="1">
      <c r="A4" s="992" t="s">
        <v>1862</v>
      </c>
      <c r="B4" s="992" t="s">
        <v>1890</v>
      </c>
      <c r="C4" s="998" t="s">
        <v>1864</v>
      </c>
      <c r="D4" s="992"/>
      <c r="E4" s="997"/>
      <c r="K4" s="1001" t="s">
        <v>1865</v>
      </c>
      <c r="L4" s="992"/>
      <c r="M4" s="1001" t="s">
        <v>1892</v>
      </c>
    </row>
    <row r="5" spans="1:13" s="994" customFormat="1" ht="18" customHeight="1">
      <c r="A5" s="992" t="s">
        <v>1847</v>
      </c>
      <c r="B5" s="992" t="s">
        <v>1866</v>
      </c>
      <c r="C5" s="998" t="s">
        <v>1868</v>
      </c>
      <c r="K5" s="1001" t="s">
        <v>1868</v>
      </c>
      <c r="M5" s="1001" t="s">
        <v>1893</v>
      </c>
    </row>
    <row r="6" spans="1:13" s="994" customFormat="1" ht="18" customHeight="1">
      <c r="A6" s="992" t="s">
        <v>1850</v>
      </c>
      <c r="B6" s="992"/>
      <c r="C6" s="998"/>
      <c r="D6" s="997"/>
      <c r="E6" s="997"/>
      <c r="K6" s="1001" t="s">
        <v>1866</v>
      </c>
      <c r="M6" s="1001" t="s">
        <v>1897</v>
      </c>
    </row>
    <row r="7" spans="1:13" s="994" customFormat="1" ht="18" customHeight="1">
      <c r="A7" s="992" t="s">
        <v>1953</v>
      </c>
      <c r="B7" s="1071"/>
      <c r="C7" s="997"/>
      <c r="D7" s="997"/>
      <c r="E7" s="997"/>
      <c r="K7" s="1001" t="s">
        <v>1862</v>
      </c>
      <c r="M7" s="992"/>
    </row>
    <row r="8" spans="1:13" s="994" customFormat="1" ht="18" customHeight="1">
      <c r="A8" s="992" t="s">
        <v>1890</v>
      </c>
      <c r="B8" s="997"/>
      <c r="C8" s="997"/>
      <c r="D8" s="997"/>
      <c r="E8" s="997"/>
      <c r="F8" s="1000"/>
      <c r="K8" s="992"/>
    </row>
    <row r="9" spans="1:13" s="994" customFormat="1" ht="18" customHeight="1">
      <c r="A9" s="992" t="s">
        <v>1892</v>
      </c>
      <c r="B9" s="997"/>
      <c r="C9" s="997"/>
      <c r="D9" s="997"/>
      <c r="E9" s="997"/>
      <c r="F9" s="997"/>
    </row>
    <row r="10" spans="1:13" s="994" customFormat="1" ht="18" customHeight="1">
      <c r="A10" s="992" t="s">
        <v>1893</v>
      </c>
      <c r="B10" s="997"/>
      <c r="C10" s="997"/>
      <c r="D10" s="997"/>
      <c r="E10" s="997"/>
      <c r="F10" s="997"/>
    </row>
    <row r="11" spans="1:13" s="994" customFormat="1" ht="18" customHeight="1">
      <c r="A11" s="992" t="s">
        <v>1840</v>
      </c>
      <c r="B11" s="997"/>
      <c r="C11" s="997"/>
      <c r="D11" s="997"/>
      <c r="E11" s="997"/>
      <c r="F11" s="997"/>
    </row>
    <row r="12" spans="1:13" s="994" customFormat="1" ht="18" customHeight="1">
      <c r="A12" s="992" t="s">
        <v>1842</v>
      </c>
      <c r="B12" s="997"/>
      <c r="C12" s="997"/>
      <c r="D12" s="997"/>
      <c r="E12" s="997"/>
      <c r="F12" s="997"/>
    </row>
    <row r="13" spans="1:13" s="994" customFormat="1" ht="18" customHeight="1">
      <c r="A13" s="992" t="s">
        <v>1894</v>
      </c>
      <c r="B13" s="997"/>
      <c r="C13" s="997"/>
      <c r="D13" s="997"/>
      <c r="E13" s="997"/>
      <c r="F13" s="1000"/>
    </row>
    <row r="14" spans="1:13" s="994" customFormat="1" ht="18" customHeight="1">
      <c r="A14" s="992" t="s">
        <v>1868</v>
      </c>
      <c r="B14" s="997"/>
      <c r="C14" s="997"/>
      <c r="D14" s="997"/>
      <c r="E14" s="997"/>
      <c r="F14" s="1000"/>
    </row>
    <row r="15" spans="1:13" s="994" customFormat="1" ht="18" customHeight="1">
      <c r="A15" s="992"/>
      <c r="B15" s="997"/>
      <c r="C15" s="997"/>
      <c r="D15" s="997"/>
      <c r="E15" s="997"/>
      <c r="F15" s="1000"/>
    </row>
    <row r="16" spans="1:13">
      <c r="F16" s="1000"/>
    </row>
    <row r="17" spans="6:6">
      <c r="F17" s="1000"/>
    </row>
    <row r="18" spans="6:6">
      <c r="F18" s="1000"/>
    </row>
  </sheetData>
  <sortState xmlns:xlrd2="http://schemas.microsoft.com/office/spreadsheetml/2017/richdata2" ref="D2:D5">
    <sortCondition ref="D2:D5"/>
  </sortState>
  <pageMargins left="0.7" right="0.7" top="0.75" bottom="0.75" header="0.3" footer="0.3"/>
  <pageSetup orientation="portrait" verticalDpi="599"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3"/>
  <dimension ref="A1:C18"/>
  <sheetViews>
    <sheetView showGridLines="0" workbookViewId="0">
      <selection activeCell="B25" sqref="B25"/>
    </sheetView>
  </sheetViews>
  <sheetFormatPr baseColWidth="10" defaultRowHeight="15.75"/>
  <cols>
    <col min="1" max="1" width="29.375" customWidth="1"/>
    <col min="2" max="2" width="46.5" customWidth="1"/>
    <col min="3" max="3" width="43.5" customWidth="1"/>
  </cols>
  <sheetData>
    <row r="1" spans="1:3">
      <c r="A1" s="754" t="s">
        <v>1748</v>
      </c>
      <c r="B1" s="754" t="s">
        <v>1784</v>
      </c>
      <c r="C1" s="776" t="s">
        <v>1782</v>
      </c>
    </row>
    <row r="2" spans="1:3">
      <c r="A2" s="752" t="s">
        <v>1749</v>
      </c>
      <c r="B2" s="777" t="s">
        <v>1785</v>
      </c>
      <c r="C2" s="1042" t="s">
        <v>1791</v>
      </c>
    </row>
    <row r="3" spans="1:3">
      <c r="A3" s="753" t="s">
        <v>1042</v>
      </c>
      <c r="B3" s="778" t="s">
        <v>1786</v>
      </c>
      <c r="C3" s="1043" t="s">
        <v>1792</v>
      </c>
    </row>
    <row r="4" spans="1:3" ht="15.75" customHeight="1">
      <c r="A4" s="753" t="s">
        <v>878</v>
      </c>
      <c r="B4" s="778" t="s">
        <v>1787</v>
      </c>
      <c r="C4" s="1044" t="s">
        <v>1793</v>
      </c>
    </row>
    <row r="5" spans="1:3">
      <c r="A5" s="753" t="s">
        <v>832</v>
      </c>
      <c r="B5" s="778" t="s">
        <v>1788</v>
      </c>
      <c r="C5" s="1045" t="s">
        <v>1794</v>
      </c>
    </row>
    <row r="6" spans="1:3">
      <c r="A6" s="753" t="s">
        <v>890</v>
      </c>
      <c r="B6" s="778" t="s">
        <v>1789</v>
      </c>
      <c r="C6" s="1046" t="s">
        <v>1795</v>
      </c>
    </row>
    <row r="7" spans="1:3">
      <c r="A7" s="752" t="s">
        <v>900</v>
      </c>
      <c r="B7" s="777" t="s">
        <v>1790</v>
      </c>
      <c r="C7" s="1047" t="s">
        <v>1796</v>
      </c>
    </row>
    <row r="8" spans="1:3">
      <c r="A8" s="752" t="s">
        <v>1366</v>
      </c>
      <c r="B8" s="777"/>
      <c r="C8" s="1048" t="s">
        <v>1797</v>
      </c>
    </row>
    <row r="9" spans="1:3">
      <c r="A9" s="752" t="s">
        <v>1157</v>
      </c>
      <c r="B9" s="777"/>
      <c r="C9" s="1049" t="s">
        <v>1798</v>
      </c>
    </row>
    <row r="10" spans="1:3">
      <c r="A10" s="752" t="s">
        <v>1371</v>
      </c>
      <c r="B10" s="777"/>
      <c r="C10" s="1050" t="s">
        <v>1799</v>
      </c>
    </row>
    <row r="11" spans="1:3">
      <c r="A11" s="752" t="s">
        <v>1750</v>
      </c>
      <c r="B11" s="777"/>
      <c r="C11" s="1051" t="s">
        <v>1800</v>
      </c>
    </row>
    <row r="12" spans="1:3">
      <c r="A12" s="752" t="s">
        <v>1394</v>
      </c>
      <c r="B12" s="777"/>
      <c r="C12" s="1052" t="s">
        <v>1801</v>
      </c>
    </row>
    <row r="13" spans="1:3">
      <c r="A13" s="752" t="s">
        <v>1348</v>
      </c>
      <c r="B13" s="777"/>
      <c r="C13" s="1053" t="s">
        <v>1802</v>
      </c>
    </row>
    <row r="14" spans="1:3">
      <c r="C14" s="1054" t="s">
        <v>1803</v>
      </c>
    </row>
    <row r="15" spans="1:3">
      <c r="C15" s="1055" t="s">
        <v>1804</v>
      </c>
    </row>
    <row r="16" spans="1:3">
      <c r="C16" s="1056" t="s">
        <v>1805</v>
      </c>
    </row>
    <row r="17" spans="3:3">
      <c r="C17" s="1057" t="s">
        <v>1806</v>
      </c>
    </row>
    <row r="18" spans="3:3">
      <c r="C18" s="1058" t="s">
        <v>1807</v>
      </c>
    </row>
  </sheetData>
  <dataValidations count="1">
    <dataValidation type="list" allowBlank="1" showInputMessage="1" showErrorMessage="1" sqref="A5" xr:uid="{00000000-0002-0000-0900-000000000000}">
      <formula1>$E$7:$E$57</formula1>
    </dataValidation>
  </dataValidations>
  <pageMargins left="0.7" right="0.7" top="0.75" bottom="0.75" header="0.3" footer="0.3"/>
  <pageSetup orientation="portrait" verticalDpi="599"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9"/>
  <sheetViews>
    <sheetView showGridLines="0" workbookViewId="0">
      <selection activeCell="C2" sqref="C2:C9"/>
    </sheetView>
  </sheetViews>
  <sheetFormatPr baseColWidth="10" defaultRowHeight="15.75"/>
  <cols>
    <col min="1" max="1" width="15.375" style="1059" customWidth="1"/>
    <col min="2" max="3" width="54.625" style="1059" customWidth="1"/>
    <col min="4" max="16384" width="11" style="1059"/>
  </cols>
  <sheetData>
    <row r="1" spans="1:3" ht="32.25" customHeight="1" thickBot="1">
      <c r="A1" s="1060" t="s">
        <v>1930</v>
      </c>
      <c r="B1" s="1061" t="s">
        <v>1946</v>
      </c>
      <c r="C1" s="1061" t="s">
        <v>1947</v>
      </c>
    </row>
    <row r="2" spans="1:3" ht="63">
      <c r="A2" s="1060" t="s">
        <v>1931</v>
      </c>
      <c r="B2" s="1065" t="s">
        <v>1933</v>
      </c>
      <c r="C2" s="1062" t="s">
        <v>1938</v>
      </c>
    </row>
    <row r="3" spans="1:3" ht="78.75">
      <c r="B3" s="1066" t="s">
        <v>1932</v>
      </c>
      <c r="C3" s="1063" t="s">
        <v>1939</v>
      </c>
    </row>
    <row r="4" spans="1:3" ht="94.5">
      <c r="B4" s="1066" t="s">
        <v>1934</v>
      </c>
      <c r="C4" s="1063" t="s">
        <v>1940</v>
      </c>
    </row>
    <row r="5" spans="1:3" ht="48" thickBot="1">
      <c r="B5" s="1067" t="s">
        <v>1937</v>
      </c>
      <c r="C5" s="1063" t="s">
        <v>1941</v>
      </c>
    </row>
    <row r="6" spans="1:3" ht="47.25">
      <c r="C6" s="1063" t="s">
        <v>1942</v>
      </c>
    </row>
    <row r="7" spans="1:3" ht="47.25">
      <c r="C7" s="1063" t="s">
        <v>1943</v>
      </c>
    </row>
    <row r="8" spans="1:3" ht="78.75">
      <c r="C8" s="1063" t="s">
        <v>1944</v>
      </c>
    </row>
    <row r="9" spans="1:3" ht="63.75" thickBot="1">
      <c r="C9" s="1064" t="s">
        <v>1945</v>
      </c>
    </row>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7"/>
  <dimension ref="A1:S21"/>
  <sheetViews>
    <sheetView showGridLines="0" topLeftCell="I1" workbookViewId="0">
      <selection activeCell="C7" sqref="C7"/>
    </sheetView>
  </sheetViews>
  <sheetFormatPr baseColWidth="10" defaultRowHeight="15.75"/>
  <cols>
    <col min="1" max="1" width="38.25" customWidth="1"/>
    <col min="2" max="19" width="17" customWidth="1"/>
  </cols>
  <sheetData>
    <row r="1" spans="1:19" ht="89.25">
      <c r="A1" s="261" t="s">
        <v>87</v>
      </c>
      <c r="B1" s="273" t="s">
        <v>655</v>
      </c>
      <c r="C1" s="273" t="s">
        <v>656</v>
      </c>
      <c r="D1" s="273" t="s">
        <v>657</v>
      </c>
      <c r="E1" s="273" t="s">
        <v>670</v>
      </c>
      <c r="F1" s="274" t="s">
        <v>658</v>
      </c>
      <c r="G1" s="274" t="s">
        <v>659</v>
      </c>
      <c r="H1" s="274" t="s">
        <v>660</v>
      </c>
      <c r="I1" s="273" t="s">
        <v>662</v>
      </c>
      <c r="J1" s="273" t="s">
        <v>663</v>
      </c>
      <c r="K1" s="274" t="s">
        <v>664</v>
      </c>
      <c r="L1" s="273" t="s">
        <v>665</v>
      </c>
      <c r="M1" s="273" t="s">
        <v>671</v>
      </c>
      <c r="N1" s="271" t="s">
        <v>667</v>
      </c>
      <c r="O1" s="272" t="s">
        <v>668</v>
      </c>
      <c r="P1" s="272" t="s">
        <v>675</v>
      </c>
      <c r="Q1" s="272" t="s">
        <v>672</v>
      </c>
      <c r="R1" s="272" t="s">
        <v>669</v>
      </c>
      <c r="S1" s="271" t="s">
        <v>673</v>
      </c>
    </row>
    <row r="2" spans="1:19" ht="102">
      <c r="A2" s="35" t="s">
        <v>655</v>
      </c>
      <c r="B2" s="246" t="s">
        <v>677</v>
      </c>
      <c r="C2" s="246" t="s">
        <v>682</v>
      </c>
      <c r="D2" s="277" t="s">
        <v>1772</v>
      </c>
      <c r="E2" s="120" t="s">
        <v>1727</v>
      </c>
      <c r="F2" s="119" t="s">
        <v>689</v>
      </c>
      <c r="G2" s="120" t="s">
        <v>690</v>
      </c>
      <c r="H2" s="238" t="s">
        <v>691</v>
      </c>
      <c r="I2" s="120" t="s">
        <v>693</v>
      </c>
      <c r="J2" s="10" t="s">
        <v>695</v>
      </c>
      <c r="K2" s="279" t="s">
        <v>697</v>
      </c>
      <c r="L2" s="35" t="s">
        <v>702</v>
      </c>
      <c r="M2" s="10" t="s">
        <v>703</v>
      </c>
      <c r="N2" s="120" t="s">
        <v>704</v>
      </c>
      <c r="O2" s="120" t="s">
        <v>705</v>
      </c>
      <c r="P2" s="278" t="s">
        <v>709</v>
      </c>
      <c r="Q2" s="278" t="s">
        <v>712</v>
      </c>
      <c r="R2" s="120" t="s">
        <v>716</v>
      </c>
      <c r="S2" s="277" t="s">
        <v>718</v>
      </c>
    </row>
    <row r="3" spans="1:19" ht="127.5">
      <c r="A3" s="35" t="s">
        <v>656</v>
      </c>
      <c r="B3" s="277" t="s">
        <v>678</v>
      </c>
      <c r="C3" s="246" t="s">
        <v>683</v>
      </c>
      <c r="D3" s="277" t="s">
        <v>686</v>
      </c>
      <c r="E3" s="120" t="s">
        <v>687</v>
      </c>
      <c r="H3" s="278" t="s">
        <v>692</v>
      </c>
      <c r="I3" s="120" t="s">
        <v>694</v>
      </c>
      <c r="J3" s="48" t="s">
        <v>736</v>
      </c>
      <c r="K3" s="32" t="s">
        <v>737</v>
      </c>
      <c r="O3" s="120" t="s">
        <v>706</v>
      </c>
      <c r="P3" s="119" t="s">
        <v>740</v>
      </c>
      <c r="Q3" s="119" t="s">
        <v>741</v>
      </c>
      <c r="R3" s="277" t="s">
        <v>717</v>
      </c>
      <c r="S3" s="120" t="s">
        <v>719</v>
      </c>
    </row>
    <row r="4" spans="1:19" ht="89.25">
      <c r="A4" s="35" t="s">
        <v>657</v>
      </c>
      <c r="B4" s="246" t="s">
        <v>679</v>
      </c>
      <c r="C4" s="277" t="s">
        <v>684</v>
      </c>
      <c r="E4" s="120" t="s">
        <v>688</v>
      </c>
      <c r="K4" s="10" t="s">
        <v>699</v>
      </c>
      <c r="O4" s="119" t="s">
        <v>707</v>
      </c>
      <c r="P4" s="278" t="s">
        <v>711</v>
      </c>
      <c r="Q4" s="119" t="s">
        <v>714</v>
      </c>
      <c r="S4" s="277" t="s">
        <v>720</v>
      </c>
    </row>
    <row r="5" spans="1:19" ht="127.5">
      <c r="A5" s="10" t="s">
        <v>670</v>
      </c>
      <c r="B5" s="246" t="s">
        <v>680</v>
      </c>
      <c r="K5" s="32" t="s">
        <v>700</v>
      </c>
      <c r="O5" s="278" t="s">
        <v>708</v>
      </c>
      <c r="Q5" s="278" t="s">
        <v>715</v>
      </c>
      <c r="S5" s="277" t="s">
        <v>721</v>
      </c>
    </row>
    <row r="6" spans="1:19" ht="127.5">
      <c r="A6" s="32" t="s">
        <v>658</v>
      </c>
      <c r="B6" s="277" t="s">
        <v>681</v>
      </c>
      <c r="K6" s="32" t="s">
        <v>1728</v>
      </c>
      <c r="S6" s="277" t="s">
        <v>722</v>
      </c>
    </row>
    <row r="7" spans="1:19" ht="89.25">
      <c r="A7" s="32" t="s">
        <v>659</v>
      </c>
      <c r="B7" s="277" t="s">
        <v>735</v>
      </c>
      <c r="S7" s="277" t="s">
        <v>723</v>
      </c>
    </row>
    <row r="8" spans="1:19" ht="102">
      <c r="A8" s="32" t="s">
        <v>661</v>
      </c>
      <c r="S8" s="120" t="s">
        <v>724</v>
      </c>
    </row>
    <row r="9" spans="1:19" ht="25.5">
      <c r="A9" s="10" t="s">
        <v>662</v>
      </c>
    </row>
    <row r="10" spans="1:19">
      <c r="A10" s="10" t="s">
        <v>663</v>
      </c>
    </row>
    <row r="11" spans="1:19">
      <c r="A11" s="32" t="s">
        <v>664</v>
      </c>
    </row>
    <row r="12" spans="1:19">
      <c r="A12" s="35" t="s">
        <v>665</v>
      </c>
    </row>
    <row r="13" spans="1:19" ht="38.25">
      <c r="A13" s="10" t="s">
        <v>666</v>
      </c>
    </row>
    <row r="14" spans="1:19" ht="25.5">
      <c r="A14" s="120" t="s">
        <v>667</v>
      </c>
    </row>
    <row r="15" spans="1:19" ht="25.5">
      <c r="A15" s="119" t="s">
        <v>668</v>
      </c>
    </row>
    <row r="16" spans="1:19" ht="25.5">
      <c r="A16" s="238" t="s">
        <v>675</v>
      </c>
    </row>
    <row r="17" spans="1:2">
      <c r="A17" s="276" t="s">
        <v>672</v>
      </c>
    </row>
    <row r="18" spans="1:2">
      <c r="A18" s="119" t="s">
        <v>669</v>
      </c>
    </row>
    <row r="19" spans="1:2" ht="38.25">
      <c r="A19" s="120" t="s">
        <v>673</v>
      </c>
    </row>
    <row r="21" spans="1:2"/>
  </sheetData>
  <pageMargins left="0.7" right="0.7" top="0.75" bottom="0.75" header="0.3" footer="0.3"/>
  <pageSetup orientation="portrait" verticalDpi="599"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9"/>
  <dimension ref="A1:AY51"/>
  <sheetViews>
    <sheetView showGridLines="0" workbookViewId="0">
      <pane xSplit="1" ySplit="1" topLeftCell="L3" activePane="bottomRight" state="frozen"/>
      <selection activeCell="C7" sqref="C7"/>
      <selection pane="topRight" activeCell="C7" sqref="C7"/>
      <selection pane="bottomLeft" activeCell="C7" sqref="C7"/>
      <selection pane="bottomRight" activeCell="M1" sqref="M1"/>
    </sheetView>
  </sheetViews>
  <sheetFormatPr baseColWidth="10" defaultRowHeight="15.75"/>
  <cols>
    <col min="1" max="1" width="38.25" customWidth="1"/>
    <col min="2" max="51" width="16.875" customWidth="1"/>
  </cols>
  <sheetData>
    <row r="1" spans="1:51" ht="127.5">
      <c r="A1" s="261" t="s">
        <v>88</v>
      </c>
      <c r="B1" s="229" t="s">
        <v>677</v>
      </c>
      <c r="C1" s="280" t="s">
        <v>678</v>
      </c>
      <c r="D1" s="229" t="s">
        <v>679</v>
      </c>
      <c r="E1" s="229" t="s">
        <v>680</v>
      </c>
      <c r="F1" s="280" t="s">
        <v>681</v>
      </c>
      <c r="G1" s="280" t="s">
        <v>735</v>
      </c>
      <c r="H1" s="229" t="s">
        <v>682</v>
      </c>
      <c r="I1" s="229" t="s">
        <v>683</v>
      </c>
      <c r="J1" s="280" t="s">
        <v>684</v>
      </c>
      <c r="K1" s="280" t="s">
        <v>1772</v>
      </c>
      <c r="L1" s="280" t="s">
        <v>686</v>
      </c>
      <c r="M1" s="121" t="s">
        <v>1727</v>
      </c>
      <c r="N1" s="121" t="s">
        <v>687</v>
      </c>
      <c r="O1" s="121" t="s">
        <v>688</v>
      </c>
      <c r="P1" s="266" t="s">
        <v>689</v>
      </c>
      <c r="Q1" s="121" t="s">
        <v>690</v>
      </c>
      <c r="R1" s="281" t="s">
        <v>691</v>
      </c>
      <c r="S1" s="282" t="s">
        <v>692</v>
      </c>
      <c r="T1" s="121" t="s">
        <v>693</v>
      </c>
      <c r="U1" s="121" t="s">
        <v>694</v>
      </c>
      <c r="V1" s="8" t="s">
        <v>695</v>
      </c>
      <c r="W1" s="283" t="s">
        <v>736</v>
      </c>
      <c r="X1" s="279" t="s">
        <v>697</v>
      </c>
      <c r="Y1" s="58" t="s">
        <v>737</v>
      </c>
      <c r="Z1" s="8" t="s">
        <v>699</v>
      </c>
      <c r="AA1" s="58" t="s">
        <v>700</v>
      </c>
      <c r="AB1" s="58" t="s">
        <v>1728</v>
      </c>
      <c r="AC1" s="60" t="s">
        <v>702</v>
      </c>
      <c r="AD1" s="8" t="s">
        <v>703</v>
      </c>
      <c r="AE1" s="121" t="s">
        <v>704</v>
      </c>
      <c r="AF1" s="121" t="s">
        <v>705</v>
      </c>
      <c r="AG1" s="121" t="s">
        <v>706</v>
      </c>
      <c r="AH1" s="266" t="s">
        <v>707</v>
      </c>
      <c r="AI1" s="282" t="s">
        <v>708</v>
      </c>
      <c r="AJ1" s="282" t="s">
        <v>709</v>
      </c>
      <c r="AK1" s="266" t="s">
        <v>740</v>
      </c>
      <c r="AL1" s="282" t="s">
        <v>711</v>
      </c>
      <c r="AM1" s="282" t="s">
        <v>712</v>
      </c>
      <c r="AN1" s="266" t="s">
        <v>741</v>
      </c>
      <c r="AO1" s="266" t="s">
        <v>714</v>
      </c>
      <c r="AP1" s="282" t="s">
        <v>715</v>
      </c>
      <c r="AQ1" s="121" t="s">
        <v>716</v>
      </c>
      <c r="AR1" s="280" t="s">
        <v>717</v>
      </c>
      <c r="AS1" s="280" t="s">
        <v>718</v>
      </c>
      <c r="AT1" s="121" t="s">
        <v>719</v>
      </c>
      <c r="AU1" s="280" t="s">
        <v>720</v>
      </c>
      <c r="AV1" s="280" t="s">
        <v>721</v>
      </c>
      <c r="AW1" s="280" t="s">
        <v>722</v>
      </c>
      <c r="AX1" s="280" t="s">
        <v>723</v>
      </c>
      <c r="AY1" s="121" t="s">
        <v>724</v>
      </c>
    </row>
    <row r="2" spans="1:51" ht="140.25">
      <c r="A2" s="284" t="s">
        <v>677</v>
      </c>
      <c r="B2" s="284" t="s">
        <v>97</v>
      </c>
      <c r="C2" s="246" t="s">
        <v>111</v>
      </c>
      <c r="D2" s="245" t="s">
        <v>142</v>
      </c>
      <c r="E2" s="238" t="s">
        <v>152</v>
      </c>
      <c r="F2" s="246" t="s">
        <v>497</v>
      </c>
      <c r="G2" s="246" t="s">
        <v>728</v>
      </c>
      <c r="H2" s="246" t="s">
        <v>1714</v>
      </c>
      <c r="I2" s="246" t="s">
        <v>1766</v>
      </c>
      <c r="J2" s="244" t="s">
        <v>192</v>
      </c>
      <c r="K2" s="248" t="s">
        <v>726</v>
      </c>
      <c r="L2" s="284" t="s">
        <v>725</v>
      </c>
      <c r="M2" s="48" t="s">
        <v>512</v>
      </c>
      <c r="N2" s="291" t="s">
        <v>519</v>
      </c>
      <c r="O2" s="263" t="s">
        <v>729</v>
      </c>
      <c r="P2" s="263" t="s">
        <v>527</v>
      </c>
      <c r="Q2" s="35" t="s">
        <v>730</v>
      </c>
      <c r="R2" s="35" t="s">
        <v>241</v>
      </c>
      <c r="S2" s="46" t="s">
        <v>247</v>
      </c>
      <c r="T2" s="293" t="s">
        <v>253</v>
      </c>
      <c r="U2" s="10" t="s">
        <v>550</v>
      </c>
      <c r="V2" s="46" t="s">
        <v>551</v>
      </c>
      <c r="W2" s="46" t="s">
        <v>271</v>
      </c>
      <c r="X2" s="47" t="s">
        <v>462</v>
      </c>
      <c r="Y2" s="46" t="s">
        <v>305</v>
      </c>
      <c r="Z2" s="35" t="s">
        <v>322</v>
      </c>
      <c r="AA2" s="46" t="s">
        <v>337</v>
      </c>
      <c r="AB2" s="294" t="s">
        <v>355</v>
      </c>
      <c r="AC2" s="10" t="s">
        <v>364</v>
      </c>
      <c r="AD2" s="12" t="s">
        <v>373</v>
      </c>
      <c r="AE2" s="35" t="s">
        <v>600</v>
      </c>
      <c r="AF2" s="35" t="s">
        <v>606</v>
      </c>
      <c r="AG2" s="46" t="s">
        <v>608</v>
      </c>
      <c r="AH2" s="46" t="s">
        <v>394</v>
      </c>
      <c r="AI2" s="291" t="s">
        <v>1729</v>
      </c>
      <c r="AJ2" s="48" t="s">
        <v>404</v>
      </c>
      <c r="AK2" s="263" t="s">
        <v>1761</v>
      </c>
      <c r="AL2" s="48" t="s">
        <v>418</v>
      </c>
      <c r="AM2" s="35" t="s">
        <v>421</v>
      </c>
      <c r="AN2" s="35" t="s">
        <v>621</v>
      </c>
      <c r="AO2" s="46" t="s">
        <v>734</v>
      </c>
      <c r="AP2" s="46" t="s">
        <v>436</v>
      </c>
      <c r="AQ2" s="46" t="s">
        <v>442</v>
      </c>
      <c r="AR2" s="46" t="s">
        <v>445</v>
      </c>
      <c r="AS2" s="258" t="s">
        <v>627</v>
      </c>
      <c r="AT2" s="258" t="s">
        <v>1809</v>
      </c>
      <c r="AU2" s="112" t="s">
        <v>454</v>
      </c>
      <c r="AV2" s="112" t="s">
        <v>632</v>
      </c>
      <c r="AW2" s="112" t="s">
        <v>633</v>
      </c>
      <c r="AX2" s="112" t="s">
        <v>636</v>
      </c>
      <c r="AY2" s="112" t="s">
        <v>637</v>
      </c>
    </row>
    <row r="3" spans="1:51" ht="117.75">
      <c r="A3" s="285" t="s">
        <v>678</v>
      </c>
      <c r="B3" s="286" t="s">
        <v>104</v>
      </c>
      <c r="C3" s="238" t="s">
        <v>116</v>
      </c>
      <c r="D3" s="245" t="s">
        <v>148</v>
      </c>
      <c r="E3" s="245" t="s">
        <v>157</v>
      </c>
      <c r="F3" s="246" t="s">
        <v>497</v>
      </c>
      <c r="G3" s="246" t="s">
        <v>176</v>
      </c>
      <c r="H3" s="246" t="s">
        <v>184</v>
      </c>
      <c r="I3" s="290"/>
      <c r="J3" s="290"/>
      <c r="K3" s="290"/>
      <c r="L3" s="290"/>
      <c r="M3" s="48" t="s">
        <v>513</v>
      </c>
      <c r="N3" s="291" t="s">
        <v>213</v>
      </c>
      <c r="O3" s="263" t="s">
        <v>525</v>
      </c>
      <c r="P3" s="11" t="s">
        <v>530</v>
      </c>
      <c r="Q3" s="35" t="s">
        <v>232</v>
      </c>
      <c r="R3" s="290"/>
      <c r="S3" s="290"/>
      <c r="T3" s="290"/>
      <c r="U3" s="10" t="s">
        <v>549</v>
      </c>
      <c r="V3" s="46" t="s">
        <v>263</v>
      </c>
      <c r="W3" s="46" t="s">
        <v>276</v>
      </c>
      <c r="X3" s="47" t="s">
        <v>731</v>
      </c>
      <c r="Y3" s="46" t="s">
        <v>310</v>
      </c>
      <c r="Z3" s="263" t="s">
        <v>326</v>
      </c>
      <c r="AA3" s="35" t="s">
        <v>342</v>
      </c>
      <c r="AB3" s="294" t="s">
        <v>359</v>
      </c>
      <c r="AC3" s="35" t="s">
        <v>369</v>
      </c>
      <c r="AD3" s="290"/>
      <c r="AE3" s="35" t="s">
        <v>383</v>
      </c>
      <c r="AF3" s="290"/>
      <c r="AG3" s="290"/>
      <c r="AH3" s="35" t="s">
        <v>610</v>
      </c>
      <c r="AI3" s="290"/>
      <c r="AJ3" s="35" t="s">
        <v>408</v>
      </c>
      <c r="AK3" s="290"/>
      <c r="AL3" s="48" t="s">
        <v>618</v>
      </c>
      <c r="AM3" s="48" t="s">
        <v>425</v>
      </c>
      <c r="AN3" s="290"/>
      <c r="AO3" s="290"/>
      <c r="AP3" s="290"/>
      <c r="AQ3" s="290"/>
      <c r="AR3" s="290"/>
      <c r="AS3" s="290"/>
      <c r="AT3" s="290"/>
      <c r="AU3" s="290"/>
      <c r="AV3" s="290"/>
      <c r="AW3" s="290"/>
      <c r="AX3" s="290"/>
      <c r="AY3" s="290"/>
    </row>
    <row r="4" spans="1:51" ht="102">
      <c r="A4" s="284" t="s">
        <v>679</v>
      </c>
      <c r="B4" s="290"/>
      <c r="C4" s="238" t="s">
        <v>119</v>
      </c>
      <c r="D4" s="246" t="s">
        <v>161</v>
      </c>
      <c r="E4" s="290"/>
      <c r="F4" s="290"/>
      <c r="G4" s="290"/>
      <c r="H4" s="290"/>
      <c r="I4" s="290"/>
      <c r="J4" s="290"/>
      <c r="K4" s="290"/>
      <c r="L4" s="290"/>
      <c r="M4" s="48" t="s">
        <v>206</v>
      </c>
      <c r="N4" s="290"/>
      <c r="O4" s="292" t="s">
        <v>537</v>
      </c>
      <c r="P4" s="263" t="s">
        <v>531</v>
      </c>
      <c r="Q4" s="35" t="s">
        <v>233</v>
      </c>
      <c r="R4" s="290"/>
      <c r="S4" s="290"/>
      <c r="T4" s="290"/>
      <c r="U4" s="290"/>
      <c r="V4" s="35" t="s">
        <v>266</v>
      </c>
      <c r="W4" s="46" t="s">
        <v>279</v>
      </c>
      <c r="X4" s="47" t="s">
        <v>287</v>
      </c>
      <c r="Y4" s="46" t="s">
        <v>313</v>
      </c>
      <c r="Z4" s="263" t="s">
        <v>329</v>
      </c>
      <c r="AA4" s="35" t="s">
        <v>345</v>
      </c>
      <c r="AB4" s="294" t="s">
        <v>360</v>
      </c>
      <c r="AC4" s="35" t="s">
        <v>371</v>
      </c>
      <c r="AD4" s="290"/>
      <c r="AE4" s="35" t="s">
        <v>597</v>
      </c>
      <c r="AF4" s="290"/>
      <c r="AG4" s="290"/>
      <c r="AH4" s="290"/>
      <c r="AI4" s="290"/>
      <c r="AJ4" s="35" t="s">
        <v>411</v>
      </c>
      <c r="AK4" s="290"/>
      <c r="AL4" s="290"/>
      <c r="AM4" s="35" t="s">
        <v>427</v>
      </c>
      <c r="AN4" s="290"/>
      <c r="AO4" s="290"/>
      <c r="AP4" s="290"/>
      <c r="AQ4" s="290"/>
      <c r="AR4" s="290"/>
      <c r="AS4" s="290"/>
      <c r="AT4" s="290"/>
      <c r="AU4" s="290"/>
      <c r="AV4" s="290"/>
      <c r="AW4" s="290"/>
      <c r="AX4" s="290"/>
      <c r="AY4" s="290"/>
    </row>
    <row r="5" spans="1:51" ht="63.75">
      <c r="A5" s="284" t="s">
        <v>680</v>
      </c>
      <c r="B5" s="290"/>
      <c r="C5" s="246" t="s">
        <v>121</v>
      </c>
      <c r="D5" s="290"/>
      <c r="E5" s="290"/>
      <c r="F5" s="290"/>
      <c r="G5" s="290"/>
      <c r="H5" s="290"/>
      <c r="I5" s="290"/>
      <c r="J5" s="290"/>
      <c r="K5" s="290"/>
      <c r="L5" s="290"/>
      <c r="M5" s="290"/>
      <c r="N5" s="290"/>
      <c r="O5" s="290"/>
      <c r="Q5" s="35" t="s">
        <v>538</v>
      </c>
      <c r="R5" s="290"/>
      <c r="S5" s="290"/>
      <c r="T5" s="290"/>
      <c r="U5" s="290"/>
      <c r="V5" s="290"/>
      <c r="W5" s="290"/>
      <c r="X5" s="48" t="s">
        <v>292</v>
      </c>
      <c r="Y5" s="48" t="s">
        <v>316</v>
      </c>
      <c r="Z5" s="263" t="s">
        <v>333</v>
      </c>
      <c r="AA5" s="48" t="s">
        <v>350</v>
      </c>
      <c r="AB5" s="290"/>
      <c r="AC5" s="35" t="s">
        <v>733</v>
      </c>
      <c r="AD5" s="290"/>
      <c r="AE5" s="35" t="s">
        <v>598</v>
      </c>
      <c r="AF5" s="290"/>
      <c r="AG5" s="290"/>
      <c r="AH5" s="290"/>
      <c r="AI5" s="290"/>
      <c r="AJ5" s="290"/>
      <c r="AK5" s="290"/>
      <c r="AL5" s="290"/>
      <c r="AM5" s="290"/>
      <c r="AN5" s="290"/>
      <c r="AO5" s="290"/>
      <c r="AP5" s="290"/>
      <c r="AQ5" s="290"/>
      <c r="AR5" s="290"/>
      <c r="AS5" s="290"/>
      <c r="AT5" s="290"/>
      <c r="AU5" s="290"/>
      <c r="AV5" s="290"/>
      <c r="AW5" s="290"/>
      <c r="AX5" s="290"/>
      <c r="AY5" s="290"/>
    </row>
    <row r="6" spans="1:51" ht="63.75">
      <c r="A6" s="285" t="s">
        <v>681</v>
      </c>
      <c r="B6" s="290"/>
      <c r="C6" s="246" t="s">
        <v>124</v>
      </c>
      <c r="D6" s="290"/>
      <c r="E6" s="290"/>
      <c r="F6" s="290"/>
      <c r="G6" s="290"/>
      <c r="H6" s="290"/>
      <c r="I6" s="290"/>
      <c r="J6" s="290"/>
      <c r="K6" s="290"/>
      <c r="L6" s="290"/>
      <c r="M6" s="290"/>
      <c r="N6" s="290"/>
      <c r="O6" s="290"/>
      <c r="P6" s="290"/>
      <c r="Q6" s="35" t="s">
        <v>237</v>
      </c>
      <c r="R6" s="290"/>
      <c r="S6" s="290"/>
      <c r="T6" s="290"/>
      <c r="U6" s="290"/>
      <c r="V6" s="290"/>
      <c r="W6" s="290"/>
      <c r="X6" s="48" t="s">
        <v>732</v>
      </c>
      <c r="Y6" s="290"/>
      <c r="Z6" s="290"/>
      <c r="AA6" s="48" t="s">
        <v>579</v>
      </c>
      <c r="AB6" s="290"/>
      <c r="AC6" s="290"/>
      <c r="AD6" s="290"/>
      <c r="AE6" s="35" t="s">
        <v>599</v>
      </c>
      <c r="AF6" s="290"/>
      <c r="AG6" s="290"/>
      <c r="AH6" s="290"/>
      <c r="AI6" s="290"/>
      <c r="AJ6" s="290"/>
      <c r="AK6" s="290"/>
      <c r="AL6" s="290"/>
      <c r="AM6" s="290"/>
      <c r="AN6" s="290"/>
      <c r="AO6" s="290"/>
      <c r="AP6" s="290"/>
      <c r="AQ6" s="290"/>
      <c r="AR6" s="290"/>
      <c r="AS6" s="290"/>
      <c r="AT6" s="290"/>
      <c r="AU6" s="290"/>
      <c r="AV6" s="290"/>
      <c r="AW6" s="290"/>
      <c r="AX6" s="290"/>
      <c r="AY6" s="290"/>
    </row>
    <row r="7" spans="1:51" ht="140.25">
      <c r="A7" s="280" t="s">
        <v>735</v>
      </c>
      <c r="B7" s="290"/>
      <c r="C7" s="246" t="s">
        <v>485</v>
      </c>
      <c r="D7" s="290"/>
      <c r="E7" s="290"/>
      <c r="F7" s="290"/>
      <c r="G7" s="290"/>
      <c r="H7" s="290"/>
      <c r="I7" s="290"/>
      <c r="J7" s="290"/>
      <c r="K7" s="290"/>
      <c r="L7" s="290"/>
      <c r="M7" s="290"/>
      <c r="N7" s="290"/>
      <c r="O7" s="290"/>
      <c r="P7" s="290"/>
      <c r="Q7" s="290"/>
      <c r="R7" s="290"/>
      <c r="S7" s="290"/>
      <c r="T7" s="290"/>
      <c r="U7" s="290"/>
      <c r="V7" s="290"/>
      <c r="W7" s="290"/>
      <c r="X7" s="48" t="s">
        <v>296</v>
      </c>
      <c r="Y7" s="290"/>
      <c r="Z7" s="290"/>
      <c r="AA7" s="48" t="s">
        <v>580</v>
      </c>
      <c r="AB7" s="290"/>
      <c r="AC7" s="290"/>
      <c r="AD7" s="290"/>
      <c r="AE7" s="290"/>
      <c r="AF7" s="290"/>
      <c r="AG7" s="290"/>
      <c r="AH7" s="290"/>
      <c r="AI7" s="290"/>
      <c r="AJ7" s="290"/>
      <c r="AK7" s="290"/>
      <c r="AL7" s="290"/>
      <c r="AM7" s="290"/>
      <c r="AN7" s="290"/>
      <c r="AO7" s="290"/>
      <c r="AP7" s="290"/>
      <c r="AQ7" s="290"/>
      <c r="AR7" s="290"/>
      <c r="AS7" s="290"/>
      <c r="AT7" s="290"/>
      <c r="AU7" s="290"/>
      <c r="AV7" s="290"/>
      <c r="AW7" s="290"/>
      <c r="AX7" s="290"/>
      <c r="AY7" s="290"/>
    </row>
    <row r="8" spans="1:51" ht="51">
      <c r="A8" s="284" t="s">
        <v>682</v>
      </c>
      <c r="B8" s="290"/>
      <c r="C8" s="246" t="s">
        <v>130</v>
      </c>
      <c r="D8" s="290"/>
      <c r="E8" s="290"/>
      <c r="F8" s="290"/>
      <c r="G8" s="290"/>
      <c r="H8" s="290"/>
      <c r="I8" s="290"/>
      <c r="J8" s="290"/>
      <c r="K8" s="290"/>
      <c r="L8" s="290"/>
      <c r="M8" s="290"/>
      <c r="N8" s="290"/>
      <c r="O8" s="290"/>
      <c r="P8" s="290"/>
      <c r="Q8" s="290"/>
      <c r="R8" s="290"/>
      <c r="S8" s="290"/>
      <c r="T8" s="290"/>
      <c r="U8" s="290"/>
      <c r="V8" s="290"/>
      <c r="W8" s="290"/>
      <c r="X8" s="48" t="s">
        <v>299</v>
      </c>
      <c r="Y8" s="290"/>
      <c r="Z8" s="290"/>
      <c r="AA8" s="290"/>
      <c r="AB8" s="290"/>
      <c r="AC8" s="290"/>
      <c r="AD8" s="290"/>
      <c r="AE8" s="290"/>
      <c r="AF8" s="290"/>
      <c r="AG8" s="290"/>
      <c r="AH8" s="290"/>
      <c r="AI8" s="290"/>
      <c r="AJ8" s="290"/>
      <c r="AK8" s="290"/>
      <c r="AL8" s="290"/>
      <c r="AM8" s="290"/>
      <c r="AN8" s="290"/>
      <c r="AO8" s="290"/>
      <c r="AP8" s="290"/>
      <c r="AQ8" s="290"/>
      <c r="AR8" s="290"/>
      <c r="AS8" s="290"/>
      <c r="AT8" s="290"/>
      <c r="AU8" s="290"/>
      <c r="AV8" s="290"/>
      <c r="AW8" s="290"/>
      <c r="AX8" s="290"/>
      <c r="AY8" s="290"/>
    </row>
    <row r="9" spans="1:51" ht="63.75">
      <c r="A9" s="284" t="s">
        <v>683</v>
      </c>
      <c r="B9" s="290"/>
      <c r="C9" s="246" t="s">
        <v>727</v>
      </c>
      <c r="D9" s="290"/>
      <c r="E9" s="290"/>
      <c r="F9" s="290"/>
      <c r="G9" s="290"/>
      <c r="H9" s="290"/>
      <c r="I9" s="290"/>
      <c r="J9" s="290"/>
      <c r="K9" s="290"/>
      <c r="L9" s="290"/>
      <c r="M9" s="290"/>
      <c r="N9" s="290"/>
      <c r="O9" s="290"/>
      <c r="P9" s="290"/>
      <c r="Q9" s="290"/>
      <c r="R9" s="290"/>
      <c r="S9" s="290"/>
      <c r="T9" s="290"/>
      <c r="U9" s="290"/>
      <c r="V9" s="290"/>
      <c r="W9" s="290"/>
      <c r="X9" s="35" t="s">
        <v>537</v>
      </c>
      <c r="Y9" s="290"/>
      <c r="Z9" s="290"/>
      <c r="AA9" s="290"/>
      <c r="AB9" s="290"/>
      <c r="AC9" s="290"/>
      <c r="AD9" s="290"/>
      <c r="AE9" s="290"/>
      <c r="AF9" s="290"/>
      <c r="AG9" s="290"/>
      <c r="AH9" s="290"/>
      <c r="AI9" s="290"/>
      <c r="AJ9" s="290"/>
      <c r="AK9" s="290"/>
      <c r="AL9" s="290"/>
      <c r="AM9" s="290"/>
      <c r="AN9" s="290"/>
      <c r="AO9" s="290"/>
      <c r="AP9" s="290"/>
      <c r="AQ9" s="290"/>
      <c r="AR9" s="290"/>
      <c r="AS9" s="290"/>
      <c r="AT9" s="290"/>
      <c r="AU9" s="290"/>
      <c r="AV9" s="290"/>
      <c r="AW9" s="290"/>
      <c r="AX9" s="290"/>
      <c r="AY9" s="290"/>
    </row>
    <row r="10" spans="1:51" ht="54">
      <c r="A10" s="285" t="s">
        <v>684</v>
      </c>
      <c r="B10" s="290"/>
      <c r="C10" s="246" t="s">
        <v>1711</v>
      </c>
      <c r="D10" s="290"/>
      <c r="E10" s="290"/>
      <c r="F10" s="290"/>
      <c r="G10" s="290"/>
      <c r="H10" s="290"/>
      <c r="I10" s="290"/>
      <c r="J10" s="290"/>
      <c r="K10" s="290"/>
      <c r="L10" s="290"/>
      <c r="M10" s="290"/>
      <c r="N10" s="290"/>
      <c r="O10" s="290"/>
      <c r="P10" s="290"/>
      <c r="Q10" s="290"/>
      <c r="R10" s="290"/>
      <c r="S10" s="290"/>
      <c r="T10" s="290"/>
      <c r="U10" s="290"/>
      <c r="V10" s="290"/>
      <c r="W10" s="290"/>
      <c r="X10" s="48" t="s">
        <v>561</v>
      </c>
      <c r="Y10" s="290"/>
      <c r="Z10" s="290"/>
      <c r="AA10" s="290"/>
      <c r="AB10" s="290"/>
      <c r="AC10" s="290"/>
      <c r="AD10" s="290"/>
      <c r="AE10" s="290"/>
      <c r="AF10" s="290"/>
      <c r="AG10" s="290"/>
      <c r="AH10" s="290"/>
      <c r="AI10" s="290"/>
      <c r="AJ10" s="290"/>
      <c r="AK10" s="290"/>
      <c r="AL10" s="290"/>
      <c r="AM10" s="290"/>
      <c r="AN10" s="290"/>
      <c r="AO10" s="290"/>
      <c r="AP10" s="290"/>
      <c r="AQ10" s="290"/>
      <c r="AR10" s="290"/>
      <c r="AS10" s="290"/>
      <c r="AT10" s="290"/>
      <c r="AU10" s="290"/>
      <c r="AV10" s="290"/>
      <c r="AW10" s="290"/>
      <c r="AX10" s="290"/>
      <c r="AY10" s="290"/>
    </row>
    <row r="11" spans="1:51" ht="51">
      <c r="A11" s="285" t="s">
        <v>685</v>
      </c>
      <c r="B11" s="290"/>
      <c r="C11" s="246" t="s">
        <v>1712</v>
      </c>
      <c r="D11" s="290"/>
      <c r="E11" s="290"/>
      <c r="F11" s="290"/>
      <c r="G11" s="290"/>
      <c r="H11" s="290"/>
      <c r="I11" s="290"/>
      <c r="J11" s="290"/>
      <c r="K11" s="290"/>
      <c r="L11" s="290"/>
      <c r="M11" s="290"/>
      <c r="N11" s="290"/>
      <c r="O11" s="290"/>
      <c r="P11" s="290"/>
      <c r="Q11" s="290"/>
      <c r="R11" s="290"/>
      <c r="S11" s="290"/>
      <c r="T11" s="290"/>
      <c r="U11" s="290"/>
      <c r="V11" s="290"/>
      <c r="W11" s="290"/>
      <c r="X11" s="290"/>
      <c r="Y11" s="290"/>
      <c r="Z11" s="290"/>
      <c r="AA11" s="290"/>
      <c r="AB11" s="290"/>
      <c r="AC11" s="290"/>
      <c r="AD11" s="290"/>
      <c r="AE11" s="290"/>
      <c r="AF11" s="290"/>
      <c r="AG11" s="290"/>
      <c r="AH11" s="290"/>
      <c r="AI11" s="290"/>
      <c r="AJ11" s="290"/>
      <c r="AK11" s="290"/>
      <c r="AL11" s="290"/>
      <c r="AM11" s="290"/>
      <c r="AN11" s="290"/>
      <c r="AO11" s="290"/>
      <c r="AP11" s="290"/>
      <c r="AQ11" s="290"/>
      <c r="AR11" s="290"/>
      <c r="AS11" s="290"/>
      <c r="AT11" s="290"/>
      <c r="AU11" s="290"/>
      <c r="AV11" s="290"/>
      <c r="AW11" s="290"/>
      <c r="AX11" s="290"/>
      <c r="AY11" s="290"/>
    </row>
    <row r="12" spans="1:51" ht="51">
      <c r="A12" s="285" t="s">
        <v>686</v>
      </c>
      <c r="B12" s="290"/>
      <c r="C12" s="290"/>
      <c r="D12" s="290"/>
      <c r="E12" s="290"/>
      <c r="F12" s="290"/>
      <c r="G12" s="290"/>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90"/>
      <c r="AF12" s="290"/>
      <c r="AG12" s="290"/>
      <c r="AH12" s="290"/>
      <c r="AI12" s="290"/>
      <c r="AJ12" s="290"/>
      <c r="AK12" s="290"/>
      <c r="AL12" s="290"/>
      <c r="AM12" s="290"/>
      <c r="AN12" s="290"/>
      <c r="AO12" s="290"/>
      <c r="AP12" s="290"/>
      <c r="AQ12" s="290"/>
      <c r="AR12" s="290"/>
      <c r="AS12" s="290"/>
      <c r="AT12" s="290"/>
      <c r="AU12" s="290"/>
      <c r="AV12" s="290"/>
      <c r="AW12" s="290"/>
      <c r="AX12" s="290"/>
      <c r="AY12" s="290"/>
    </row>
    <row r="13" spans="1:51" ht="25.5">
      <c r="A13" s="264" t="s">
        <v>1727</v>
      </c>
      <c r="B13" s="290"/>
      <c r="C13" s="290"/>
      <c r="D13" s="290"/>
      <c r="E13" s="290"/>
      <c r="F13" s="290"/>
      <c r="G13" s="290"/>
      <c r="H13" s="290"/>
      <c r="I13" s="290"/>
      <c r="J13" s="290"/>
      <c r="K13" s="290"/>
      <c r="L13" s="290"/>
      <c r="M13" s="290"/>
      <c r="N13" s="290"/>
      <c r="O13" s="290"/>
      <c r="P13" s="290"/>
      <c r="Q13" s="290"/>
      <c r="R13" s="290"/>
      <c r="S13" s="290"/>
      <c r="T13" s="290"/>
      <c r="U13" s="290"/>
      <c r="V13" s="290"/>
      <c r="W13" s="290"/>
      <c r="X13" s="290"/>
      <c r="Y13" s="290"/>
      <c r="Z13" s="290"/>
      <c r="AA13" s="290"/>
      <c r="AB13" s="290"/>
      <c r="AC13" s="290"/>
      <c r="AD13" s="290"/>
      <c r="AE13" s="290"/>
      <c r="AF13" s="290"/>
      <c r="AG13" s="290"/>
      <c r="AH13" s="290"/>
      <c r="AI13" s="290"/>
      <c r="AJ13" s="290"/>
      <c r="AK13" s="290"/>
      <c r="AL13" s="290"/>
      <c r="AM13" s="290"/>
      <c r="AN13" s="290"/>
      <c r="AO13" s="290"/>
      <c r="AP13" s="290"/>
      <c r="AQ13" s="290"/>
      <c r="AR13" s="290"/>
      <c r="AS13" s="290"/>
      <c r="AT13" s="290"/>
      <c r="AU13" s="290"/>
      <c r="AV13" s="290"/>
      <c r="AW13" s="290"/>
      <c r="AX13" s="290"/>
      <c r="AY13" s="290"/>
    </row>
    <row r="14" spans="1:51" ht="25.5">
      <c r="A14" s="264" t="s">
        <v>687</v>
      </c>
      <c r="B14" s="290"/>
      <c r="C14" s="290"/>
      <c r="D14" s="290"/>
      <c r="E14" s="290"/>
      <c r="F14" s="290"/>
      <c r="G14" s="290"/>
      <c r="H14" s="290"/>
      <c r="I14" s="290"/>
      <c r="J14" s="290"/>
      <c r="K14" s="290"/>
      <c r="L14" s="290"/>
      <c r="M14" s="290"/>
      <c r="N14" s="290"/>
      <c r="O14" s="290"/>
      <c r="P14" s="290"/>
      <c r="Q14" s="290"/>
      <c r="R14" s="290"/>
      <c r="S14" s="290"/>
      <c r="T14" s="290"/>
      <c r="U14" s="290"/>
      <c r="V14" s="290"/>
      <c r="W14" s="290"/>
      <c r="X14" s="290"/>
      <c r="Y14" s="290"/>
      <c r="Z14" s="290"/>
      <c r="AA14" s="290"/>
      <c r="AB14" s="290"/>
      <c r="AC14" s="290"/>
      <c r="AD14" s="290"/>
      <c r="AE14" s="290"/>
      <c r="AF14" s="290"/>
      <c r="AG14" s="290"/>
      <c r="AH14" s="290"/>
      <c r="AI14" s="290"/>
      <c r="AJ14" s="290"/>
      <c r="AK14" s="290"/>
      <c r="AL14" s="290"/>
      <c r="AM14" s="290"/>
      <c r="AN14" s="290"/>
      <c r="AO14" s="290"/>
      <c r="AP14" s="290"/>
      <c r="AQ14" s="290"/>
      <c r="AR14" s="290"/>
      <c r="AS14" s="290"/>
      <c r="AT14" s="290"/>
      <c r="AU14" s="290"/>
      <c r="AV14" s="290"/>
      <c r="AW14" s="290"/>
      <c r="AX14" s="290"/>
      <c r="AY14" s="290"/>
    </row>
    <row r="15" spans="1:51" ht="25.5">
      <c r="A15" s="264" t="s">
        <v>688</v>
      </c>
      <c r="B15" s="290"/>
      <c r="C15" s="290"/>
      <c r="D15" s="290"/>
      <c r="E15" s="290"/>
      <c r="F15" s="290"/>
      <c r="G15" s="290"/>
      <c r="H15" s="290"/>
      <c r="I15" s="290"/>
      <c r="J15" s="290"/>
      <c r="K15" s="290"/>
      <c r="L15" s="290"/>
      <c r="M15" s="290"/>
      <c r="N15" s="290"/>
      <c r="O15" s="290"/>
      <c r="P15" s="290"/>
      <c r="Q15" s="290"/>
      <c r="R15" s="290"/>
      <c r="S15" s="290"/>
      <c r="T15" s="290"/>
      <c r="U15" s="290"/>
      <c r="V15" s="290"/>
      <c r="W15" s="290"/>
      <c r="X15" s="290"/>
      <c r="Y15" s="290"/>
      <c r="Z15" s="290"/>
      <c r="AA15" s="290"/>
      <c r="AB15" s="290"/>
      <c r="AC15" s="290"/>
      <c r="AD15" s="290"/>
      <c r="AE15" s="290"/>
      <c r="AF15" s="290"/>
      <c r="AG15" s="290"/>
      <c r="AH15" s="290"/>
      <c r="AI15" s="290"/>
      <c r="AJ15" s="290"/>
      <c r="AK15" s="290"/>
      <c r="AL15" s="290"/>
      <c r="AM15" s="290"/>
      <c r="AN15" s="290"/>
      <c r="AO15" s="290"/>
      <c r="AP15" s="290"/>
      <c r="AQ15" s="290"/>
      <c r="AR15" s="290"/>
      <c r="AS15" s="290"/>
      <c r="AT15" s="290"/>
      <c r="AU15" s="290"/>
      <c r="AV15" s="290"/>
      <c r="AW15" s="290"/>
      <c r="AX15" s="290"/>
      <c r="AY15" s="290"/>
    </row>
    <row r="16" spans="1:51" ht="25.5">
      <c r="A16" s="275" t="s">
        <v>689</v>
      </c>
      <c r="B16" s="290"/>
      <c r="C16" s="290"/>
      <c r="D16" s="290"/>
      <c r="E16" s="290"/>
      <c r="F16" s="290"/>
      <c r="G16" s="290"/>
      <c r="H16" s="290"/>
      <c r="I16" s="290"/>
      <c r="J16" s="290"/>
      <c r="K16" s="290"/>
      <c r="L16" s="290"/>
      <c r="M16" s="290"/>
      <c r="N16" s="290"/>
      <c r="O16" s="290"/>
      <c r="P16" s="290"/>
      <c r="Q16" s="290"/>
      <c r="R16" s="290"/>
      <c r="S16" s="290"/>
      <c r="T16" s="290"/>
      <c r="U16" s="290"/>
      <c r="V16" s="290"/>
      <c r="W16" s="290"/>
      <c r="X16" s="290"/>
      <c r="Y16" s="290"/>
      <c r="Z16" s="290"/>
      <c r="AA16" s="290"/>
      <c r="AB16" s="290"/>
      <c r="AC16" s="290"/>
      <c r="AD16" s="290"/>
      <c r="AE16" s="290"/>
      <c r="AF16" s="290"/>
      <c r="AG16" s="290"/>
      <c r="AH16" s="290"/>
      <c r="AI16" s="290"/>
      <c r="AJ16" s="290"/>
      <c r="AK16" s="290"/>
      <c r="AL16" s="290"/>
      <c r="AM16" s="290"/>
      <c r="AN16" s="290"/>
      <c r="AO16" s="290"/>
      <c r="AP16" s="290"/>
      <c r="AQ16" s="290"/>
      <c r="AR16" s="290"/>
      <c r="AS16" s="290"/>
      <c r="AT16" s="290"/>
      <c r="AU16" s="290"/>
      <c r="AV16" s="290"/>
      <c r="AW16" s="290"/>
      <c r="AX16" s="290"/>
      <c r="AY16" s="290"/>
    </row>
    <row r="17" spans="1:51" ht="25.5">
      <c r="A17" s="264" t="s">
        <v>690</v>
      </c>
      <c r="B17" s="290"/>
      <c r="C17" s="290"/>
      <c r="D17" s="290"/>
      <c r="E17" s="290"/>
      <c r="F17" s="290"/>
      <c r="G17" s="290"/>
      <c r="H17" s="290"/>
      <c r="I17" s="290"/>
      <c r="J17" s="290"/>
      <c r="K17" s="290"/>
      <c r="L17" s="290"/>
      <c r="M17" s="290"/>
      <c r="N17" s="290"/>
      <c r="O17" s="290"/>
      <c r="P17" s="290"/>
      <c r="Q17" s="290"/>
      <c r="R17" s="290"/>
      <c r="S17" s="290"/>
      <c r="T17" s="290"/>
      <c r="U17" s="290"/>
      <c r="V17" s="290"/>
      <c r="W17" s="290"/>
      <c r="X17" s="290"/>
      <c r="Y17" s="290"/>
      <c r="Z17" s="290"/>
      <c r="AA17" s="290"/>
      <c r="AB17" s="290"/>
      <c r="AC17" s="290"/>
      <c r="AD17" s="290"/>
      <c r="AE17" s="290"/>
      <c r="AF17" s="290"/>
      <c r="AG17" s="290"/>
      <c r="AH17" s="290"/>
      <c r="AI17" s="290"/>
      <c r="AJ17" s="290"/>
      <c r="AK17" s="290"/>
      <c r="AL17" s="290"/>
      <c r="AM17" s="290"/>
      <c r="AN17" s="290"/>
      <c r="AO17" s="290"/>
      <c r="AP17" s="290"/>
      <c r="AQ17" s="290"/>
      <c r="AR17" s="290"/>
      <c r="AS17" s="290"/>
      <c r="AT17" s="290"/>
      <c r="AU17" s="290"/>
      <c r="AV17" s="290"/>
      <c r="AW17" s="290"/>
      <c r="AX17" s="290"/>
      <c r="AY17" s="290"/>
    </row>
    <row r="18" spans="1:51" ht="25.5">
      <c r="A18" s="286" t="s">
        <v>691</v>
      </c>
      <c r="B18" s="290"/>
      <c r="C18" s="290"/>
      <c r="D18" s="290"/>
      <c r="E18" s="290"/>
      <c r="F18" s="290"/>
      <c r="G18" s="290"/>
      <c r="H18" s="290"/>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290"/>
      <c r="AM18" s="290"/>
      <c r="AN18" s="290"/>
      <c r="AO18" s="290"/>
      <c r="AP18" s="290"/>
      <c r="AQ18" s="290"/>
      <c r="AR18" s="290"/>
      <c r="AS18" s="290"/>
      <c r="AT18" s="290"/>
      <c r="AU18" s="290"/>
      <c r="AV18" s="290"/>
      <c r="AW18" s="290"/>
      <c r="AX18" s="290"/>
      <c r="AY18" s="290"/>
    </row>
    <row r="19" spans="1:51">
      <c r="A19" s="287" t="s">
        <v>692</v>
      </c>
      <c r="B19" s="290"/>
      <c r="C19" s="290"/>
      <c r="D19" s="290"/>
      <c r="E19" s="290"/>
      <c r="F19" s="290"/>
      <c r="G19" s="290"/>
      <c r="H19" s="290"/>
      <c r="I19" s="290"/>
      <c r="J19" s="290"/>
      <c r="K19" s="290"/>
      <c r="L19" s="290"/>
      <c r="M19" s="290"/>
      <c r="N19" s="290"/>
      <c r="O19" s="290"/>
      <c r="P19" s="290"/>
      <c r="Q19" s="290"/>
      <c r="R19" s="290"/>
      <c r="S19" s="290"/>
      <c r="T19" s="290"/>
      <c r="U19" s="290"/>
      <c r="V19" s="290"/>
      <c r="W19" s="290"/>
      <c r="X19" s="290"/>
      <c r="Y19" s="290"/>
      <c r="Z19" s="290"/>
      <c r="AA19" s="290"/>
      <c r="AB19" s="290"/>
      <c r="AC19" s="290"/>
      <c r="AD19" s="290"/>
      <c r="AE19" s="290"/>
      <c r="AF19" s="290"/>
      <c r="AG19" s="290"/>
      <c r="AH19" s="290"/>
      <c r="AI19" s="290"/>
      <c r="AJ19" s="290"/>
      <c r="AK19" s="290"/>
      <c r="AL19" s="290"/>
      <c r="AM19" s="290"/>
      <c r="AN19" s="290"/>
      <c r="AO19" s="290"/>
      <c r="AP19" s="290"/>
      <c r="AQ19" s="290"/>
      <c r="AR19" s="290"/>
      <c r="AS19" s="290"/>
      <c r="AT19" s="290"/>
      <c r="AU19" s="290"/>
      <c r="AV19" s="290"/>
      <c r="AW19" s="290"/>
      <c r="AX19" s="290"/>
      <c r="AY19" s="290"/>
    </row>
    <row r="20" spans="1:51" ht="38.25">
      <c r="A20" s="264" t="s">
        <v>693</v>
      </c>
      <c r="B20" s="290"/>
      <c r="C20" s="290"/>
      <c r="D20" s="290"/>
      <c r="E20" s="290"/>
      <c r="F20" s="290"/>
      <c r="G20" s="290"/>
      <c r="H20" s="290"/>
      <c r="I20" s="290"/>
      <c r="J20" s="290"/>
      <c r="K20" s="290"/>
      <c r="L20" s="290"/>
      <c r="M20" s="290"/>
      <c r="N20" s="290"/>
      <c r="O20" s="290"/>
      <c r="P20" s="290"/>
      <c r="Q20" s="290"/>
      <c r="R20" s="290"/>
      <c r="S20" s="290"/>
      <c r="T20" s="290"/>
      <c r="U20" s="290"/>
      <c r="V20" s="290"/>
      <c r="W20" s="290"/>
      <c r="X20" s="290"/>
      <c r="Y20" s="290"/>
      <c r="Z20" s="290"/>
      <c r="AA20" s="290"/>
      <c r="AB20" s="290"/>
      <c r="AC20" s="290"/>
      <c r="AD20" s="290"/>
      <c r="AE20" s="290"/>
      <c r="AF20" s="290"/>
      <c r="AG20" s="290"/>
      <c r="AH20" s="290"/>
      <c r="AI20" s="290"/>
      <c r="AJ20" s="290"/>
      <c r="AK20" s="290"/>
      <c r="AL20" s="290"/>
      <c r="AM20" s="290"/>
      <c r="AN20" s="290"/>
      <c r="AO20" s="290"/>
      <c r="AP20" s="290"/>
      <c r="AQ20" s="290"/>
      <c r="AR20" s="290"/>
      <c r="AS20" s="290"/>
      <c r="AT20" s="290"/>
      <c r="AU20" s="290"/>
      <c r="AV20" s="290"/>
      <c r="AW20" s="290"/>
      <c r="AX20" s="290"/>
      <c r="AY20" s="290"/>
    </row>
    <row r="21" spans="1:51" ht="38.25">
      <c r="A21" s="264" t="s">
        <v>694</v>
      </c>
      <c r="B21" s="290"/>
      <c r="C21" s="290"/>
      <c r="D21" s="290"/>
      <c r="E21" s="290"/>
      <c r="F21" s="290"/>
      <c r="G21" s="290"/>
      <c r="H21" s="290"/>
      <c r="I21" s="290"/>
      <c r="J21" s="290"/>
      <c r="K21" s="290"/>
      <c r="L21" s="290"/>
      <c r="M21" s="290"/>
      <c r="N21" s="290"/>
      <c r="O21" s="290"/>
      <c r="P21" s="290"/>
      <c r="Q21" s="290"/>
      <c r="R21" s="290"/>
      <c r="S21" s="290"/>
      <c r="T21" s="290"/>
      <c r="U21" s="290"/>
      <c r="V21" s="290"/>
      <c r="W21" s="290"/>
      <c r="X21" s="290"/>
      <c r="Y21" s="290"/>
      <c r="Z21" s="290"/>
      <c r="AA21" s="290"/>
      <c r="AB21" s="290"/>
      <c r="AC21" s="290"/>
      <c r="AD21" s="290"/>
      <c r="AE21" s="290"/>
      <c r="AF21" s="290"/>
      <c r="AG21" s="290"/>
      <c r="AH21" s="290"/>
      <c r="AI21" s="290"/>
      <c r="AJ21" s="290"/>
      <c r="AK21" s="290"/>
      <c r="AL21" s="290"/>
      <c r="AM21" s="290"/>
      <c r="AN21" s="290"/>
      <c r="AO21" s="290"/>
      <c r="AP21" s="290"/>
      <c r="AQ21" s="290"/>
      <c r="AR21" s="290"/>
      <c r="AS21" s="290"/>
      <c r="AT21" s="290"/>
      <c r="AU21" s="290"/>
      <c r="AV21" s="290"/>
      <c r="AW21" s="290"/>
      <c r="AX21" s="290"/>
      <c r="AY21" s="290"/>
    </row>
    <row r="22" spans="1:51" ht="25.5">
      <c r="A22" s="12" t="s">
        <v>695</v>
      </c>
      <c r="B22" s="290"/>
      <c r="C22" s="290"/>
      <c r="D22" s="290"/>
      <c r="E22" s="290"/>
      <c r="F22" s="290"/>
      <c r="G22" s="290"/>
      <c r="H22" s="290"/>
      <c r="I22" s="290"/>
      <c r="J22" s="290"/>
      <c r="K22" s="290"/>
      <c r="L22" s="290"/>
      <c r="M22" s="290"/>
      <c r="N22" s="290"/>
      <c r="O22" s="290"/>
      <c r="P22" s="290"/>
      <c r="Q22" s="290"/>
      <c r="R22" s="290"/>
      <c r="S22" s="290"/>
      <c r="T22" s="290"/>
      <c r="U22" s="290"/>
      <c r="V22" s="290"/>
      <c r="W22" s="290"/>
      <c r="X22" s="290"/>
      <c r="Y22" s="290"/>
      <c r="Z22" s="290"/>
      <c r="AA22" s="290"/>
      <c r="AB22" s="290"/>
      <c r="AC22" s="290"/>
      <c r="AD22" s="290"/>
      <c r="AE22" s="290"/>
      <c r="AF22" s="290"/>
      <c r="AG22" s="290"/>
      <c r="AH22" s="290"/>
      <c r="AI22" s="290"/>
      <c r="AJ22" s="290"/>
      <c r="AK22" s="290"/>
      <c r="AL22" s="290"/>
      <c r="AM22" s="290"/>
      <c r="AN22" s="290"/>
      <c r="AO22" s="290"/>
      <c r="AP22" s="290"/>
      <c r="AQ22" s="290"/>
      <c r="AR22" s="290"/>
      <c r="AS22" s="290"/>
      <c r="AT22" s="290"/>
      <c r="AU22" s="290"/>
      <c r="AV22" s="290"/>
      <c r="AW22" s="290"/>
      <c r="AX22" s="290"/>
      <c r="AY22" s="290"/>
    </row>
    <row r="23" spans="1:51" ht="25.5">
      <c r="A23" s="288" t="s">
        <v>696</v>
      </c>
      <c r="B23" s="290"/>
      <c r="C23" s="290"/>
      <c r="D23" s="290"/>
      <c r="E23" s="290"/>
      <c r="F23" s="290"/>
      <c r="G23" s="290"/>
      <c r="H23" s="290"/>
      <c r="I23" s="290"/>
      <c r="J23" s="290"/>
      <c r="K23" s="290"/>
      <c r="L23" s="290"/>
      <c r="M23" s="290"/>
      <c r="N23" s="290"/>
      <c r="O23" s="290"/>
      <c r="P23" s="290"/>
      <c r="Q23" s="290"/>
      <c r="R23" s="290"/>
      <c r="S23" s="290"/>
      <c r="T23" s="290"/>
      <c r="U23" s="290"/>
      <c r="V23" s="290"/>
      <c r="W23" s="290"/>
      <c r="X23" s="290"/>
      <c r="Y23" s="290"/>
      <c r="Z23" s="290"/>
      <c r="AA23" s="290"/>
      <c r="AB23" s="290"/>
      <c r="AC23" s="290"/>
      <c r="AD23" s="290"/>
      <c r="AE23" s="290"/>
      <c r="AF23" s="290"/>
      <c r="AG23" s="290"/>
      <c r="AH23" s="290"/>
      <c r="AI23" s="290"/>
      <c r="AJ23" s="290"/>
      <c r="AK23" s="290"/>
      <c r="AL23" s="290"/>
      <c r="AM23" s="290"/>
      <c r="AN23" s="290"/>
      <c r="AO23" s="290"/>
      <c r="AP23" s="290"/>
      <c r="AQ23" s="290"/>
      <c r="AR23" s="290"/>
      <c r="AS23" s="290"/>
      <c r="AT23" s="290"/>
      <c r="AU23" s="290"/>
      <c r="AV23" s="290"/>
      <c r="AW23" s="290"/>
      <c r="AX23" s="290"/>
      <c r="AY23" s="290"/>
    </row>
    <row r="24" spans="1:51" ht="25.5">
      <c r="A24" s="289" t="s">
        <v>697</v>
      </c>
      <c r="B24" s="290"/>
      <c r="C24" s="290"/>
      <c r="D24" s="290"/>
      <c r="E24" s="290"/>
      <c r="F24" s="290"/>
      <c r="G24" s="290"/>
      <c r="H24" s="290"/>
      <c r="I24" s="290"/>
      <c r="J24" s="290"/>
      <c r="K24" s="290"/>
      <c r="L24" s="290"/>
      <c r="M24" s="290"/>
      <c r="N24" s="290"/>
      <c r="O24" s="290"/>
      <c r="P24" s="290"/>
      <c r="Q24" s="290"/>
      <c r="R24" s="290"/>
      <c r="S24" s="290"/>
      <c r="T24" s="290"/>
      <c r="U24" s="290"/>
      <c r="V24" s="290"/>
      <c r="W24" s="290"/>
      <c r="X24" s="290"/>
      <c r="Y24" s="290"/>
      <c r="Z24" s="290"/>
      <c r="AA24" s="290"/>
      <c r="AB24" s="290"/>
      <c r="AC24" s="290"/>
      <c r="AD24" s="290"/>
      <c r="AE24" s="290"/>
      <c r="AF24" s="290"/>
      <c r="AG24" s="290"/>
      <c r="AH24" s="290"/>
      <c r="AI24" s="290"/>
      <c r="AJ24" s="290"/>
      <c r="AK24" s="290"/>
      <c r="AL24" s="290"/>
      <c r="AM24" s="290"/>
      <c r="AN24" s="290"/>
      <c r="AO24" s="290"/>
      <c r="AP24" s="290"/>
      <c r="AQ24" s="290"/>
      <c r="AR24" s="290"/>
      <c r="AS24" s="290"/>
      <c r="AT24" s="290"/>
      <c r="AU24" s="290"/>
      <c r="AV24" s="290"/>
      <c r="AW24" s="290"/>
      <c r="AX24" s="290"/>
      <c r="AY24" s="290"/>
    </row>
    <row r="25" spans="1:51" ht="25.5">
      <c r="A25" s="11" t="s">
        <v>698</v>
      </c>
      <c r="B25" s="290"/>
      <c r="C25" s="290"/>
      <c r="D25" s="290"/>
      <c r="E25" s="290"/>
      <c r="F25" s="290"/>
      <c r="G25" s="290"/>
      <c r="H25" s="290"/>
      <c r="I25" s="290"/>
      <c r="J25" s="290"/>
      <c r="K25" s="290"/>
      <c r="L25" s="290"/>
      <c r="M25" s="290"/>
      <c r="N25" s="290"/>
      <c r="O25" s="290"/>
      <c r="P25" s="290"/>
      <c r="Q25" s="290"/>
      <c r="R25" s="290"/>
      <c r="S25" s="290"/>
      <c r="T25" s="290"/>
      <c r="U25" s="290"/>
      <c r="V25" s="290"/>
      <c r="W25" s="290"/>
      <c r="X25" s="290"/>
      <c r="Y25" s="290"/>
      <c r="Z25" s="290"/>
      <c r="AA25" s="290"/>
      <c r="AB25" s="290"/>
      <c r="AC25" s="290"/>
      <c r="AD25" s="290"/>
      <c r="AE25" s="290"/>
      <c r="AF25" s="290"/>
      <c r="AG25" s="290"/>
      <c r="AH25" s="290"/>
      <c r="AI25" s="290"/>
      <c r="AJ25" s="290"/>
      <c r="AK25" s="290"/>
      <c r="AL25" s="290"/>
      <c r="AM25" s="290"/>
      <c r="AN25" s="290"/>
      <c r="AO25" s="290"/>
      <c r="AP25" s="290"/>
      <c r="AQ25" s="290"/>
      <c r="AR25" s="290"/>
      <c r="AS25" s="290"/>
      <c r="AT25" s="290"/>
      <c r="AU25" s="290"/>
      <c r="AV25" s="290"/>
      <c r="AW25" s="290"/>
      <c r="AX25" s="290"/>
      <c r="AY25" s="290"/>
    </row>
    <row r="26" spans="1:51">
      <c r="A26" s="12" t="s">
        <v>699</v>
      </c>
      <c r="B26" s="290"/>
      <c r="C26" s="290"/>
      <c r="D26" s="290"/>
      <c r="E26" s="290"/>
      <c r="F26" s="290"/>
      <c r="G26" s="290"/>
      <c r="H26" s="290"/>
      <c r="I26" s="290"/>
      <c r="J26" s="290"/>
      <c r="K26" s="290"/>
      <c r="L26" s="290"/>
      <c r="M26" s="290"/>
      <c r="N26" s="290"/>
      <c r="O26" s="290"/>
      <c r="P26" s="290"/>
      <c r="Q26" s="290"/>
      <c r="R26" s="290"/>
      <c r="S26" s="290"/>
      <c r="T26" s="290"/>
      <c r="U26" s="290"/>
      <c r="V26" s="290"/>
      <c r="W26" s="290"/>
      <c r="X26" s="290"/>
      <c r="Y26" s="290"/>
      <c r="Z26" s="290"/>
      <c r="AA26" s="290"/>
      <c r="AB26" s="290"/>
      <c r="AC26" s="290"/>
      <c r="AD26" s="290"/>
      <c r="AE26" s="290"/>
      <c r="AF26" s="290"/>
      <c r="AG26" s="290"/>
      <c r="AH26" s="290"/>
      <c r="AI26" s="290"/>
      <c r="AJ26" s="290"/>
      <c r="AK26" s="290"/>
      <c r="AL26" s="290"/>
      <c r="AM26" s="290"/>
      <c r="AN26" s="290"/>
      <c r="AO26" s="290"/>
      <c r="AP26" s="290"/>
      <c r="AQ26" s="290"/>
      <c r="AR26" s="290"/>
      <c r="AS26" s="290"/>
      <c r="AT26" s="290"/>
      <c r="AU26" s="290"/>
      <c r="AV26" s="290"/>
      <c r="AW26" s="290"/>
      <c r="AX26" s="290"/>
      <c r="AY26" s="290"/>
    </row>
    <row r="27" spans="1:51" ht="25.5">
      <c r="A27" s="11" t="s">
        <v>700</v>
      </c>
      <c r="B27" s="290"/>
      <c r="C27" s="290"/>
      <c r="D27" s="290"/>
      <c r="E27" s="290"/>
      <c r="F27" s="290"/>
      <c r="G27" s="290"/>
      <c r="H27" s="290"/>
      <c r="I27" s="290"/>
      <c r="J27" s="290"/>
      <c r="K27" s="290"/>
      <c r="L27" s="290"/>
      <c r="M27" s="290"/>
      <c r="N27" s="290"/>
      <c r="O27" s="290"/>
      <c r="P27" s="290"/>
      <c r="Q27" s="290"/>
      <c r="R27" s="290"/>
      <c r="S27" s="290"/>
      <c r="T27" s="290"/>
      <c r="U27" s="290"/>
      <c r="V27" s="290"/>
      <c r="W27" s="290"/>
      <c r="X27" s="290"/>
      <c r="Y27" s="290"/>
      <c r="Z27" s="290"/>
      <c r="AA27" s="290"/>
      <c r="AB27" s="290"/>
      <c r="AC27" s="290"/>
      <c r="AD27" s="290"/>
      <c r="AE27" s="290"/>
      <c r="AF27" s="290"/>
      <c r="AG27" s="290"/>
      <c r="AH27" s="290"/>
      <c r="AI27" s="290"/>
      <c r="AJ27" s="290"/>
      <c r="AK27" s="290"/>
      <c r="AL27" s="290"/>
      <c r="AM27" s="290"/>
      <c r="AN27" s="290"/>
      <c r="AO27" s="290"/>
      <c r="AP27" s="290"/>
      <c r="AQ27" s="290"/>
      <c r="AR27" s="290"/>
      <c r="AS27" s="290"/>
      <c r="AT27" s="290"/>
      <c r="AU27" s="290"/>
      <c r="AV27" s="290"/>
      <c r="AW27" s="290"/>
      <c r="AX27" s="290"/>
      <c r="AY27" s="290"/>
    </row>
    <row r="28" spans="1:51">
      <c r="A28" s="11" t="s">
        <v>701</v>
      </c>
      <c r="B28" s="290"/>
      <c r="C28" s="290"/>
      <c r="D28" s="290"/>
      <c r="E28" s="290"/>
      <c r="F28" s="290"/>
      <c r="G28" s="290"/>
      <c r="H28" s="290"/>
      <c r="I28" s="290"/>
      <c r="J28" s="290"/>
      <c r="K28" s="290"/>
      <c r="L28" s="290"/>
      <c r="M28" s="290"/>
      <c r="N28" s="290"/>
      <c r="O28" s="290"/>
      <c r="P28" s="290"/>
      <c r="Q28" s="290"/>
      <c r="R28" s="290"/>
      <c r="S28" s="290"/>
      <c r="T28" s="290"/>
      <c r="U28" s="290"/>
      <c r="V28" s="290"/>
      <c r="W28" s="290"/>
      <c r="X28" s="290"/>
      <c r="Y28" s="290"/>
      <c r="Z28" s="290"/>
      <c r="AA28" s="290"/>
      <c r="AB28" s="290"/>
      <c r="AC28" s="290"/>
      <c r="AD28" s="290"/>
      <c r="AE28" s="290"/>
      <c r="AF28" s="290"/>
      <c r="AG28" s="290"/>
      <c r="AH28" s="290"/>
      <c r="AI28" s="290"/>
      <c r="AJ28" s="290"/>
      <c r="AK28" s="290"/>
      <c r="AL28" s="290"/>
      <c r="AM28" s="290"/>
      <c r="AN28" s="290"/>
      <c r="AO28" s="290"/>
      <c r="AP28" s="290"/>
      <c r="AQ28" s="290"/>
      <c r="AR28" s="290"/>
      <c r="AS28" s="290"/>
      <c r="AT28" s="290"/>
      <c r="AU28" s="290"/>
      <c r="AV28" s="290"/>
      <c r="AW28" s="290"/>
      <c r="AX28" s="290"/>
      <c r="AY28" s="290"/>
    </row>
    <row r="29" spans="1:51">
      <c r="A29" s="263" t="s">
        <v>702</v>
      </c>
      <c r="B29" s="290"/>
      <c r="C29" s="290"/>
      <c r="D29" s="290"/>
      <c r="E29" s="290"/>
      <c r="F29" s="290"/>
      <c r="G29" s="290"/>
      <c r="H29" s="290"/>
      <c r="I29" s="290"/>
      <c r="J29" s="290"/>
      <c r="K29" s="290"/>
      <c r="L29" s="290"/>
      <c r="M29" s="290"/>
      <c r="N29" s="290"/>
      <c r="O29" s="290"/>
      <c r="P29" s="290"/>
      <c r="Q29" s="290"/>
      <c r="R29" s="290"/>
      <c r="S29" s="290"/>
      <c r="T29" s="290"/>
      <c r="U29" s="290"/>
      <c r="V29" s="290"/>
      <c r="W29" s="290"/>
      <c r="X29" s="290"/>
      <c r="Y29" s="290"/>
      <c r="Z29" s="290"/>
      <c r="AA29" s="290"/>
      <c r="AB29" s="290"/>
      <c r="AC29" s="290"/>
      <c r="AD29" s="290"/>
      <c r="AE29" s="290"/>
      <c r="AF29" s="290"/>
      <c r="AG29" s="290"/>
      <c r="AH29" s="290"/>
      <c r="AI29" s="290"/>
      <c r="AJ29" s="290"/>
      <c r="AK29" s="290"/>
      <c r="AL29" s="290"/>
      <c r="AM29" s="290"/>
      <c r="AN29" s="290"/>
      <c r="AO29" s="290"/>
      <c r="AP29" s="290"/>
      <c r="AQ29" s="290"/>
      <c r="AR29" s="290"/>
      <c r="AS29" s="290"/>
      <c r="AT29" s="290"/>
      <c r="AU29" s="290"/>
      <c r="AV29" s="290"/>
      <c r="AW29" s="290"/>
      <c r="AX29" s="290"/>
      <c r="AY29" s="290"/>
    </row>
    <row r="30" spans="1:51" ht="25.5">
      <c r="A30" s="12" t="s">
        <v>703</v>
      </c>
      <c r="B30" s="290"/>
      <c r="C30" s="290"/>
      <c r="D30" s="290"/>
      <c r="E30" s="290"/>
      <c r="F30" s="290"/>
      <c r="G30" s="290"/>
      <c r="H30" s="290"/>
      <c r="I30" s="290"/>
      <c r="J30" s="290"/>
      <c r="K30" s="290"/>
      <c r="L30" s="290"/>
      <c r="M30" s="290"/>
      <c r="N30" s="290"/>
      <c r="O30" s="290"/>
      <c r="P30" s="290"/>
      <c r="Q30" s="290"/>
      <c r="R30" s="290"/>
      <c r="S30" s="290"/>
      <c r="T30" s="290"/>
      <c r="U30" s="290"/>
      <c r="V30" s="290"/>
      <c r="W30" s="290"/>
      <c r="X30" s="290"/>
      <c r="Y30" s="290"/>
      <c r="Z30" s="290"/>
      <c r="AA30" s="290"/>
      <c r="AB30" s="290"/>
      <c r="AC30" s="290"/>
      <c r="AD30" s="290"/>
      <c r="AE30" s="290"/>
      <c r="AF30" s="290"/>
      <c r="AG30" s="290"/>
      <c r="AH30" s="290"/>
      <c r="AI30" s="290"/>
      <c r="AJ30" s="290"/>
      <c r="AK30" s="290"/>
      <c r="AL30" s="290"/>
      <c r="AM30" s="290"/>
      <c r="AN30" s="290"/>
      <c r="AO30" s="290"/>
      <c r="AP30" s="290"/>
      <c r="AQ30" s="290"/>
      <c r="AR30" s="290"/>
      <c r="AS30" s="290"/>
      <c r="AT30" s="290"/>
      <c r="AU30" s="290"/>
      <c r="AV30" s="290"/>
      <c r="AW30" s="290"/>
      <c r="AX30" s="290"/>
      <c r="AY30" s="290"/>
    </row>
    <row r="31" spans="1:51">
      <c r="A31" s="264" t="s">
        <v>704</v>
      </c>
      <c r="B31" s="290"/>
      <c r="C31" s="290"/>
      <c r="D31" s="290"/>
      <c r="E31" s="290"/>
      <c r="F31" s="290"/>
      <c r="G31" s="290"/>
      <c r="H31" s="290"/>
      <c r="I31" s="290"/>
      <c r="J31" s="290"/>
      <c r="K31" s="290"/>
      <c r="L31" s="290"/>
      <c r="M31" s="290"/>
      <c r="N31" s="290"/>
      <c r="O31" s="290"/>
      <c r="P31" s="290"/>
      <c r="Q31" s="290"/>
      <c r="R31" s="290"/>
      <c r="S31" s="290"/>
      <c r="T31" s="290"/>
      <c r="U31" s="290"/>
      <c r="V31" s="290"/>
      <c r="W31" s="290"/>
      <c r="X31" s="290"/>
      <c r="Y31" s="290"/>
      <c r="Z31" s="290"/>
      <c r="AA31" s="290"/>
      <c r="AB31" s="290"/>
      <c r="AC31" s="290"/>
      <c r="AD31" s="290"/>
      <c r="AE31" s="290"/>
      <c r="AF31" s="290"/>
      <c r="AG31" s="290"/>
      <c r="AH31" s="290"/>
      <c r="AI31" s="290"/>
      <c r="AJ31" s="290"/>
      <c r="AK31" s="290"/>
      <c r="AL31" s="290"/>
      <c r="AM31" s="290"/>
      <c r="AN31" s="290"/>
      <c r="AO31" s="290"/>
      <c r="AP31" s="290"/>
      <c r="AQ31" s="290"/>
      <c r="AR31" s="290"/>
      <c r="AS31" s="290"/>
      <c r="AT31" s="290"/>
      <c r="AU31" s="290"/>
      <c r="AV31" s="290"/>
      <c r="AW31" s="290"/>
      <c r="AX31" s="290"/>
      <c r="AY31" s="290"/>
    </row>
    <row r="32" spans="1:51" ht="25.5">
      <c r="A32" s="264" t="s">
        <v>705</v>
      </c>
      <c r="B32" s="290"/>
      <c r="C32" s="290"/>
      <c r="D32" s="290"/>
      <c r="E32" s="290"/>
      <c r="F32" s="290"/>
      <c r="G32" s="290"/>
      <c r="H32" s="290"/>
      <c r="I32" s="290"/>
      <c r="J32" s="290"/>
      <c r="K32" s="290"/>
      <c r="L32" s="290"/>
      <c r="M32" s="290"/>
      <c r="N32" s="290"/>
      <c r="O32" s="290"/>
      <c r="P32" s="290"/>
      <c r="Q32" s="290"/>
      <c r="R32" s="290"/>
      <c r="S32" s="290"/>
      <c r="T32" s="290"/>
      <c r="U32" s="290"/>
      <c r="V32" s="290"/>
      <c r="W32" s="290"/>
      <c r="X32" s="290"/>
      <c r="Y32" s="290"/>
      <c r="Z32" s="290"/>
      <c r="AA32" s="290"/>
      <c r="AB32" s="290"/>
      <c r="AC32" s="290"/>
      <c r="AD32" s="290"/>
      <c r="AE32" s="290"/>
      <c r="AF32" s="290"/>
      <c r="AG32" s="290"/>
      <c r="AH32" s="290"/>
      <c r="AI32" s="290"/>
      <c r="AJ32" s="290"/>
      <c r="AK32" s="290"/>
      <c r="AL32" s="290"/>
      <c r="AM32" s="290"/>
      <c r="AN32" s="290"/>
      <c r="AO32" s="290"/>
      <c r="AP32" s="290"/>
      <c r="AQ32" s="290"/>
      <c r="AR32" s="290"/>
      <c r="AS32" s="290"/>
      <c r="AT32" s="290"/>
      <c r="AU32" s="290"/>
      <c r="AV32" s="290"/>
      <c r="AW32" s="290"/>
      <c r="AX32" s="290"/>
      <c r="AY32" s="290"/>
    </row>
    <row r="33" spans="1:51" ht="25.5">
      <c r="A33" s="264" t="s">
        <v>706</v>
      </c>
      <c r="B33" s="290"/>
      <c r="C33" s="290"/>
      <c r="D33" s="290"/>
      <c r="E33" s="290"/>
      <c r="F33" s="290"/>
      <c r="G33" s="290"/>
      <c r="H33" s="290"/>
      <c r="I33" s="290"/>
      <c r="J33" s="290"/>
      <c r="K33" s="290"/>
      <c r="L33" s="290"/>
      <c r="M33" s="290"/>
      <c r="N33" s="290"/>
      <c r="O33" s="290"/>
      <c r="P33" s="290"/>
      <c r="Q33" s="290"/>
      <c r="R33" s="290"/>
      <c r="S33" s="290"/>
      <c r="T33" s="290"/>
      <c r="U33" s="290"/>
      <c r="V33" s="290"/>
      <c r="W33" s="290"/>
      <c r="X33" s="290"/>
      <c r="Y33" s="290"/>
      <c r="Z33" s="290"/>
      <c r="AA33" s="290"/>
      <c r="AB33" s="290"/>
      <c r="AC33" s="290"/>
      <c r="AD33" s="290"/>
      <c r="AE33" s="290"/>
      <c r="AF33" s="290"/>
      <c r="AG33" s="290"/>
      <c r="AH33" s="290"/>
      <c r="AI33" s="290"/>
      <c r="AJ33" s="290"/>
      <c r="AK33" s="290"/>
      <c r="AL33" s="290"/>
      <c r="AM33" s="290"/>
      <c r="AN33" s="290"/>
      <c r="AO33" s="290"/>
      <c r="AP33" s="290"/>
      <c r="AQ33" s="290"/>
      <c r="AR33" s="290"/>
      <c r="AS33" s="290"/>
      <c r="AT33" s="290"/>
      <c r="AU33" s="290"/>
      <c r="AV33" s="290"/>
      <c r="AW33" s="290"/>
      <c r="AX33" s="290"/>
      <c r="AY33" s="290"/>
    </row>
    <row r="34" spans="1:51">
      <c r="A34" s="275" t="s">
        <v>707</v>
      </c>
      <c r="B34" s="290"/>
      <c r="C34" s="290"/>
      <c r="D34" s="290"/>
      <c r="E34" s="290"/>
      <c r="F34" s="290"/>
      <c r="G34" s="290"/>
      <c r="H34" s="290"/>
      <c r="I34" s="290"/>
      <c r="J34" s="290"/>
      <c r="K34" s="290"/>
      <c r="L34" s="290"/>
      <c r="M34" s="290"/>
      <c r="N34" s="290"/>
      <c r="O34" s="290"/>
      <c r="P34" s="290"/>
      <c r="Q34" s="290"/>
      <c r="R34" s="290"/>
      <c r="S34" s="290"/>
      <c r="T34" s="290"/>
      <c r="U34" s="290"/>
      <c r="V34" s="290"/>
      <c r="W34" s="290"/>
      <c r="X34" s="290"/>
      <c r="Y34" s="290"/>
      <c r="Z34" s="290"/>
      <c r="AA34" s="290"/>
      <c r="AB34" s="290"/>
      <c r="AC34" s="290"/>
      <c r="AD34" s="290"/>
      <c r="AE34" s="290"/>
      <c r="AF34" s="290"/>
      <c r="AG34" s="290"/>
      <c r="AH34" s="290"/>
      <c r="AI34" s="290"/>
      <c r="AJ34" s="290"/>
      <c r="AK34" s="290"/>
      <c r="AL34" s="290"/>
      <c r="AM34" s="290"/>
      <c r="AN34" s="290"/>
      <c r="AO34" s="290"/>
      <c r="AP34" s="290"/>
      <c r="AQ34" s="290"/>
      <c r="AR34" s="290"/>
      <c r="AS34" s="290"/>
      <c r="AT34" s="290"/>
      <c r="AU34" s="290"/>
      <c r="AV34" s="290"/>
      <c r="AW34" s="290"/>
      <c r="AX34" s="290"/>
      <c r="AY34" s="290"/>
    </row>
    <row r="35" spans="1:51" ht="25.5">
      <c r="A35" s="287" t="s">
        <v>708</v>
      </c>
      <c r="B35" s="290"/>
      <c r="C35" s="290"/>
      <c r="D35" s="290"/>
      <c r="E35" s="290"/>
      <c r="F35" s="290"/>
      <c r="G35" s="290"/>
      <c r="H35" s="290"/>
      <c r="I35" s="290"/>
      <c r="J35" s="290"/>
      <c r="K35" s="290"/>
      <c r="L35" s="290"/>
      <c r="M35" s="290"/>
      <c r="N35" s="290"/>
      <c r="O35" s="290"/>
      <c r="P35" s="290"/>
      <c r="Q35" s="290"/>
      <c r="R35" s="290"/>
      <c r="S35" s="290"/>
      <c r="T35" s="290"/>
      <c r="U35" s="290"/>
      <c r="V35" s="290"/>
      <c r="W35" s="290"/>
      <c r="X35" s="290"/>
      <c r="Y35" s="290"/>
      <c r="Z35" s="290"/>
      <c r="AA35" s="290"/>
      <c r="AB35" s="290"/>
      <c r="AC35" s="290"/>
      <c r="AD35" s="290"/>
      <c r="AE35" s="290"/>
      <c r="AF35" s="290"/>
      <c r="AG35" s="290"/>
      <c r="AH35" s="290"/>
      <c r="AI35" s="290"/>
      <c r="AJ35" s="290"/>
      <c r="AK35" s="290"/>
      <c r="AL35" s="290"/>
      <c r="AM35" s="290"/>
      <c r="AN35" s="290"/>
      <c r="AO35" s="290"/>
      <c r="AP35" s="290"/>
      <c r="AQ35" s="290"/>
      <c r="AR35" s="290"/>
      <c r="AS35" s="290"/>
      <c r="AT35" s="290"/>
      <c r="AU35" s="290"/>
      <c r="AV35" s="290"/>
      <c r="AW35" s="290"/>
      <c r="AX35" s="290"/>
      <c r="AY35" s="290"/>
    </row>
    <row r="36" spans="1:51" ht="25.5">
      <c r="A36" s="287" t="s">
        <v>709</v>
      </c>
      <c r="B36" s="290"/>
      <c r="C36" s="290"/>
      <c r="D36" s="290"/>
      <c r="E36" s="290"/>
      <c r="F36" s="290"/>
      <c r="G36" s="290"/>
      <c r="H36" s="290"/>
      <c r="I36" s="290"/>
      <c r="J36" s="290"/>
      <c r="K36" s="290"/>
      <c r="L36" s="290"/>
      <c r="M36" s="290"/>
      <c r="N36" s="290"/>
      <c r="O36" s="290"/>
      <c r="P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290"/>
      <c r="AM36" s="290"/>
      <c r="AN36" s="290"/>
      <c r="AO36" s="290"/>
      <c r="AP36" s="290"/>
      <c r="AQ36" s="290"/>
      <c r="AR36" s="290"/>
      <c r="AS36" s="290"/>
      <c r="AT36" s="290"/>
      <c r="AU36" s="290"/>
      <c r="AV36" s="290"/>
      <c r="AW36" s="290"/>
      <c r="AX36" s="290"/>
      <c r="AY36" s="290"/>
    </row>
    <row r="37" spans="1:51" ht="38.25">
      <c r="A37" s="275" t="s">
        <v>710</v>
      </c>
      <c r="B37" s="290"/>
      <c r="C37" s="290"/>
      <c r="D37" s="290"/>
      <c r="E37" s="290"/>
      <c r="F37" s="290"/>
      <c r="G37" s="290"/>
      <c r="H37" s="290"/>
      <c r="I37" s="290"/>
      <c r="J37" s="290"/>
      <c r="K37" s="290"/>
      <c r="L37" s="290"/>
      <c r="M37" s="290"/>
      <c r="N37" s="290"/>
      <c r="O37" s="290"/>
      <c r="P37" s="290"/>
      <c r="Q37" s="290"/>
      <c r="R37" s="290"/>
      <c r="S37" s="290"/>
      <c r="T37" s="290"/>
      <c r="U37" s="290"/>
      <c r="V37" s="290"/>
      <c r="W37" s="290"/>
      <c r="X37" s="290"/>
      <c r="Y37" s="290"/>
      <c r="Z37" s="290"/>
      <c r="AA37" s="290"/>
      <c r="AB37" s="290"/>
      <c r="AC37" s="290"/>
      <c r="AD37" s="290"/>
      <c r="AE37" s="290"/>
      <c r="AF37" s="290"/>
      <c r="AG37" s="290"/>
      <c r="AH37" s="290"/>
      <c r="AI37" s="290"/>
      <c r="AJ37" s="290"/>
      <c r="AK37" s="290"/>
      <c r="AL37" s="290"/>
      <c r="AM37" s="290"/>
      <c r="AN37" s="290"/>
      <c r="AO37" s="290"/>
      <c r="AP37" s="290"/>
      <c r="AQ37" s="290"/>
      <c r="AR37" s="290"/>
      <c r="AS37" s="290"/>
      <c r="AT37" s="290"/>
      <c r="AU37" s="290"/>
      <c r="AV37" s="290"/>
      <c r="AW37" s="290"/>
      <c r="AX37" s="290"/>
      <c r="AY37" s="290"/>
    </row>
    <row r="38" spans="1:51" ht="38.25">
      <c r="A38" s="287" t="s">
        <v>711</v>
      </c>
      <c r="B38" s="290"/>
      <c r="C38" s="290"/>
      <c r="D38" s="290"/>
      <c r="E38" s="290"/>
      <c r="F38" s="290"/>
      <c r="G38" s="290"/>
      <c r="H38" s="290"/>
      <c r="I38" s="290"/>
      <c r="J38" s="290"/>
      <c r="K38" s="290"/>
      <c r="L38" s="290"/>
      <c r="M38" s="290"/>
      <c r="N38" s="290"/>
      <c r="O38" s="290"/>
      <c r="P38" s="290"/>
      <c r="Q38" s="290"/>
      <c r="R38" s="290"/>
      <c r="S38" s="290"/>
      <c r="T38" s="290"/>
      <c r="U38" s="290"/>
      <c r="V38" s="290"/>
      <c r="W38" s="290"/>
      <c r="X38" s="290"/>
      <c r="Y38" s="290"/>
      <c r="Z38" s="290"/>
      <c r="AA38" s="290"/>
      <c r="AB38" s="290"/>
      <c r="AC38" s="290"/>
      <c r="AD38" s="290"/>
      <c r="AE38" s="290"/>
      <c r="AF38" s="290"/>
      <c r="AG38" s="290"/>
      <c r="AH38" s="290"/>
      <c r="AI38" s="290"/>
      <c r="AJ38" s="290"/>
      <c r="AK38" s="290"/>
      <c r="AL38" s="290"/>
      <c r="AM38" s="290"/>
      <c r="AN38" s="290"/>
      <c r="AO38" s="290"/>
      <c r="AP38" s="290"/>
      <c r="AQ38" s="290"/>
      <c r="AR38" s="290"/>
      <c r="AS38" s="290"/>
      <c r="AT38" s="290"/>
      <c r="AU38" s="290"/>
      <c r="AV38" s="290"/>
      <c r="AW38" s="290"/>
      <c r="AX38" s="290"/>
      <c r="AY38" s="290"/>
    </row>
    <row r="39" spans="1:51">
      <c r="A39" s="287" t="s">
        <v>712</v>
      </c>
      <c r="B39" s="290"/>
      <c r="C39" s="290"/>
      <c r="D39" s="290"/>
      <c r="E39" s="290"/>
      <c r="F39" s="290"/>
      <c r="G39" s="290"/>
      <c r="H39" s="290"/>
      <c r="I39" s="290"/>
      <c r="J39" s="290"/>
      <c r="K39" s="290"/>
      <c r="L39" s="290"/>
      <c r="M39" s="290"/>
      <c r="N39" s="290"/>
      <c r="O39" s="290"/>
      <c r="P39" s="290"/>
      <c r="Q39" s="290"/>
      <c r="R39" s="290"/>
      <c r="S39" s="290"/>
      <c r="T39" s="290"/>
      <c r="U39" s="290"/>
      <c r="V39" s="290"/>
      <c r="W39" s="290"/>
      <c r="X39" s="290"/>
      <c r="Y39" s="290"/>
      <c r="Z39" s="290"/>
      <c r="AA39" s="290"/>
      <c r="AB39" s="290"/>
      <c r="AC39" s="290"/>
      <c r="AD39" s="290"/>
      <c r="AE39" s="290"/>
      <c r="AF39" s="290"/>
      <c r="AG39" s="290"/>
      <c r="AH39" s="290"/>
      <c r="AI39" s="290"/>
      <c r="AJ39" s="290"/>
      <c r="AK39" s="290"/>
      <c r="AL39" s="290"/>
      <c r="AM39" s="290"/>
      <c r="AN39" s="290"/>
      <c r="AO39" s="290"/>
      <c r="AP39" s="290"/>
      <c r="AQ39" s="290"/>
      <c r="AR39" s="290"/>
      <c r="AS39" s="290"/>
      <c r="AT39" s="290"/>
      <c r="AU39" s="290"/>
      <c r="AV39" s="290"/>
      <c r="AW39" s="290"/>
      <c r="AX39" s="290"/>
      <c r="AY39" s="290"/>
    </row>
    <row r="40" spans="1:51" ht="25.5">
      <c r="A40" s="275" t="s">
        <v>713</v>
      </c>
      <c r="B40" s="290"/>
      <c r="C40" s="290"/>
      <c r="D40" s="290"/>
      <c r="E40" s="290"/>
      <c r="F40" s="290"/>
      <c r="G40" s="290"/>
      <c r="H40" s="290"/>
      <c r="I40" s="290"/>
      <c r="J40" s="290"/>
      <c r="K40" s="290"/>
      <c r="L40" s="290"/>
      <c r="M40" s="290"/>
      <c r="N40" s="290"/>
      <c r="O40" s="290"/>
      <c r="P40" s="290"/>
      <c r="Q40" s="290"/>
      <c r="R40" s="290"/>
      <c r="S40" s="290"/>
      <c r="T40" s="290"/>
      <c r="U40" s="290"/>
      <c r="V40" s="290"/>
      <c r="W40" s="290"/>
      <c r="X40" s="290"/>
      <c r="Y40" s="290"/>
      <c r="Z40" s="290"/>
      <c r="AA40" s="290"/>
      <c r="AB40" s="290"/>
      <c r="AC40" s="290"/>
      <c r="AD40" s="290"/>
      <c r="AE40" s="290"/>
      <c r="AF40" s="290"/>
      <c r="AG40" s="290"/>
      <c r="AH40" s="290"/>
      <c r="AI40" s="290"/>
      <c r="AJ40" s="290"/>
      <c r="AK40" s="290"/>
      <c r="AL40" s="290"/>
      <c r="AM40" s="290"/>
      <c r="AN40" s="290"/>
      <c r="AO40" s="290"/>
      <c r="AP40" s="290"/>
      <c r="AQ40" s="290"/>
      <c r="AR40" s="290"/>
      <c r="AS40" s="290"/>
      <c r="AT40" s="290"/>
      <c r="AU40" s="290"/>
      <c r="AV40" s="290"/>
      <c r="AW40" s="290"/>
      <c r="AX40" s="290"/>
      <c r="AY40" s="290"/>
    </row>
    <row r="41" spans="1:51" ht="25.5">
      <c r="A41" s="275" t="s">
        <v>714</v>
      </c>
      <c r="B41" s="290"/>
      <c r="C41" s="290"/>
      <c r="D41" s="290"/>
      <c r="E41" s="290"/>
      <c r="F41" s="290"/>
      <c r="G41" s="290"/>
      <c r="H41" s="290"/>
      <c r="I41" s="290"/>
      <c r="J41" s="290"/>
      <c r="K41" s="290"/>
      <c r="L41" s="290"/>
      <c r="M41" s="290"/>
      <c r="N41" s="290"/>
      <c r="O41" s="290"/>
      <c r="P41" s="290"/>
      <c r="Q41" s="290"/>
      <c r="R41" s="290"/>
      <c r="S41" s="290"/>
      <c r="T41" s="290"/>
      <c r="U41" s="290"/>
      <c r="V41" s="290"/>
      <c r="W41" s="290"/>
      <c r="X41" s="290"/>
      <c r="Y41" s="290"/>
      <c r="Z41" s="290"/>
      <c r="AA41" s="290"/>
      <c r="AB41" s="290"/>
      <c r="AC41" s="290"/>
      <c r="AD41" s="290"/>
      <c r="AE41" s="290"/>
      <c r="AF41" s="290"/>
      <c r="AG41" s="290"/>
      <c r="AH41" s="290"/>
      <c r="AI41" s="290"/>
      <c r="AJ41" s="290"/>
      <c r="AK41" s="290"/>
      <c r="AL41" s="290"/>
      <c r="AM41" s="290"/>
      <c r="AN41" s="290"/>
      <c r="AO41" s="290"/>
      <c r="AP41" s="290"/>
      <c r="AQ41" s="290"/>
      <c r="AR41" s="290"/>
      <c r="AS41" s="290"/>
      <c r="AT41" s="290"/>
      <c r="AU41" s="290"/>
      <c r="AV41" s="290"/>
      <c r="AW41" s="290"/>
      <c r="AX41" s="290"/>
      <c r="AY41" s="290"/>
    </row>
    <row r="42" spans="1:51" ht="25.5">
      <c r="A42" s="287" t="s">
        <v>715</v>
      </c>
      <c r="B42" s="290"/>
      <c r="C42" s="290"/>
      <c r="D42" s="290"/>
      <c r="E42" s="290"/>
      <c r="F42" s="290"/>
      <c r="G42" s="290"/>
      <c r="H42" s="290"/>
      <c r="I42" s="290"/>
      <c r="J42" s="290"/>
      <c r="K42" s="290"/>
      <c r="L42" s="290"/>
      <c r="M42" s="290"/>
      <c r="N42" s="290"/>
      <c r="O42" s="290"/>
      <c r="P42" s="290"/>
      <c r="Q42" s="290"/>
      <c r="R42" s="290"/>
      <c r="S42" s="290"/>
      <c r="T42" s="290"/>
      <c r="U42" s="290"/>
      <c r="V42" s="290"/>
      <c r="W42" s="290"/>
      <c r="X42" s="290"/>
      <c r="Y42" s="290"/>
      <c r="Z42" s="290"/>
      <c r="AA42" s="290"/>
      <c r="AB42" s="290"/>
      <c r="AC42" s="290"/>
      <c r="AD42" s="290"/>
      <c r="AE42" s="290"/>
      <c r="AF42" s="290"/>
      <c r="AG42" s="290"/>
      <c r="AH42" s="290"/>
      <c r="AI42" s="290"/>
      <c r="AJ42" s="290"/>
      <c r="AK42" s="290"/>
      <c r="AL42" s="290"/>
      <c r="AM42" s="290"/>
      <c r="AN42" s="290"/>
      <c r="AO42" s="290"/>
      <c r="AP42" s="290"/>
      <c r="AQ42" s="290"/>
      <c r="AR42" s="290"/>
      <c r="AS42" s="290"/>
      <c r="AT42" s="290"/>
      <c r="AU42" s="290"/>
      <c r="AV42" s="290"/>
      <c r="AW42" s="290"/>
      <c r="AX42" s="290"/>
      <c r="AY42" s="290"/>
    </row>
    <row r="43" spans="1:51" ht="38.25">
      <c r="A43" s="264" t="s">
        <v>716</v>
      </c>
      <c r="B43" s="290"/>
      <c r="C43" s="290"/>
      <c r="D43" s="290"/>
      <c r="E43" s="290"/>
      <c r="F43" s="290"/>
      <c r="G43" s="290"/>
      <c r="H43" s="290"/>
      <c r="I43" s="290"/>
      <c r="J43" s="290"/>
      <c r="K43" s="290"/>
      <c r="L43" s="290"/>
      <c r="M43" s="290"/>
      <c r="N43" s="290"/>
      <c r="O43" s="290"/>
      <c r="P43" s="290"/>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row>
    <row r="44" spans="1:51" ht="38.25">
      <c r="A44" s="285" t="s">
        <v>717</v>
      </c>
      <c r="B44" s="290"/>
      <c r="C44" s="290"/>
      <c r="D44" s="290"/>
      <c r="E44" s="290"/>
      <c r="F44" s="290"/>
      <c r="G44" s="290"/>
      <c r="H44" s="290"/>
      <c r="I44" s="290"/>
      <c r="J44" s="290"/>
      <c r="K44" s="290"/>
      <c r="L44" s="290"/>
      <c r="M44" s="290"/>
      <c r="N44" s="290"/>
      <c r="O44" s="290"/>
      <c r="P44" s="290"/>
      <c r="Q44" s="290"/>
      <c r="R44" s="290"/>
      <c r="S44" s="290"/>
      <c r="T44" s="290"/>
      <c r="U44" s="290"/>
      <c r="V44" s="290"/>
      <c r="W44" s="290"/>
      <c r="X44" s="290"/>
      <c r="Y44" s="290"/>
      <c r="Z44" s="290"/>
      <c r="AA44" s="290"/>
      <c r="AB44" s="290"/>
      <c r="AC44" s="290"/>
      <c r="AD44" s="290"/>
      <c r="AE44" s="290"/>
      <c r="AF44" s="290"/>
      <c r="AG44" s="290"/>
      <c r="AH44" s="290"/>
      <c r="AI44" s="290"/>
      <c r="AJ44" s="290"/>
      <c r="AK44" s="290"/>
      <c r="AL44" s="290"/>
      <c r="AM44" s="290"/>
      <c r="AN44" s="290"/>
      <c r="AO44" s="290"/>
      <c r="AP44" s="290"/>
      <c r="AQ44" s="290"/>
      <c r="AR44" s="290"/>
      <c r="AS44" s="290"/>
      <c r="AT44" s="290"/>
      <c r="AU44" s="290"/>
      <c r="AV44" s="290"/>
      <c r="AW44" s="290"/>
      <c r="AX44" s="290"/>
      <c r="AY44" s="290"/>
    </row>
    <row r="45" spans="1:51" ht="51">
      <c r="A45" s="285" t="s">
        <v>718</v>
      </c>
      <c r="B45" s="290"/>
      <c r="C45" s="290"/>
      <c r="D45" s="290"/>
      <c r="E45" s="290"/>
      <c r="F45" s="290"/>
      <c r="G45" s="290"/>
      <c r="H45" s="290"/>
      <c r="I45" s="290"/>
      <c r="J45" s="290"/>
      <c r="K45" s="290"/>
      <c r="L45" s="290"/>
      <c r="M45" s="290"/>
      <c r="N45" s="290"/>
      <c r="O45" s="290"/>
      <c r="P45" s="290"/>
      <c r="Q45" s="290"/>
      <c r="R45" s="290"/>
      <c r="S45" s="290"/>
      <c r="T45" s="290"/>
      <c r="U45" s="290"/>
      <c r="V45" s="290"/>
      <c r="W45" s="290"/>
      <c r="X45" s="290"/>
      <c r="Y45" s="290"/>
      <c r="Z45" s="290"/>
      <c r="AA45" s="290"/>
      <c r="AB45" s="290"/>
      <c r="AC45" s="290"/>
      <c r="AD45" s="290"/>
      <c r="AE45" s="290"/>
      <c r="AF45" s="290"/>
      <c r="AG45" s="290"/>
      <c r="AH45" s="290"/>
      <c r="AI45" s="290"/>
      <c r="AJ45" s="290"/>
      <c r="AK45" s="290"/>
      <c r="AL45" s="290"/>
      <c r="AM45" s="290"/>
      <c r="AN45" s="290"/>
      <c r="AO45" s="290"/>
      <c r="AP45" s="290"/>
      <c r="AQ45" s="290"/>
      <c r="AR45" s="290"/>
      <c r="AS45" s="290"/>
      <c r="AT45" s="290"/>
      <c r="AU45" s="290"/>
      <c r="AV45" s="290"/>
      <c r="AW45" s="290"/>
      <c r="AX45" s="290"/>
      <c r="AY45" s="290"/>
    </row>
    <row r="46" spans="1:51" ht="25.5">
      <c r="A46" s="264" t="s">
        <v>719</v>
      </c>
      <c r="B46" s="290"/>
      <c r="C46" s="290"/>
      <c r="D46" s="290"/>
      <c r="E46" s="290"/>
      <c r="F46" s="290"/>
      <c r="G46" s="290"/>
      <c r="H46" s="290"/>
      <c r="I46" s="290"/>
      <c r="J46" s="290"/>
      <c r="K46" s="290"/>
      <c r="L46" s="290"/>
      <c r="M46" s="290"/>
      <c r="N46" s="290"/>
      <c r="O46" s="290"/>
      <c r="P46" s="290"/>
      <c r="Q46" s="290"/>
      <c r="R46" s="290"/>
      <c r="S46" s="290"/>
      <c r="T46" s="290"/>
      <c r="U46" s="290"/>
      <c r="V46" s="290"/>
      <c r="W46" s="290"/>
      <c r="X46" s="290"/>
      <c r="Y46" s="290"/>
      <c r="Z46" s="290"/>
      <c r="AA46" s="290"/>
      <c r="AB46" s="290"/>
      <c r="AC46" s="290"/>
      <c r="AD46" s="290"/>
      <c r="AE46" s="290"/>
      <c r="AF46" s="290"/>
      <c r="AG46" s="290"/>
      <c r="AH46" s="290"/>
      <c r="AI46" s="290"/>
      <c r="AJ46" s="290"/>
      <c r="AK46" s="290"/>
      <c r="AL46" s="290"/>
      <c r="AM46" s="290"/>
      <c r="AN46" s="290"/>
      <c r="AO46" s="290"/>
      <c r="AP46" s="290"/>
      <c r="AQ46" s="290"/>
      <c r="AR46" s="290"/>
      <c r="AS46" s="290"/>
      <c r="AT46" s="290"/>
      <c r="AU46" s="290"/>
      <c r="AV46" s="290"/>
      <c r="AW46" s="290"/>
      <c r="AX46" s="290"/>
      <c r="AY46" s="290"/>
    </row>
    <row r="47" spans="1:51" ht="25.5">
      <c r="A47" s="285" t="s">
        <v>720</v>
      </c>
      <c r="B47" s="290"/>
      <c r="C47" s="290"/>
      <c r="D47" s="290"/>
      <c r="E47" s="290"/>
      <c r="F47" s="290"/>
      <c r="G47" s="290"/>
      <c r="H47" s="290"/>
      <c r="I47" s="290"/>
      <c r="J47" s="290"/>
      <c r="K47" s="290"/>
      <c r="L47" s="290"/>
      <c r="M47" s="290"/>
      <c r="N47" s="290"/>
      <c r="O47" s="290"/>
      <c r="P47" s="290"/>
      <c r="Q47" s="290"/>
      <c r="R47" s="290"/>
      <c r="S47" s="290"/>
      <c r="T47" s="290"/>
      <c r="U47" s="290"/>
      <c r="V47" s="290"/>
      <c r="W47" s="290"/>
      <c r="X47" s="290"/>
      <c r="Y47" s="290"/>
      <c r="Z47" s="290"/>
      <c r="AA47" s="290"/>
      <c r="AB47" s="290"/>
      <c r="AC47" s="290"/>
      <c r="AD47" s="290"/>
      <c r="AE47" s="290"/>
      <c r="AF47" s="290"/>
      <c r="AG47" s="290"/>
      <c r="AH47" s="290"/>
      <c r="AI47" s="290"/>
      <c r="AJ47" s="290"/>
      <c r="AK47" s="290"/>
      <c r="AL47" s="290"/>
      <c r="AM47" s="290"/>
      <c r="AN47" s="290"/>
      <c r="AO47" s="290"/>
      <c r="AP47" s="290"/>
      <c r="AQ47" s="290"/>
      <c r="AR47" s="290"/>
      <c r="AS47" s="290"/>
      <c r="AT47" s="290"/>
      <c r="AU47" s="290"/>
      <c r="AV47" s="290"/>
      <c r="AW47" s="290"/>
      <c r="AX47" s="290"/>
      <c r="AY47" s="290"/>
    </row>
    <row r="48" spans="1:51" ht="51">
      <c r="A48" s="285" t="s">
        <v>721</v>
      </c>
      <c r="B48" s="290"/>
      <c r="C48" s="290"/>
      <c r="D48" s="290"/>
      <c r="E48" s="290"/>
      <c r="F48" s="290"/>
      <c r="G48" s="290"/>
      <c r="H48" s="290"/>
      <c r="I48" s="290"/>
      <c r="J48" s="290"/>
      <c r="K48" s="290"/>
      <c r="L48" s="290"/>
      <c r="M48" s="290"/>
      <c r="N48" s="290"/>
      <c r="O48" s="290"/>
      <c r="P48" s="290"/>
      <c r="Q48" s="290"/>
      <c r="R48" s="290"/>
      <c r="S48" s="290"/>
      <c r="T48" s="290"/>
      <c r="U48" s="290"/>
      <c r="V48" s="290"/>
      <c r="W48" s="290"/>
      <c r="X48" s="290"/>
      <c r="Y48" s="290"/>
      <c r="Z48" s="290"/>
      <c r="AA48" s="290"/>
      <c r="AB48" s="290"/>
      <c r="AC48" s="290"/>
      <c r="AD48" s="290"/>
      <c r="AE48" s="290"/>
      <c r="AF48" s="290"/>
      <c r="AG48" s="290"/>
      <c r="AH48" s="290"/>
      <c r="AI48" s="290"/>
      <c r="AJ48" s="290"/>
      <c r="AK48" s="290"/>
      <c r="AL48" s="290"/>
      <c r="AM48" s="290"/>
      <c r="AN48" s="290"/>
      <c r="AO48" s="290"/>
      <c r="AP48" s="290"/>
      <c r="AQ48" s="290"/>
      <c r="AR48" s="290"/>
      <c r="AS48" s="290"/>
      <c r="AT48" s="290"/>
      <c r="AU48" s="290"/>
      <c r="AV48" s="290"/>
      <c r="AW48" s="290"/>
      <c r="AX48" s="290"/>
      <c r="AY48" s="290"/>
    </row>
    <row r="49" spans="1:51" ht="51">
      <c r="A49" s="285" t="s">
        <v>722</v>
      </c>
      <c r="B49" s="290"/>
      <c r="C49" s="290"/>
      <c r="D49" s="290"/>
      <c r="E49" s="290"/>
      <c r="F49" s="290"/>
      <c r="G49" s="290"/>
      <c r="H49" s="290"/>
      <c r="I49" s="290"/>
      <c r="J49" s="290"/>
      <c r="K49" s="290"/>
      <c r="L49" s="290"/>
      <c r="M49" s="290"/>
      <c r="N49" s="290"/>
      <c r="O49" s="290"/>
      <c r="P49" s="290"/>
      <c r="Q49" s="290"/>
      <c r="R49" s="290"/>
      <c r="S49" s="290"/>
      <c r="T49" s="290"/>
      <c r="U49" s="290"/>
      <c r="V49" s="290"/>
      <c r="W49" s="290"/>
      <c r="X49" s="290"/>
      <c r="Y49" s="290"/>
      <c r="Z49" s="290"/>
      <c r="AA49" s="290"/>
      <c r="AB49" s="290"/>
      <c r="AC49" s="290"/>
      <c r="AD49" s="290"/>
      <c r="AE49" s="290"/>
      <c r="AF49" s="290"/>
      <c r="AG49" s="290"/>
      <c r="AH49" s="290"/>
      <c r="AI49" s="290"/>
      <c r="AJ49" s="290"/>
      <c r="AK49" s="290"/>
      <c r="AL49" s="290"/>
      <c r="AM49" s="290"/>
      <c r="AN49" s="290"/>
      <c r="AO49" s="290"/>
      <c r="AP49" s="290"/>
      <c r="AQ49" s="290"/>
      <c r="AR49" s="290"/>
      <c r="AS49" s="290"/>
      <c r="AT49" s="290"/>
      <c r="AU49" s="290"/>
      <c r="AV49" s="290"/>
      <c r="AW49" s="290"/>
      <c r="AX49" s="290"/>
      <c r="AY49" s="290"/>
    </row>
    <row r="50" spans="1:51" ht="38.25">
      <c r="A50" s="285" t="s">
        <v>723</v>
      </c>
      <c r="B50" s="290"/>
      <c r="C50" s="290"/>
      <c r="D50" s="290"/>
      <c r="E50" s="290"/>
      <c r="F50" s="290"/>
      <c r="G50" s="290"/>
      <c r="H50" s="290"/>
      <c r="I50" s="290"/>
      <c r="J50" s="290"/>
      <c r="K50" s="290"/>
      <c r="L50" s="290"/>
      <c r="M50" s="290"/>
      <c r="N50" s="290"/>
      <c r="O50" s="290"/>
      <c r="P50" s="290"/>
      <c r="Q50" s="290"/>
      <c r="R50" s="290"/>
      <c r="S50" s="290"/>
      <c r="T50" s="290"/>
      <c r="U50" s="290"/>
      <c r="V50" s="290"/>
      <c r="W50" s="290"/>
      <c r="X50" s="290"/>
      <c r="Y50" s="290"/>
      <c r="Z50" s="290"/>
      <c r="AA50" s="290"/>
      <c r="AB50" s="290"/>
      <c r="AC50" s="290"/>
      <c r="AD50" s="290"/>
      <c r="AE50" s="290"/>
      <c r="AF50" s="290"/>
      <c r="AG50" s="290"/>
      <c r="AH50" s="290"/>
      <c r="AI50" s="290"/>
      <c r="AJ50" s="290"/>
      <c r="AK50" s="290"/>
      <c r="AL50" s="290"/>
      <c r="AM50" s="290"/>
      <c r="AN50" s="290"/>
      <c r="AO50" s="290"/>
      <c r="AP50" s="290"/>
      <c r="AQ50" s="290"/>
      <c r="AR50" s="290"/>
      <c r="AS50" s="290"/>
      <c r="AT50" s="290"/>
      <c r="AU50" s="290"/>
      <c r="AV50" s="290"/>
      <c r="AW50" s="290"/>
      <c r="AX50" s="290"/>
      <c r="AY50" s="290"/>
    </row>
    <row r="51" spans="1:51" ht="51">
      <c r="A51" s="264" t="s">
        <v>724</v>
      </c>
      <c r="B51" s="290"/>
      <c r="C51" s="290"/>
      <c r="D51" s="290"/>
      <c r="E51" s="290"/>
      <c r="F51" s="290"/>
      <c r="G51" s="290"/>
      <c r="H51" s="290"/>
      <c r="I51" s="290"/>
      <c r="J51" s="290"/>
      <c r="K51" s="290"/>
      <c r="L51" s="290"/>
      <c r="M51" s="290"/>
      <c r="N51" s="290"/>
      <c r="O51" s="290"/>
      <c r="P51" s="290"/>
      <c r="Q51" s="290"/>
      <c r="R51" s="290"/>
      <c r="S51" s="290"/>
      <c r="T51" s="290"/>
      <c r="U51" s="290"/>
      <c r="V51" s="290"/>
      <c r="W51" s="290"/>
      <c r="X51" s="290"/>
      <c r="Y51" s="290"/>
      <c r="Z51" s="290"/>
      <c r="AA51" s="290"/>
      <c r="AB51" s="290"/>
      <c r="AC51" s="290"/>
      <c r="AD51" s="290"/>
      <c r="AE51" s="290"/>
      <c r="AF51" s="290"/>
      <c r="AG51" s="290"/>
      <c r="AH51" s="290"/>
      <c r="AI51" s="290"/>
      <c r="AJ51" s="290"/>
      <c r="AK51" s="290"/>
      <c r="AL51" s="290"/>
      <c r="AM51" s="290"/>
      <c r="AN51" s="290"/>
      <c r="AO51" s="290"/>
      <c r="AP51" s="290"/>
      <c r="AQ51" s="290"/>
      <c r="AR51" s="290"/>
      <c r="AS51" s="290"/>
      <c r="AT51" s="290"/>
      <c r="AU51" s="290"/>
      <c r="AV51" s="290"/>
      <c r="AW51" s="290"/>
      <c r="AX51" s="290"/>
      <c r="AY51" s="290"/>
    </row>
  </sheetData>
  <pageMargins left="0.7" right="0.7" top="0.75" bottom="0.75" header="0.3" footer="0.3"/>
  <pageSetup orientation="portrait" verticalDpi="599"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8"/>
  <dimension ref="A1:E9"/>
  <sheetViews>
    <sheetView showGridLines="0" workbookViewId="0">
      <selection activeCell="E2" sqref="E2:E7"/>
    </sheetView>
  </sheetViews>
  <sheetFormatPr baseColWidth="10" defaultRowHeight="15.75"/>
  <cols>
    <col min="1" max="5" width="38.25" customWidth="1"/>
  </cols>
  <sheetData>
    <row r="1" spans="1:5" ht="38.25">
      <c r="A1" s="267" t="s">
        <v>645</v>
      </c>
      <c r="B1" s="269" t="s">
        <v>646</v>
      </c>
      <c r="C1" s="270" t="s">
        <v>647</v>
      </c>
      <c r="D1" s="271" t="s">
        <v>648</v>
      </c>
      <c r="E1" s="272" t="s">
        <v>649</v>
      </c>
    </row>
    <row r="2" spans="1:5" ht="39.75" customHeight="1">
      <c r="A2" s="264" t="s">
        <v>646</v>
      </c>
      <c r="B2" s="263" t="s">
        <v>655</v>
      </c>
      <c r="C2" s="10" t="s">
        <v>670</v>
      </c>
      <c r="D2" s="10" t="s">
        <v>663</v>
      </c>
      <c r="E2" s="120" t="s">
        <v>667</v>
      </c>
    </row>
    <row r="3" spans="1:5" ht="39.75" customHeight="1">
      <c r="A3" s="121" t="s">
        <v>647</v>
      </c>
      <c r="B3" s="263" t="s">
        <v>656</v>
      </c>
      <c r="C3" s="32" t="s">
        <v>674</v>
      </c>
      <c r="D3" s="32" t="s">
        <v>664</v>
      </c>
      <c r="E3" s="119" t="s">
        <v>668</v>
      </c>
    </row>
    <row r="4" spans="1:5" ht="39.75" customHeight="1">
      <c r="A4" s="120" t="s">
        <v>648</v>
      </c>
      <c r="B4" s="263" t="s">
        <v>657</v>
      </c>
      <c r="C4" s="32" t="s">
        <v>659</v>
      </c>
      <c r="D4" s="35" t="s">
        <v>665</v>
      </c>
      <c r="E4" s="238" t="s">
        <v>675</v>
      </c>
    </row>
    <row r="5" spans="1:5" ht="39.75" customHeight="1">
      <c r="A5" s="119" t="s">
        <v>649</v>
      </c>
      <c r="B5" s="262"/>
      <c r="C5" s="32" t="s">
        <v>660</v>
      </c>
      <c r="D5" s="35" t="s">
        <v>671</v>
      </c>
      <c r="E5" s="119" t="s">
        <v>672</v>
      </c>
    </row>
    <row r="6" spans="1:5" ht="39.75" customHeight="1">
      <c r="B6" s="262"/>
      <c r="C6" s="10" t="s">
        <v>662</v>
      </c>
      <c r="E6" s="119" t="s">
        <v>669</v>
      </c>
    </row>
    <row r="7" spans="1:5" ht="39.75" customHeight="1">
      <c r="B7" s="262"/>
      <c r="C7" s="164" t="s">
        <v>245</v>
      </c>
      <c r="E7" s="120" t="s">
        <v>673</v>
      </c>
    </row>
    <row r="8" spans="1:5">
      <c r="B8" s="262"/>
      <c r="C8" s="262"/>
    </row>
    <row r="9" spans="1:5">
      <c r="B9" s="262"/>
      <c r="C9" s="262"/>
    </row>
  </sheetData>
  <pageMargins left="0.7" right="0.7" top="0.75" bottom="0.75" header="0.3" footer="0.3"/>
  <pageSetup paperSize="9" orientation="portrait" horizontalDpi="4294967294" verticalDpi="4294967294"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2"/>
  <dimension ref="A1:L39"/>
  <sheetViews>
    <sheetView showGridLines="0" topLeftCell="H10" workbookViewId="0">
      <selection activeCell="J12" sqref="J12"/>
    </sheetView>
  </sheetViews>
  <sheetFormatPr baseColWidth="10" defaultRowHeight="15"/>
  <cols>
    <col min="1" max="1" width="39.625" style="699" customWidth="1"/>
    <col min="2" max="12" width="33" style="699" customWidth="1"/>
    <col min="13" max="16384" width="11" style="699"/>
  </cols>
  <sheetData>
    <row r="1" spans="1:12" ht="30">
      <c r="A1" s="698" t="s">
        <v>787</v>
      </c>
      <c r="B1" s="690" t="s">
        <v>1697</v>
      </c>
      <c r="C1" s="416" t="s">
        <v>1698</v>
      </c>
      <c r="D1" s="452" t="s">
        <v>1699</v>
      </c>
      <c r="E1" s="480" t="s">
        <v>1700</v>
      </c>
      <c r="F1" s="510" t="s">
        <v>1701</v>
      </c>
      <c r="G1" s="534" t="s">
        <v>1702</v>
      </c>
      <c r="H1" s="563" t="s">
        <v>1703</v>
      </c>
      <c r="I1" s="584" t="s">
        <v>1704</v>
      </c>
      <c r="J1" s="597" t="s">
        <v>1705</v>
      </c>
      <c r="K1" s="621" t="s">
        <v>1706</v>
      </c>
      <c r="L1" s="651" t="s">
        <v>1707</v>
      </c>
    </row>
    <row r="2" spans="1:12" ht="75">
      <c r="A2" s="690" t="s">
        <v>1697</v>
      </c>
      <c r="B2" s="700" t="s">
        <v>1568</v>
      </c>
      <c r="C2" s="700" t="s">
        <v>1582</v>
      </c>
      <c r="D2" s="701" t="s">
        <v>1592</v>
      </c>
      <c r="E2" s="700" t="s">
        <v>1597</v>
      </c>
      <c r="F2" s="700" t="s">
        <v>1607</v>
      </c>
      <c r="G2" s="701" t="s">
        <v>1615</v>
      </c>
      <c r="H2" s="700" t="s">
        <v>1619</v>
      </c>
      <c r="I2" s="701" t="s">
        <v>1629</v>
      </c>
      <c r="J2" s="701" t="s">
        <v>1638</v>
      </c>
      <c r="K2" s="700" t="s">
        <v>1653</v>
      </c>
      <c r="L2" s="700" t="s">
        <v>1691</v>
      </c>
    </row>
    <row r="3" spans="1:12" ht="105">
      <c r="A3" s="416" t="s">
        <v>1698</v>
      </c>
      <c r="B3" s="700" t="s">
        <v>1569</v>
      </c>
      <c r="C3" s="700" t="s">
        <v>1583</v>
      </c>
      <c r="D3" s="701" t="s">
        <v>1593</v>
      </c>
      <c r="E3" s="733" t="s">
        <v>1598</v>
      </c>
      <c r="F3" s="700" t="s">
        <v>1608</v>
      </c>
      <c r="G3" s="701" t="s">
        <v>1740</v>
      </c>
      <c r="H3" s="700" t="s">
        <v>1620</v>
      </c>
      <c r="I3" s="701" t="s">
        <v>1630</v>
      </c>
      <c r="J3" s="701" t="s">
        <v>1639</v>
      </c>
      <c r="K3" s="700" t="s">
        <v>1654</v>
      </c>
      <c r="L3" s="700" t="s">
        <v>1692</v>
      </c>
    </row>
    <row r="4" spans="1:12" ht="105">
      <c r="A4" s="452" t="s">
        <v>1699</v>
      </c>
      <c r="B4" s="700" t="s">
        <v>1570</v>
      </c>
      <c r="C4" s="700" t="s">
        <v>1584</v>
      </c>
      <c r="D4" s="701" t="s">
        <v>1594</v>
      </c>
      <c r="E4" s="700" t="s">
        <v>1599</v>
      </c>
      <c r="F4" s="700" t="s">
        <v>1609</v>
      </c>
      <c r="G4" s="764" t="s">
        <v>1769</v>
      </c>
      <c r="H4" s="700" t="s">
        <v>1621</v>
      </c>
      <c r="I4" s="701" t="s">
        <v>1631</v>
      </c>
      <c r="J4" s="701" t="s">
        <v>1640</v>
      </c>
      <c r="K4" s="700" t="s">
        <v>1655</v>
      </c>
      <c r="L4" s="700" t="s">
        <v>1693</v>
      </c>
    </row>
    <row r="5" spans="1:12" ht="105">
      <c r="A5" s="480" t="s">
        <v>1700</v>
      </c>
      <c r="B5" s="700" t="s">
        <v>1571</v>
      </c>
      <c r="C5" s="700" t="s">
        <v>1585</v>
      </c>
      <c r="D5" s="701" t="s">
        <v>1595</v>
      </c>
      <c r="E5" s="765" t="s">
        <v>1779</v>
      </c>
      <c r="F5" s="700" t="s">
        <v>1610</v>
      </c>
      <c r="G5" s="701" t="s">
        <v>1616</v>
      </c>
      <c r="H5" s="700" t="s">
        <v>1622</v>
      </c>
      <c r="I5" s="701" t="s">
        <v>1632</v>
      </c>
      <c r="J5" s="701" t="s">
        <v>1641</v>
      </c>
      <c r="K5" s="700" t="s">
        <v>1656</v>
      </c>
      <c r="L5" s="700" t="s">
        <v>1694</v>
      </c>
    </row>
    <row r="6" spans="1:12" ht="60">
      <c r="A6" s="510" t="s">
        <v>1701</v>
      </c>
      <c r="B6" s="700" t="s">
        <v>1572</v>
      </c>
      <c r="C6" s="700" t="s">
        <v>1586</v>
      </c>
      <c r="D6" s="701" t="s">
        <v>1731</v>
      </c>
      <c r="E6" s="700" t="s">
        <v>1600</v>
      </c>
      <c r="F6" s="733" t="s">
        <v>1736</v>
      </c>
      <c r="G6" s="701" t="s">
        <v>1617</v>
      </c>
      <c r="H6" s="700" t="s">
        <v>1623</v>
      </c>
      <c r="I6" s="701" t="s">
        <v>1633</v>
      </c>
      <c r="J6" s="701" t="s">
        <v>1642</v>
      </c>
      <c r="K6" s="700" t="s">
        <v>1657</v>
      </c>
      <c r="L6" s="700" t="s">
        <v>1695</v>
      </c>
    </row>
    <row r="7" spans="1:12" ht="90">
      <c r="A7" s="534" t="s">
        <v>1702</v>
      </c>
      <c r="B7" s="700" t="s">
        <v>1573</v>
      </c>
      <c r="C7" s="700" t="s">
        <v>1587</v>
      </c>
      <c r="D7" s="701" t="s">
        <v>1596</v>
      </c>
      <c r="E7" s="700" t="s">
        <v>1601</v>
      </c>
      <c r="F7" s="700" t="s">
        <v>1738</v>
      </c>
      <c r="G7" s="701" t="s">
        <v>1618</v>
      </c>
      <c r="H7" s="700" t="s">
        <v>1624</v>
      </c>
      <c r="I7" s="701" t="s">
        <v>1634</v>
      </c>
      <c r="J7" s="701" t="s">
        <v>1643</v>
      </c>
      <c r="K7" s="700" t="s">
        <v>1658</v>
      </c>
      <c r="L7" s="700" t="s">
        <v>1696</v>
      </c>
    </row>
    <row r="8" spans="1:12" ht="90">
      <c r="A8" s="563" t="s">
        <v>1703</v>
      </c>
      <c r="B8" s="700" t="s">
        <v>1574</v>
      </c>
      <c r="C8" s="700" t="s">
        <v>1588</v>
      </c>
      <c r="E8" s="700" t="s">
        <v>1602</v>
      </c>
      <c r="F8" s="700" t="s">
        <v>1611</v>
      </c>
      <c r="H8" s="700" t="s">
        <v>1625</v>
      </c>
      <c r="I8" s="701" t="s">
        <v>1635</v>
      </c>
      <c r="J8" s="701" t="s">
        <v>1644</v>
      </c>
      <c r="K8" s="700" t="s">
        <v>1659</v>
      </c>
    </row>
    <row r="9" spans="1:12" ht="75">
      <c r="A9" s="584" t="s">
        <v>1704</v>
      </c>
      <c r="B9" s="700" t="s">
        <v>1575</v>
      </c>
      <c r="C9" s="700" t="s">
        <v>1589</v>
      </c>
      <c r="E9" s="700" t="s">
        <v>1603</v>
      </c>
      <c r="F9" s="700" t="s">
        <v>1612</v>
      </c>
      <c r="H9" s="700" t="s">
        <v>1626</v>
      </c>
      <c r="I9" s="701" t="s">
        <v>1636</v>
      </c>
      <c r="J9" s="701" t="s">
        <v>1645</v>
      </c>
      <c r="K9" s="700" t="s">
        <v>1660</v>
      </c>
    </row>
    <row r="10" spans="1:12" ht="60">
      <c r="A10" s="597" t="s">
        <v>1705</v>
      </c>
      <c r="B10" s="700" t="s">
        <v>1576</v>
      </c>
      <c r="C10" s="700" t="s">
        <v>1590</v>
      </c>
      <c r="E10" s="700" t="s">
        <v>1604</v>
      </c>
      <c r="F10" s="700" t="s">
        <v>1613</v>
      </c>
      <c r="H10" s="700" t="s">
        <v>1627</v>
      </c>
      <c r="I10" s="701" t="s">
        <v>1637</v>
      </c>
      <c r="J10" s="701" t="s">
        <v>1646</v>
      </c>
      <c r="K10" s="700" t="s">
        <v>1661</v>
      </c>
    </row>
    <row r="11" spans="1:12" ht="90">
      <c r="A11" s="621" t="s">
        <v>1706</v>
      </c>
      <c r="B11" s="700" t="s">
        <v>1577</v>
      </c>
      <c r="C11" s="700" t="s">
        <v>1591</v>
      </c>
      <c r="E11" s="700" t="s">
        <v>1605</v>
      </c>
      <c r="F11" s="700" t="s">
        <v>1614</v>
      </c>
      <c r="H11" s="765" t="s">
        <v>1775</v>
      </c>
      <c r="J11" s="701" t="s">
        <v>1647</v>
      </c>
      <c r="K11" s="700" t="s">
        <v>1662</v>
      </c>
    </row>
    <row r="12" spans="1:12" ht="60">
      <c r="A12" s="651" t="s">
        <v>1707</v>
      </c>
      <c r="B12" s="700" t="s">
        <v>1710</v>
      </c>
      <c r="E12" s="700" t="s">
        <v>1606</v>
      </c>
      <c r="H12" s="700" t="s">
        <v>1628</v>
      </c>
      <c r="J12" s="764" t="s">
        <v>1929</v>
      </c>
      <c r="K12" s="700" t="s">
        <v>1663</v>
      </c>
    </row>
    <row r="13" spans="1:12" ht="60">
      <c r="B13" s="700" t="s">
        <v>1578</v>
      </c>
      <c r="H13" s="765" t="s">
        <v>1773</v>
      </c>
      <c r="J13" s="701" t="s">
        <v>1648</v>
      </c>
      <c r="K13" s="700" t="s">
        <v>1664</v>
      </c>
    </row>
    <row r="14" spans="1:12" ht="45">
      <c r="B14" s="700" t="s">
        <v>1579</v>
      </c>
      <c r="J14" s="701" t="s">
        <v>1649</v>
      </c>
      <c r="K14" s="700" t="s">
        <v>1665</v>
      </c>
    </row>
    <row r="15" spans="1:12" ht="75">
      <c r="B15" s="700" t="s">
        <v>1580</v>
      </c>
      <c r="J15" s="701" t="s">
        <v>1650</v>
      </c>
      <c r="K15" s="700" t="s">
        <v>1666</v>
      </c>
    </row>
    <row r="16" spans="1:12" ht="30">
      <c r="B16" s="700" t="s">
        <v>1581</v>
      </c>
      <c r="J16" s="701" t="s">
        <v>1651</v>
      </c>
      <c r="K16" s="700" t="s">
        <v>1667</v>
      </c>
    </row>
    <row r="17" spans="10:11" ht="90">
      <c r="J17" s="701" t="s">
        <v>1652</v>
      </c>
      <c r="K17" s="700" t="s">
        <v>1668</v>
      </c>
    </row>
    <row r="18" spans="10:11" ht="45">
      <c r="K18" s="700" t="s">
        <v>1669</v>
      </c>
    </row>
    <row r="19" spans="10:11" ht="30">
      <c r="K19" s="700" t="s">
        <v>1670</v>
      </c>
    </row>
    <row r="20" spans="10:11" ht="30">
      <c r="K20" s="700" t="s">
        <v>1671</v>
      </c>
    </row>
    <row r="21" spans="10:11">
      <c r="K21" s="700" t="s">
        <v>1672</v>
      </c>
    </row>
    <row r="22" spans="10:11" ht="30">
      <c r="K22" s="700" t="s">
        <v>1673</v>
      </c>
    </row>
    <row r="23" spans="10:11" ht="45">
      <c r="K23" s="700" t="s">
        <v>1674</v>
      </c>
    </row>
    <row r="24" spans="10:11" ht="45">
      <c r="K24" s="700" t="s">
        <v>1675</v>
      </c>
    </row>
    <row r="25" spans="10:11" ht="30">
      <c r="K25" s="700" t="s">
        <v>1676</v>
      </c>
    </row>
    <row r="26" spans="10:11" ht="45">
      <c r="K26" s="700" t="s">
        <v>1677</v>
      </c>
    </row>
    <row r="27" spans="10:11" ht="45">
      <c r="K27" s="700" t="s">
        <v>1678</v>
      </c>
    </row>
    <row r="28" spans="10:11" ht="45">
      <c r="K28" s="700" t="s">
        <v>1679</v>
      </c>
    </row>
    <row r="29" spans="10:11" ht="45">
      <c r="K29" s="700" t="s">
        <v>1680</v>
      </c>
    </row>
    <row r="30" spans="10:11" ht="45">
      <c r="K30" s="700" t="s">
        <v>1681</v>
      </c>
    </row>
    <row r="31" spans="10:11" ht="60">
      <c r="K31" s="700" t="s">
        <v>1682</v>
      </c>
    </row>
    <row r="32" spans="10:11" ht="30">
      <c r="K32" s="700" t="s">
        <v>1683</v>
      </c>
    </row>
    <row r="33" spans="11:11" ht="45">
      <c r="K33" s="700" t="s">
        <v>1684</v>
      </c>
    </row>
    <row r="34" spans="11:11" ht="45">
      <c r="K34" s="700" t="s">
        <v>1685</v>
      </c>
    </row>
    <row r="35" spans="11:11" ht="30">
      <c r="K35" s="700" t="s">
        <v>1686</v>
      </c>
    </row>
    <row r="36" spans="11:11" ht="75">
      <c r="K36" s="700" t="s">
        <v>1687</v>
      </c>
    </row>
    <row r="37" spans="11:11" ht="45">
      <c r="K37" s="700" t="s">
        <v>1688</v>
      </c>
    </row>
    <row r="38" spans="11:11" ht="45">
      <c r="K38" s="700" t="s">
        <v>1689</v>
      </c>
    </row>
    <row r="39" spans="11:11" ht="30">
      <c r="K39" s="700" t="s">
        <v>1690</v>
      </c>
    </row>
  </sheetData>
  <pageMargins left="0.7" right="0.7" top="0.75" bottom="0.75" header="0.3" footer="0.3"/>
  <pageSetup orientation="portrait" verticalDpi="599"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1"/>
  <dimension ref="A1:F6"/>
  <sheetViews>
    <sheetView showGridLines="0" workbookViewId="0">
      <selection activeCell="C7" sqref="C7"/>
    </sheetView>
  </sheetViews>
  <sheetFormatPr baseColWidth="10" defaultRowHeight="15.75"/>
  <cols>
    <col min="1" max="6" width="39.625" customWidth="1"/>
  </cols>
  <sheetData>
    <row r="1" spans="1:6">
      <c r="A1" s="154" t="s">
        <v>786</v>
      </c>
      <c r="B1" s="691" t="s">
        <v>1502</v>
      </c>
      <c r="C1" s="692" t="s">
        <v>1503</v>
      </c>
      <c r="D1" s="693" t="s">
        <v>1504</v>
      </c>
      <c r="E1" s="694" t="s">
        <v>1505</v>
      </c>
      <c r="F1" s="695" t="s">
        <v>1507</v>
      </c>
    </row>
    <row r="2" spans="1:6" ht="30">
      <c r="A2" s="689" t="s">
        <v>1502</v>
      </c>
      <c r="B2" s="690" t="s">
        <v>1697</v>
      </c>
      <c r="C2" s="452" t="s">
        <v>1699</v>
      </c>
      <c r="D2" s="510" t="s">
        <v>1701</v>
      </c>
      <c r="E2" s="563" t="s">
        <v>1703</v>
      </c>
      <c r="F2" s="597" t="s">
        <v>1705</v>
      </c>
    </row>
    <row r="3" spans="1:6">
      <c r="A3" s="451" t="s">
        <v>1503</v>
      </c>
      <c r="B3" s="416" t="s">
        <v>1698</v>
      </c>
      <c r="C3" s="480" t="s">
        <v>1700</v>
      </c>
      <c r="D3" s="534" t="s">
        <v>1702</v>
      </c>
      <c r="E3" s="584" t="s">
        <v>1704</v>
      </c>
      <c r="F3" s="621" t="s">
        <v>1706</v>
      </c>
    </row>
    <row r="4" spans="1:6">
      <c r="A4" s="509" t="s">
        <v>1504</v>
      </c>
      <c r="F4" s="651" t="s">
        <v>1707</v>
      </c>
    </row>
    <row r="5" spans="1:6">
      <c r="A5" s="562" t="s">
        <v>1505</v>
      </c>
    </row>
    <row r="6" spans="1:6">
      <c r="A6" s="596" t="s">
        <v>1507</v>
      </c>
    </row>
  </sheetData>
  <pageMargins left="0.7" right="0.7" top="0.75" bottom="0.75" header="0.3" footer="0.3"/>
  <pageSetup orientation="portrait" verticalDpi="599"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5D9C05AA895CA4D864E33307EE38F33" ma:contentTypeVersion="9" ma:contentTypeDescription="Crear nuevo documento." ma:contentTypeScope="" ma:versionID="10a87e814c1259eeaa73f264051c74f1">
  <xsd:schema xmlns:xsd="http://www.w3.org/2001/XMLSchema" xmlns:xs="http://www.w3.org/2001/XMLSchema" xmlns:p="http://schemas.microsoft.com/office/2006/metadata/properties" xmlns:ns2="9884ff37-a46c-4626-8724-eb1c58be17ff" xmlns:ns3="253dbb0b-3aad-456b-a0a5-ca0b519dbe8f" targetNamespace="http://schemas.microsoft.com/office/2006/metadata/properties" ma:root="true" ma:fieldsID="31e1dbe2cf330d18f0c247c0f4301b33" ns2:_="" ns3:_="">
    <xsd:import namespace="9884ff37-a46c-4626-8724-eb1c58be17ff"/>
    <xsd:import namespace="253dbb0b-3aad-456b-a0a5-ca0b519dbe8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84ff37-a46c-4626-8724-eb1c58be17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53dbb0b-3aad-456b-a0a5-ca0b519dbe8f"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3AF7D3-4551-4581-8BF9-8DD504087434}">
  <ds:schemaRefs>
    <ds:schemaRef ds:uri="http://schemas.microsoft.com/sharepoint/v3/contenttype/forms"/>
  </ds:schemaRefs>
</ds:datastoreItem>
</file>

<file path=customXml/itemProps2.xml><?xml version="1.0" encoding="utf-8"?>
<ds:datastoreItem xmlns:ds="http://schemas.openxmlformats.org/officeDocument/2006/customXml" ds:itemID="{21427CAD-FFE2-4A2C-B414-C32564D105ED}">
  <ds:schemaRefs>
    <ds:schemaRef ds:uri="253dbb0b-3aad-456b-a0a5-ca0b519dbe8f"/>
    <ds:schemaRef ds:uri="http://schemas.microsoft.com/office/2006/documentManagement/types"/>
    <ds:schemaRef ds:uri="http://www.w3.org/XML/1998/namespace"/>
    <ds:schemaRef ds:uri="http://schemas.microsoft.com/office/2006/metadata/properties"/>
    <ds:schemaRef ds:uri="http://schemas.microsoft.com/office/infopath/2007/PartnerControls"/>
    <ds:schemaRef ds:uri="http://purl.org/dc/terms/"/>
    <ds:schemaRef ds:uri="http://purl.org/dc/dcmitype/"/>
    <ds:schemaRef ds:uri="http://schemas.openxmlformats.org/package/2006/metadata/core-properties"/>
    <ds:schemaRef ds:uri="9884ff37-a46c-4626-8724-eb1c58be17ff"/>
    <ds:schemaRef ds:uri="http://purl.org/dc/elements/1.1/"/>
  </ds:schemaRefs>
</ds:datastoreItem>
</file>

<file path=customXml/itemProps3.xml><?xml version="1.0" encoding="utf-8"?>
<ds:datastoreItem xmlns:ds="http://schemas.openxmlformats.org/officeDocument/2006/customXml" ds:itemID="{C23E1327-37F1-400A-83AB-7B438A0094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884ff37-a46c-4626-8724-eb1c58be17ff"/>
    <ds:schemaRef ds:uri="253dbb0b-3aad-456b-a0a5-ca0b519dbe8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121</vt:i4>
      </vt:variant>
    </vt:vector>
  </HeadingPairs>
  <TitlesOfParts>
    <vt:vector size="137" baseType="lpstr">
      <vt:lpstr>Resolución 667_2016</vt:lpstr>
      <vt:lpstr>Estructura_PGAR</vt:lpstr>
      <vt:lpstr>Línea 2 PGAR Económica</vt:lpstr>
      <vt:lpstr>Línea 3 PGAR Social</vt:lpstr>
      <vt:lpstr>Línea 4 PGAR Gobernanza</vt:lpstr>
      <vt:lpstr>Estructura_Plan_Acción</vt:lpstr>
      <vt:lpstr>Aporte_Contrato_Desempeño</vt:lpstr>
      <vt:lpstr>OT_vs_Municipios</vt:lpstr>
      <vt:lpstr>Comunidades_vs_Municipios</vt:lpstr>
      <vt:lpstr>Parámetros</vt:lpstr>
      <vt:lpstr>Política_inclusión_social</vt:lpstr>
      <vt:lpstr>Parámetros_componentes_retos</vt:lpstr>
      <vt:lpstr>Parámetros_retos_indicadores</vt:lpstr>
      <vt:lpstr>Parámetros_líneas_componentes</vt:lpstr>
      <vt:lpstr>Párametros_proyectos_subactivid</vt:lpstr>
      <vt:lpstr>Párametros_programas_proyectos</vt:lpstr>
      <vt:lpstr>_1._Aumentar_la_superficie_de_áreas_protegidas_y_otras_estrategias_de_conservación_en_la_jurisdicción</vt:lpstr>
      <vt:lpstr>_1._Protección_de_biodiversidad_y_servicios_ecosistémicos</vt:lpstr>
      <vt:lpstr>_1._Protegiendo_ecosistemas_naturales</vt:lpstr>
      <vt:lpstr>_10._Fortaleciendo_los_actores_para_la_gestión</vt:lpstr>
      <vt:lpstr>_10._Protección_efectiva_de_los_ecosistemas_presentes_en_los_territorios_étnicos_incluyendo_la_respectiva_restauración_y_saneamiento</vt:lpstr>
      <vt:lpstr>_10._Saneamiento_ambiental</vt:lpstr>
      <vt:lpstr>_11._Establecer_las_medidas_herramientas_e_instrumentos_pertinentes_para_la_promoción_gestión_e_implementación_de_acciones_ambientales_en_los_territorios_étnicos_que_contribuyan_a_la_mitigación_y_adaptación_al_cambio_climático</vt:lpstr>
      <vt:lpstr>_11._Movilidad_sostenible</vt:lpstr>
      <vt:lpstr>_11._Participando_en_lo_ambiental</vt:lpstr>
      <vt:lpstr>_12._Identificación_y_manejo_de_riesgos_e_impactos_ecológicos_y_económicos_producto_del_cambio_climático_en_los_territorios_étnicos</vt:lpstr>
      <vt:lpstr>_12._Lograr_cero_deforestación_en_cadenas_productivas_priorizadas</vt:lpstr>
      <vt:lpstr>_13._Fortalecer_la_sostenibilidad_de_áreas_de_producción_campesina_y_de_grupos_étnicos</vt:lpstr>
      <vt:lpstr>_13._Institucionalidad_fortalecida_para_una_gestión_ambiental_corresponsable</vt:lpstr>
      <vt:lpstr>_14._Aumentar_los_ingresos_asociados_a_los_negocios_verdes_y_a_bioeconomía</vt:lpstr>
      <vt:lpstr>_14._La_articulación_y_el_diálogo_en_la_transición_hacia_la_sostenibilidad</vt:lpstr>
      <vt:lpstr>_15._La_gestión_de_la_información_y_el_conocimiento_investigación_desarrollo_innovación</vt:lpstr>
      <vt:lpstr>_15._Priorizar_e_intervenir_los_socioecosistemas_en_paisajes_productivos_con_sostenibilidad_ambiental</vt:lpstr>
      <vt:lpstr>_16._Legalidad_legitimidad_y_transparencia_en_lo_ambiental</vt:lpstr>
      <vt:lpstr>_16._Transformar_los_hábitos_de_consumo_hacia_un_consumo_sostenible</vt:lpstr>
      <vt:lpstr>_17._Aumentar_la_proporción_de_uso_de_energías_alternativas_en_la_matriz_energética_de_la_jurisdicción</vt:lpstr>
      <vt:lpstr>_17._Cultura_ambiental_para_la_incidencia_en_decisiones</vt:lpstr>
      <vt:lpstr>_18._Aumentar_el_uso_eficiente_de_energías_limpias</vt:lpstr>
      <vt:lpstr>_18._Incidencia_institucional_fortalecida_para_una_eficiente_coordinación_y_cooperación_con_las_autoridades_étnicas_en_materia_de_gestión_ambiental</vt:lpstr>
      <vt:lpstr>_19._Fomento_de_prácticas_económicas_colectivas_orientadas_al_aprovechamiento_pertinente_y_sostenible_de_los_territorios_étnicos</vt:lpstr>
      <vt:lpstr>_2._Armonización_de_lo_ambiental_en_la_planeación_territorial_y_sectorial</vt:lpstr>
      <vt:lpstr>_2._Conectando_ecosistemas_naturales</vt:lpstr>
      <vt:lpstr>_2._Proteger_el_agua_como_derecho_y_medio_de_vida_en_el_marco_de_la_planeación_integral_de_las_cuencas_hidrográficas</vt:lpstr>
      <vt:lpstr>_20._Generación_de_valor_y_desarrollo_tecnológico_en_los_procesos_y_medios_de_la_producción_de_las_comunidades_en_los_territorios_étnicos</vt:lpstr>
      <vt:lpstr>_21._Disminuir_el_número_de_casos_de_mortalidad_por_desastres_asociados_a_fenómenos_naturales_y_antrópicos</vt:lpstr>
      <vt:lpstr>_22._Disminuir_la_pérdida_de_los_servicios_ecosistémicos_a_causa_de_los_efectos_del_cambio_climático</vt:lpstr>
      <vt:lpstr>_23._Disminuir_las_toneladas_de_residuos_sólidos_en_los_sitios_de_disposición_final_de_residuos_ordinarios_especiales_y_peligrosos</vt:lpstr>
      <vt:lpstr>_24._Disminuir_la_cantidad_de_aguas_residuales_no_tratadas_vertidas_a_fuentes_hídricas</vt:lpstr>
      <vt:lpstr>_25._Cumplir_los_objetivos_de_calidad_del_agua_propuesto</vt:lpstr>
      <vt:lpstr>_26._Mejorar_la_calidad_del_aire_en_centros_poblados_rurales_y_urbanos</vt:lpstr>
      <vt:lpstr>_27._Aumentar_la_población_con_acceso_a_agua_potable</vt:lpstr>
      <vt:lpstr>_28._Promover_la_movilidad_sostenible</vt:lpstr>
      <vt:lpstr>_29._Identificación_y_manejo_del_riesgo_climático_asociado_a_los_planes_de_vida_y_de_etnodesarrollo_de_los_territorios_étnicos</vt:lpstr>
      <vt:lpstr>_3._Administrar_efectivamente_las_áreas_protegidas_y_otras_estrategias_de_conservación</vt:lpstr>
      <vt:lpstr>_3._Organización_y_administración_estratégica_de_los_territorios_étnicos_para_la_gestión_integral_y_sostenible_de_la_biodiversidad</vt:lpstr>
      <vt:lpstr>_3._Planificando_el_uso_y_manejo_del_agua</vt:lpstr>
      <vt:lpstr>_30._Fortalecer_la_capacidad_instalada_de_los_actores</vt:lpstr>
      <vt:lpstr>_31._Armonizar_los_asuntos_y_determinantes_ambientales_en_la_planeación_de_las_autoridades_ambientales_en_la_jurisdicción</vt:lpstr>
      <vt:lpstr>_32._Armonizar_los_componentes_programáticos_de_los_diferentes_planes_institucionales_en_la_jurisdicción</vt:lpstr>
      <vt:lpstr>_33._Ejecutar_los_retos_del_PGAR_con_corresponsabilidad</vt:lpstr>
      <vt:lpstr>_34._Apropiar_a_los_actores_de_su_territorio_desde_la_comunicación_el_reconocimiento_y_fortalecimiento_en_lo_cultural</vt:lpstr>
      <vt:lpstr>_35._Disponer_apropiar_y_usar_la_información_y_conocimiento_ambiental_para_la_toma_de_decisiones_en_el_territorio</vt:lpstr>
      <vt:lpstr>_36._Promover_la_generación_y_o_apropiación_de_desarrollos_tecnológicos_para_el_uso_de_la_biodiversidad_y_una_mayor_eficiencia_de_uso_del_patrimonio_ambiental</vt:lpstr>
      <vt:lpstr>_37._Promover_la_generación_de_conocimiento_investigación_innovación_y_la_creatividad_asociado_al_desarrollo_sostenible_en_temáticas_priorizadas</vt:lpstr>
      <vt:lpstr>_38._Legalidad_legitimidad_y_transparencia_en_lo_ambiental</vt:lpstr>
      <vt:lpstr>_39._Prevenir_y_atender_el_conflicto_en_el_uso_y_aprovechamiento_de_los_recursos_naturales</vt:lpstr>
      <vt:lpstr>_4._Aumentar_la_conectividad_y_diversidad_biológica_en_predios_públicos_y_privados_para_consolidar_la_estructura_ecológica_del_territorio</vt:lpstr>
      <vt:lpstr>_4._Contribuyendo_a_la_sostenibilidad_del_agua</vt:lpstr>
      <vt:lpstr>_4._Modelos_sostenibles_desde_sectores_económicos_integrando_el_ciclo_de_vida_del_producto</vt:lpstr>
      <vt:lpstr>_40._Fortalecer_la_capacidad_de_control_articulado_en_situaciones_críticas_ambientales_territoriales</vt:lpstr>
      <vt:lpstr>_41._Fortalecer_desde_la_comunicación_y_la_coherencia_la_confianza_de_los_actores_del_territorio_en_la_Autoridad_ambiental</vt:lpstr>
      <vt:lpstr>_42._Fortalecer_la_incidencia_en_la_toma_de_decisiones_ambientales_adecuadas_desde_la_comunicación_formación_y_apropiación_social_en_la_ciudadanía_y_grupos_organizados</vt:lpstr>
      <vt:lpstr>_43._La_educación_y_la_comunicación_de_lo_ambiental_incorporados_en_los_instrumentos_de_planeación_de_gestión_de_desarrollo_institucional_y_territorial</vt:lpstr>
      <vt:lpstr>_44._Implementación_de_un_modelo_de_atención_con_enfoque_étnico_diferencial_en_Corantioquia_que_garantice_el_reconocimiento_protección_cumplimiento_y_desarrollo_de_los_derechos_de_los_pueblos_étnicos</vt:lpstr>
      <vt:lpstr>_45._Capacidad_en_las_autoridades_étnicas_para_la_promoción_y_ejercicio_efectivo_de_derechos_territoriales</vt:lpstr>
      <vt:lpstr>_46._Sistema_de_seguimiento_control_y_evaluación_del_trabajo_ambiental_entre_los_pueblos_étnicos_y_Corantioquia</vt:lpstr>
      <vt:lpstr>_47._Modelo_de_coordinación_interinstitucional_gubernamental_para_el_cumplimiento_de_las_funciones_ambientales_por_parte_de_las_autoridades_internas_de_los_pueblos_étnicos_Infraestructura_dotación_e_información</vt:lpstr>
      <vt:lpstr>_48._Fortalecimiento_de_los_saberes_ancestrales_culturales_espirituales_y_sociales_a_través_de_procesos_de_sistematización_preservación_recuperación_e_investigación_para_el_desarrollo_de_la_identidad_de_los_pueblos_étnicos</vt:lpstr>
      <vt:lpstr>_49._Creación_de_un_servidor_y_plataforma_de_información_étnica_que_articule_y_evidencie_la_situación_territorial_ambiental_y_la_gestión_en_los_territorios_étnicos</vt:lpstr>
      <vt:lpstr>_5._Direccionando_la_ocupación_del_territorio</vt:lpstr>
      <vt:lpstr>_5._Identificar_proteger_y_manejar_los_elementos_naturales_del_espacio_público</vt:lpstr>
      <vt:lpstr>_5._Paisajes_socioecosistemas_con_transición_a_la_sostenibilidad_ambiental</vt:lpstr>
      <vt:lpstr>_50._Desarrollo_de_procesos_de_etnoeducación_ambiental_propio_de_los_pueblos_étnicos_con_la_creación_de_espacios_etnoeducativos_ambientales_en_territorios_ancestrales_y_colectivos</vt:lpstr>
      <vt:lpstr>_6._Construyendo_territorios_resilientes</vt:lpstr>
      <vt:lpstr>_6._La_ciudadanía_y_sus_prácticas_cotidianas</vt:lpstr>
      <vt:lpstr>_6._Restaurar_recuperar_y_o_rehabilitar_ecosistemas_degradados</vt:lpstr>
      <vt:lpstr>_7._Construyendo_escenarios_y_hábitos_económicos_sostenibles</vt:lpstr>
      <vt:lpstr>_7._Desarrollar_modelos_municipales_de_ocupación_sostenible_e_integración_con_planes_étnicos</vt:lpstr>
      <vt:lpstr>_7._Uso_de_energías_renovables</vt:lpstr>
      <vt:lpstr>_8._Aprovechamiento_sostenible_de_los_territorios_étnicos_para_el_fomento_de_las_economías_propias</vt:lpstr>
      <vt:lpstr>_8._Consolidando_hábitat_y_hábitos_sostenibles</vt:lpstr>
      <vt:lpstr>_8._Promover_planes_de_acción_ambientales_de_esquemas_asociativos_para_la_incorporación_de_los_asuntos_y_determinantes_ambientales</vt:lpstr>
      <vt:lpstr>_9._Adaptación_al_cambio_climático_y_Gestión_Integral_del_Riesgo</vt:lpstr>
      <vt:lpstr>_9._Armonizar_la_planeación_ambiental_de_la_jurisdicción_con_los_Planes_Integrales_de_Gestión_del_Cambio_Climático_Sectoriales</vt:lpstr>
      <vt:lpstr>_9._Promoviendo_la_legalidad_ambiental</vt:lpstr>
      <vt:lpstr>Aburrá_Norte</vt:lpstr>
      <vt:lpstr>Aburrá_Sur</vt:lpstr>
      <vt:lpstr>Afro_Aburrá_Norte</vt:lpstr>
      <vt:lpstr>Afro_Aburrá_Sur</vt:lpstr>
      <vt:lpstr>Afro_Cartama</vt:lpstr>
      <vt:lpstr>Afro_Hevéxicos</vt:lpstr>
      <vt:lpstr>Afro_Panzenú</vt:lpstr>
      <vt:lpstr>Afro_Tahamíes</vt:lpstr>
      <vt:lpstr>Afro_Zenufaná</vt:lpstr>
      <vt:lpstr>Estructura_PGAR!Área_de_impresión</vt:lpstr>
      <vt:lpstr>'Línea 2 PGAR Económica'!Área_de_impresión</vt:lpstr>
      <vt:lpstr>'Línea 3 PGAR Social'!Área_de_impresión</vt:lpstr>
      <vt:lpstr>'Línea 4 PGAR Gobernanza'!Área_de_impresión</vt:lpstr>
      <vt:lpstr>Cartama</vt:lpstr>
      <vt:lpstr>Citará</vt:lpstr>
      <vt:lpstr>componente</vt:lpstr>
      <vt:lpstr>Embera_Chami</vt:lpstr>
      <vt:lpstr>Embera_Eyabida</vt:lpstr>
      <vt:lpstr>Hevéxicos</vt:lpstr>
      <vt:lpstr>I._Aplicación_de_compras_públicas_socialmente_responsables</vt:lpstr>
      <vt:lpstr>I._Nuestros_ecosistemas_naturales</vt:lpstr>
      <vt:lpstr>II._Agua_para_la_vida</vt:lpstr>
      <vt:lpstr>II._Inclusión_social_y_enfoque_diferencial_en_la_gestión_ambiental_y_la_participación_para_la_incidencia_en_la_toma_de_decisiones</vt:lpstr>
      <vt:lpstr>III._Modelo_de_ocupación_sostenible</vt:lpstr>
      <vt:lpstr>IV._Hábitat_y_hábitos_de_vida_sostenible</vt:lpstr>
      <vt:lpstr>Línea_1._Planificación_ambiental_territorial_y_protección_de_áreas_que_proveen_servicios_ecosistémicos</vt:lpstr>
      <vt:lpstr>Línea_2._Corresponsabilidad_del_sistema_económico_hacia_territorios_sostenibles</vt:lpstr>
      <vt:lpstr>Línea_3._Consolidación_de_un_entorno_saludable_y_seguro</vt:lpstr>
      <vt:lpstr>Línea_4._Fortalecimiento_de_la_cultura_ambiental_y_de_las_capacidades_de_los_actores_para_la_gestión_conjunta_y_el_logro_de_los_resultados</vt:lpstr>
      <vt:lpstr>líneas</vt:lpstr>
      <vt:lpstr>Nutabe</vt:lpstr>
      <vt:lpstr>Panzenú</vt:lpstr>
      <vt:lpstr>Tahamíes</vt:lpstr>
      <vt:lpstr>Aporte_Contrato_Desempeño!Títulos_a_imprimir</vt:lpstr>
      <vt:lpstr>Estructura_PGAR!Títulos_a_imprimir</vt:lpstr>
      <vt:lpstr>Estructura_Plan_Acción!Títulos_a_imprimir</vt:lpstr>
      <vt:lpstr>'Línea 2 PGAR Económica'!Títulos_a_imprimir</vt:lpstr>
      <vt:lpstr>'Línea 3 PGAR Social'!Títulos_a_imprimir</vt:lpstr>
      <vt:lpstr>'Línea 4 PGAR Gobernanza'!Títulos_a_imprimir</vt:lpstr>
      <vt:lpstr>V._Conectados_por_el_ambiente</vt:lpstr>
      <vt:lpstr>Zenu</vt:lpstr>
      <vt:lpstr>Zenufaná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Pablo Barrera</dc:creator>
  <cp:keywords/>
  <dc:description/>
  <cp:lastModifiedBy>Cesar y Mari</cp:lastModifiedBy>
  <cp:revision/>
  <cp:lastPrinted>2020-07-09T21:42:57Z</cp:lastPrinted>
  <dcterms:created xsi:type="dcterms:W3CDTF">2019-09-08T00:56:37Z</dcterms:created>
  <dcterms:modified xsi:type="dcterms:W3CDTF">2020-09-18T00:49:21Z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0x010100E5D9C05AA895CA4D864E33307EE38F33</vt:lpwstr>
  </property>
</Properties>
</file>