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17"/>
  <workbookPr/>
  <mc:AlternateContent xmlns:mc="http://schemas.openxmlformats.org/markup-compatibility/2006">
    <mc:Choice Requires="x15">
      <x15ac:absPath xmlns:x15ac="http://schemas.microsoft.com/office/spreadsheetml/2010/11/ac" url="D:\Usuario\Desktop\LICITACIONES PROXIMAS\CERRAMIENTO\"/>
    </mc:Choice>
  </mc:AlternateContent>
  <xr:revisionPtr revIDLastSave="0" documentId="13_ncr:1_{FF011084-0AA8-44F1-B8F9-62C12174C49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Oficial" sheetId="2" r:id="rId1"/>
    <sheet name="Estudio de mercadeo" sheetId="3" state="hidden" r:id="rId2"/>
    <sheet name="Ficha tecnica" sheetId="4" state="hidden" r:id="rId3"/>
  </sheets>
  <definedNames>
    <definedName name="_____PJ50">#REF!</definedName>
    <definedName name="_____pj51">#REF!</definedName>
    <definedName name="____PJ50">#REF!</definedName>
    <definedName name="____pj51">#REF!</definedName>
    <definedName name="___PJ50">#REF!</definedName>
    <definedName name="___pj51">#REF!</definedName>
    <definedName name="__A17000">#REF!</definedName>
    <definedName name="__A20000">#REF!</definedName>
    <definedName name="__A30000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rc">#REF!</definedName>
    <definedName name="__SBC1">#REF!</definedName>
    <definedName name="__SBC3">#REF!</definedName>
    <definedName name="__SBC5">#REF!</definedName>
    <definedName name="_A17000">#REF!</definedName>
    <definedName name="_A20000">#REF!</definedName>
    <definedName name="_A30000">#REF!</definedName>
    <definedName name="_AFC1">#REF!</definedName>
    <definedName name="_AFC3">#REF!</definedName>
    <definedName name="_AFC5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PJ50">#REF!</definedName>
    <definedName name="_pj51">#REF!</definedName>
    <definedName name="_rc">#REF!</definedName>
    <definedName name="_SBC1">#REF!</definedName>
    <definedName name="_SBC3">#REF!</definedName>
    <definedName name="_SBC5">#REF!</definedName>
    <definedName name="A">#REF!</definedName>
    <definedName name="A_impresión_IM">#REF!</definedName>
    <definedName name="AAC">#REF!</definedName>
    <definedName name="ABG">#REF!</definedName>
    <definedName name="absc">#REF!</definedName>
    <definedName name="AccessDatabase" hidden="1">"A:\SAIN.mdb"</definedName>
    <definedName name="actual">#REF!</definedName>
    <definedName name="AD">#REF!</definedName>
    <definedName name="adicional">#REF!</definedName>
    <definedName name="Adm">#REF!</definedName>
    <definedName name="ADMINISTRADOR">#REF!</definedName>
    <definedName name="ADMINISTRADOR_VIAL__ARMANDO_SANCHEZ_SANCHEZ">#REF!</definedName>
    <definedName name="Administrativo">#REF!</definedName>
    <definedName name="admon">#REF!</definedName>
    <definedName name="admon1">#REF!</definedName>
    <definedName name="adoq">#REF!</definedName>
    <definedName name="ah">#REF!</definedName>
    <definedName name="ahe">#REF!</definedName>
    <definedName name="aj">#REF!</definedName>
    <definedName name="alc">#REF!</definedName>
    <definedName name="Almacenista">#REF!</definedName>
    <definedName name="AMORTIZAR">#REF!</definedName>
    <definedName name="ANTONIA">IF([0]!FABIAN,Header_Row+[0]!Number_of_Payments,Header_Row)</definedName>
    <definedName name="año">#REF!</definedName>
    <definedName name="año1">#REF!</definedName>
    <definedName name="AÑOWUIE">#REF!</definedName>
    <definedName name="ao">#REF!</definedName>
    <definedName name="APU">#REF!</definedName>
    <definedName name="APU221.1">#REF!</definedName>
    <definedName name="APU221.2">#REF!</definedName>
    <definedName name="apubox">#REF!</definedName>
    <definedName name="_xlnm.Extract">#REF!</definedName>
    <definedName name="_xlnm.Print_Area" localSheetId="1">'Estudio de mercadeo'!$C$2:$P$42</definedName>
    <definedName name="_xlnm.Print_Area" localSheetId="2">'Ficha tecnica'!$C$2:$H$44</definedName>
    <definedName name="_xlnm.Print_Area" localSheetId="0">'Presupuesto Oficial'!$C$2:$L$41</definedName>
    <definedName name="_xlnm.Print_Area">#REF!</definedName>
    <definedName name="as">#REF!</definedName>
    <definedName name="ASB">#REF!</definedName>
    <definedName name="asdfñk">#N/A</definedName>
    <definedName name="au">#REF!</definedName>
    <definedName name="aur">#REF!</definedName>
    <definedName name="auto1">#REF!</definedName>
    <definedName name="auto2">#REF!</definedName>
    <definedName name="Auxcontabilidad">#REF!</definedName>
    <definedName name="av">#REF!</definedName>
    <definedName name="ax">#REF!</definedName>
    <definedName name="azta">#REF!</definedName>
    <definedName name="b">#REF!</definedName>
    <definedName name="bancos">#REF!</definedName>
    <definedName name="bASE">#REF!</definedName>
    <definedName name="Base_datos_IM">#REF!</definedName>
    <definedName name="BASE_DE_DATOS">#REF!</definedName>
    <definedName name="_xlnm.Database">#REF!</definedName>
    <definedName name="bb">#REF!</definedName>
    <definedName name="Beg_Bal">#REF!</definedName>
    <definedName name="bgh">#REF!</definedName>
    <definedName name="BHT">#REF!</definedName>
    <definedName name="bimestre">#REF!</definedName>
    <definedName name="BJHVVHGH" localSheetId="2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sco">#REF!</definedName>
    <definedName name="bw">#REF!</definedName>
    <definedName name="C_">#REF!</definedName>
    <definedName name="Caja">#REF!</definedName>
    <definedName name="cajmenht">#REF!</definedName>
    <definedName name="CALCULO">#REF!</definedName>
    <definedName name="CANT">#REF!</definedName>
    <definedName name="CANTID">#REF!</definedName>
    <definedName name="Cantidades">#REF!</definedName>
    <definedName name="caramanto">#REF!</definedName>
    <definedName name="CARLOS" localSheetId="2">DATE(YEAR([0]!Loan_Start),MONTH([0]!Loan_Start)+Payment_Number,DAY([0]!Loan_Start))</definedName>
    <definedName name="CARLOS">DATE(YEAR(Loan_Start),MONTH(Loan_Start)+Payment_Number,DAY(Loan_Start))</definedName>
    <definedName name="CAROL">#REF!</definedName>
    <definedName name="carol1">#REF!</definedName>
    <definedName name="CARRETERAS">#REF!</definedName>
    <definedName name="caspa">#REF!</definedName>
    <definedName name="catarata">#REF!</definedName>
    <definedName name="causa">#REF!</definedName>
    <definedName name="cc">#REF!</definedName>
    <definedName name="CCCCCC">#REF!</definedName>
    <definedName name="ccto210">#REF!</definedName>
    <definedName name="cd">#REF!</definedName>
    <definedName name="Celador">#REF!</definedName>
    <definedName name="CHE">#REF!</definedName>
    <definedName name="clase">#REF!</definedName>
    <definedName name="co">#REF!</definedName>
    <definedName name="Contramaestro">#REF!</definedName>
    <definedName name="COPIA1">#REF!</definedName>
    <definedName name="COPIA2">#REF!</definedName>
    <definedName name="cp">#REF!</definedName>
    <definedName name="CRIT1">#REF!</definedName>
    <definedName name="Criticos">#REF!</definedName>
    <definedName name="cuadrado">#REF!</definedName>
    <definedName name="cuadro">#REF!</definedName>
    <definedName name="cv">#REF!</definedName>
    <definedName name="cvc">#REF!</definedName>
    <definedName name="cx">#REF!</definedName>
    <definedName name="D" localSheetId="2">Scheduled_Payment+Extra_Payment</definedName>
    <definedName name="D">Scheduled_Payment+Extra_Payment</definedName>
    <definedName name="DANI">#REF!</definedName>
    <definedName name="Data">#REF!</definedName>
    <definedName name="dc">#REF!</definedName>
    <definedName name="DCF">#REF!</definedName>
    <definedName name="DD">#REF!</definedName>
    <definedName name="DDDD">IF([0]!Values_Entered,Header_Row+[0]!Number_of_Payments,Header_Row)</definedName>
    <definedName name="Descapote">#REF!</definedName>
    <definedName name="df">#REF!</definedName>
    <definedName name="di">#REF!</definedName>
    <definedName name="diario">#REF!</definedName>
    <definedName name="diego">#REF!</definedName>
    <definedName name="diego1">#REF!</definedName>
    <definedName name="Director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fectcjq">#REF!</definedName>
    <definedName name="el">#REF!</definedName>
    <definedName name="End_Bal">#REF!</definedName>
    <definedName name="equi">#REF!</definedName>
    <definedName name="EQUIPO">#REF!</definedName>
    <definedName name="er">#REF!</definedName>
    <definedName name="EXCROC">#REF!</definedName>
    <definedName name="Extra_Pay">#REF!</definedName>
    <definedName name="Extracción_IM">#REF!</definedName>
    <definedName name="fa">#REF!</definedName>
    <definedName name="FABI" localSheetId="2">Scheduled_Payment+Extra_Payment</definedName>
    <definedName name="FABI">Scheduled_Payment+Extra_Payment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uardaescoba">#REF!</definedName>
    <definedName name="gy">#REF!</definedName>
    <definedName name="ha">#REF!</definedName>
    <definedName name="Header_Row">ROW(#REF!)</definedName>
    <definedName name="Herramentista">#REF!</definedName>
    <definedName name="hgt">#REF!</definedName>
    <definedName name="hgu">#REF!</definedName>
    <definedName name="hh">#REF!</definedName>
    <definedName name="HHKKK7">#REF!</definedName>
    <definedName name="hj">#REF!</definedName>
    <definedName name="hjk">#REF!</definedName>
    <definedName name="hl">#REF!</definedName>
    <definedName name="hnt">#REF!</definedName>
    <definedName name="HOJA" localSheetId="2">DATE(YEAR([0]!Loan_Start),MONTH([0]!Loan_Start)+Payment_Number,DAY([0]!Loan_Start))</definedName>
    <definedName name="HOJA">DATE(YEAR([0]!Loan_Start),MONTH([0]!Loan_Start)+Payment_Number,DAY([0]!Loan_Start))</definedName>
    <definedName name="HOJA1">#REF!</definedName>
    <definedName name="HOJA444" localSheetId="2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F">#REF!</definedName>
    <definedName name="ig">#REF!</definedName>
    <definedName name="ii">#REF!</definedName>
    <definedName name="ik">#REF!</definedName>
    <definedName name="ikj">#REF!</definedName>
    <definedName name="impresion">#REF!</definedName>
    <definedName name="Imprev">#REF!</definedName>
    <definedName name="imprevistos">#REF!</definedName>
    <definedName name="IND">#REF!</definedName>
    <definedName name="inf">#REF!</definedName>
    <definedName name="INFG">#REF!</definedName>
    <definedName name="infor">#REF!</definedName>
    <definedName name="Int">#REF!</definedName>
    <definedName name="Interest_Rate">#REF!</definedName>
    <definedName name="INV_11">#REF!</definedName>
    <definedName name="io">#REF!</definedName>
    <definedName name="ir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tems">#REF!</definedName>
    <definedName name="IvaSUtl">#REF!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AKA">#REF!</definedName>
    <definedName name="kil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#REF!</definedName>
    <definedName name="kuh">#REF!</definedName>
    <definedName name="kuy">#REF!</definedName>
    <definedName name="L_L">IF([0]!Values_Entered,Header_Row+[0]!Number_of_Payments,Header_Row)</definedName>
    <definedName name="Last_Row">IF([0]!Values_Entered,Header_Row+[0]!Number_of_Payments,Header_Row)</definedName>
    <definedName name="LICITACION">#REF!</definedName>
    <definedName name="LINEA">#REF!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I">#REF!</definedName>
    <definedName name="lora">#REF!</definedName>
    <definedName name="LUCY">OFFSET(Full_Print,0,0,[0]!LOCA)</definedName>
    <definedName name="Maestro">#REF!</definedName>
    <definedName name="MAL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rga">#REF!</definedName>
    <definedName name="MARTA">IF(Loan_Amount*Interest_Rate*Loan_Years*Loan_Start&gt;0,1,0)</definedName>
    <definedName name="MARTHA">#REF!</definedName>
    <definedName name="MAT">#REF!</definedName>
    <definedName name="mater">#REF!</definedName>
    <definedName name="materiales">#REF!</definedName>
    <definedName name="mdo">#REF!</definedName>
    <definedName name="mf">#REF!</definedName>
    <definedName name="mhg">#REF!</definedName>
    <definedName name="mht">#REF!</definedName>
    <definedName name="mhy">#REF!</definedName>
    <definedName name="mios">#REF!</definedName>
    <definedName name="mju">#REF!</definedName>
    <definedName name="mku">#REF!</definedName>
    <definedName name="mm">#REF!</definedName>
    <definedName name="mmm">#REF!</definedName>
    <definedName name="mobra">#REF!</definedName>
    <definedName name="mr">#REF!</definedName>
    <definedName name="nb">#REF!</definedName>
    <definedName name="nbv">#REF!</definedName>
    <definedName name="nece.cab">#REF!</definedName>
    <definedName name="NF">#REF!</definedName>
    <definedName name="NHG">#REF!</definedName>
    <definedName name="NJH">#REF!</definedName>
    <definedName name="NM">#REF!</definedName>
    <definedName name="NNN">#REF!</definedName>
    <definedName name="NOMBRE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BRA">#REF!</definedName>
    <definedName name="OKEY">#REF!</definedName>
    <definedName name="OKIS">#REF!</definedName>
    <definedName name="oo">#REF!</definedName>
    <definedName name="ooo">#REF!</definedName>
    <definedName name="orga">#REF!</definedName>
    <definedName name="os">#REF!</definedName>
    <definedName name="otros">#REF!</definedName>
    <definedName name="papa">#REF!</definedName>
    <definedName name="paralelo">#REF!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lo">#REF!</definedName>
    <definedName name="PERIODO">#REF!</definedName>
    <definedName name="perro">#REF!</definedName>
    <definedName name="ploter">#REF!</definedName>
    <definedName name="pñ">#REF!</definedName>
    <definedName name="po">#REF!</definedName>
    <definedName name="poi">#REF!</definedName>
    <definedName name="POO">#REF!</definedName>
    <definedName name="pp">#REF!</definedName>
    <definedName name="PRE">#REF!</definedName>
    <definedName name="PREACTA">#REF!</definedName>
    <definedName name="PRECIO">#REF!</definedName>
    <definedName name="precios">#REF!</definedName>
    <definedName name="prestaciones">#REF!</definedName>
    <definedName name="primer">#REF!</definedName>
    <definedName name="Princ">#REF!</definedName>
    <definedName name="Print_Area_MI">#REF!</definedName>
    <definedName name="Print_Area_Reset">OFFSET(Full_Print,0,0,Last_Row)</definedName>
    <definedName name="Print_Titles_MI">#REF!</definedName>
    <definedName name="PRUEBA2">#REF!</definedName>
    <definedName name="q">#REF!</definedName>
    <definedName name="qq">#REF!</definedName>
    <definedName name="qw">#REF!</definedName>
    <definedName name="qwe">#REF!</definedName>
    <definedName name="rata">#REF!</definedName>
    <definedName name="rds">#REF!</definedName>
    <definedName name="REAJUSTE">#REF!</definedName>
    <definedName name="REAJUSTES">#REF!</definedName>
    <definedName name="REG">#REF!&gt;2.5</definedName>
    <definedName name="regional">#REF!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G">#REF!</definedName>
    <definedName name="repe">#REF!</definedName>
    <definedName name="residente">#REF!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2">DATE(YEAR([0]!Loan_Start),MONTH([0]!Loan_Start)+Payment_Number,DAY([0]!Loan_Start))</definedName>
    <definedName name="RUTA">DATE(YEAR([0]!Loan_Start),MONTH([0]!Loan_Start)+Payment_Number,DAY([0]!Loan_Start))</definedName>
    <definedName name="RW">#REF!</definedName>
    <definedName name="ry">#REF!</definedName>
    <definedName name="sa">#REF!</definedName>
    <definedName name="SALID1">#REF!</definedName>
    <definedName name="sbe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#REF!</definedName>
    <definedName name="segundo">#REF!</definedName>
    <definedName name="Seguridad">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>IF(Loan_Amount*Interest_Rate*Loan_Years*Loan_Start&gt;0,1,0)</definedName>
    <definedName name="t">#REF!</definedName>
    <definedName name="TABLA">#REF!</definedName>
    <definedName name="tb">#REF!</definedName>
    <definedName name="TECN" localSheetId="2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>IF(Loan_Amount*Interest_Rate*Loan_Years*Loan_Start&gt;0,1,0)</definedName>
    <definedName name="TITO">IF(RICO,Header_Row+[0]!TUPI,Header_Row)</definedName>
    <definedName name="TITOF">IF(RICO,Header_Row+[0]!TUPI,Header_Row)</definedName>
    <definedName name="titu">#REF!</definedName>
    <definedName name="titu2">#REF!</definedName>
    <definedName name="TITULO">#REF!</definedName>
    <definedName name="tj">#REF!</definedName>
    <definedName name="tl">#REF!</definedName>
    <definedName name="tn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T">#REF!</definedName>
    <definedName name="trimestre1">#REF!</definedName>
    <definedName name="tt">#REF!</definedName>
    <definedName name="TtlCD">#REF!</definedName>
    <definedName name="TUPI">MATCH(0.01,End_Bal,-1)+1</definedName>
    <definedName name="ty">#REF!</definedName>
    <definedName name="tyu">#REF!</definedName>
    <definedName name="U">#REF!</definedName>
    <definedName name="ui">#REF!</definedName>
    <definedName name="ut">#REF!</definedName>
    <definedName name="Utilidad">#REF!</definedName>
    <definedName name="uu">#REF!</definedName>
    <definedName name="uxd">#REF!</definedName>
    <definedName name="uy">#REF!</definedName>
    <definedName name="VALOR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">#REF!</definedName>
    <definedName name="vias">#REF!</definedName>
    <definedName name="vm">#REF!</definedName>
    <definedName name="vv">#REF!</definedName>
    <definedName name="VVV">#REF!</definedName>
    <definedName name="w" localSheetId="2">Scheduled_Payment+Extra_Payment</definedName>
    <definedName name="w">Scheduled_Payment+Extra_Payment</definedName>
    <definedName name="we">#REF!</definedName>
    <definedName name="WER">#REF!</definedName>
    <definedName name="WILSON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24" i="2" s="1"/>
  <c r="I22" i="2"/>
  <c r="I10" i="2"/>
  <c r="I11" i="2"/>
  <c r="I12" i="2"/>
  <c r="I13" i="2"/>
  <c r="I14" i="2"/>
  <c r="I15" i="2"/>
  <c r="I16" i="2"/>
  <c r="I17" i="2"/>
  <c r="I18" i="2"/>
  <c r="I19" i="2"/>
  <c r="I20" i="2"/>
  <c r="I21" i="2"/>
  <c r="K13" i="2"/>
  <c r="K18" i="2"/>
  <c r="K10" i="2"/>
  <c r="K11" i="2"/>
  <c r="K12" i="2"/>
  <c r="K14" i="2"/>
  <c r="K15" i="2"/>
  <c r="K16" i="2"/>
  <c r="K17" i="2"/>
  <c r="K19" i="2"/>
  <c r="K20" i="2"/>
  <c r="K21" i="2"/>
  <c r="K22" i="2"/>
  <c r="K9" i="2"/>
  <c r="G25" i="4"/>
  <c r="F25" i="4"/>
  <c r="E25" i="4"/>
  <c r="F24" i="4"/>
  <c r="E24" i="4"/>
  <c r="F23" i="4"/>
  <c r="E23" i="4"/>
  <c r="F22" i="4"/>
  <c r="E22" i="4"/>
  <c r="F21" i="4"/>
  <c r="E21" i="4"/>
  <c r="F20" i="4"/>
  <c r="E20" i="4"/>
  <c r="F19" i="4"/>
  <c r="E19" i="4"/>
  <c r="F18" i="4"/>
  <c r="E18" i="4"/>
  <c r="F17" i="4"/>
  <c r="E17" i="4"/>
  <c r="F16" i="4"/>
  <c r="E16" i="4"/>
  <c r="F15" i="4"/>
  <c r="E15" i="4"/>
  <c r="F14" i="4"/>
  <c r="E14" i="4"/>
  <c r="F13" i="4"/>
  <c r="E13" i="4"/>
  <c r="F12" i="4"/>
  <c r="E12" i="4"/>
  <c r="F11" i="4"/>
  <c r="E11" i="4"/>
  <c r="F10" i="4"/>
  <c r="E10" i="4"/>
  <c r="D10" i="4"/>
  <c r="E7" i="3"/>
  <c r="S11" i="3"/>
  <c r="W11" i="3"/>
  <c r="G14" i="3" s="1"/>
  <c r="D12" i="3"/>
  <c r="D13" i="3" s="1"/>
  <c r="G21" i="3"/>
  <c r="G20" i="4" s="1"/>
  <c r="G15" i="3"/>
  <c r="G14" i="4" s="1"/>
  <c r="N18" i="3"/>
  <c r="N17" i="3"/>
  <c r="D11" i="4"/>
  <c r="K26" i="3"/>
  <c r="M26" i="3"/>
  <c r="N14" i="3"/>
  <c r="N23" i="3"/>
  <c r="N11" i="3"/>
  <c r="N12" i="3"/>
  <c r="N22" i="3"/>
  <c r="N26" i="3"/>
  <c r="N21" i="3"/>
  <c r="N16" i="3"/>
  <c r="N19" i="3"/>
  <c r="I26" i="3"/>
  <c r="N20" i="3"/>
  <c r="N15" i="3"/>
  <c r="N13" i="3"/>
  <c r="O26" i="3"/>
  <c r="O15" i="3"/>
  <c r="I15" i="3"/>
  <c r="M15" i="3"/>
  <c r="K15" i="3"/>
  <c r="N25" i="3"/>
  <c r="N24" i="3"/>
  <c r="O21" i="3"/>
  <c r="I21" i="3"/>
  <c r="M21" i="3"/>
  <c r="K21" i="3"/>
  <c r="I27" i="2" l="1"/>
  <c r="I28" i="2" s="1"/>
  <c r="I25" i="2"/>
  <c r="K24" i="2"/>
  <c r="K27" i="2" s="1"/>
  <c r="K28" i="2" s="1"/>
  <c r="D12" i="4"/>
  <c r="D14" i="3"/>
  <c r="M14" i="3"/>
  <c r="K14" i="3"/>
  <c r="I14" i="3"/>
  <c r="G13" i="4"/>
  <c r="O14" i="3"/>
  <c r="G22" i="3"/>
  <c r="G11" i="3"/>
  <c r="G16" i="3"/>
  <c r="G25" i="3"/>
  <c r="G20" i="3"/>
  <c r="I29" i="2" l="1"/>
  <c r="I30" i="2" s="1"/>
  <c r="K26" i="2"/>
  <c r="K25" i="2"/>
  <c r="G23" i="3"/>
  <c r="O16" i="3"/>
  <c r="G15" i="4"/>
  <c r="I16" i="3"/>
  <c r="M16" i="3"/>
  <c r="K16" i="3"/>
  <c r="D13" i="4"/>
  <c r="D15" i="3"/>
  <c r="G12" i="3"/>
  <c r="K11" i="3"/>
  <c r="I11" i="3"/>
  <c r="G19" i="3"/>
  <c r="G18" i="3"/>
  <c r="M11" i="3"/>
  <c r="G13" i="3"/>
  <c r="G17" i="3"/>
  <c r="G10" i="4"/>
  <c r="O11" i="3"/>
  <c r="G21" i="4"/>
  <c r="K22" i="3"/>
  <c r="M22" i="3"/>
  <c r="I22" i="3"/>
  <c r="O22" i="3"/>
  <c r="O20" i="3"/>
  <c r="G19" i="4"/>
  <c r="I20" i="3"/>
  <c r="K20" i="3"/>
  <c r="M20" i="3"/>
  <c r="I25" i="3"/>
  <c r="O25" i="3"/>
  <c r="G24" i="4"/>
  <c r="M25" i="3"/>
  <c r="K25" i="3"/>
  <c r="K29" i="2" l="1"/>
  <c r="K30" i="2" s="1"/>
  <c r="M18" i="3"/>
  <c r="O18" i="3"/>
  <c r="K18" i="3"/>
  <c r="I18" i="3"/>
  <c r="G17" i="4"/>
  <c r="M19" i="3"/>
  <c r="K19" i="3"/>
  <c r="G18" i="4"/>
  <c r="O19" i="3"/>
  <c r="I19" i="3"/>
  <c r="K13" i="3"/>
  <c r="O13" i="3"/>
  <c r="I13" i="3"/>
  <c r="G12" i="4"/>
  <c r="M13" i="3"/>
  <c r="G11" i="4"/>
  <c r="I12" i="3"/>
  <c r="M12" i="3"/>
  <c r="O12" i="3"/>
  <c r="K12" i="3"/>
  <c r="M17" i="3"/>
  <c r="O17" i="3"/>
  <c r="K17" i="3"/>
  <c r="I17" i="3"/>
  <c r="G16" i="4"/>
  <c r="D16" i="3"/>
  <c r="D14" i="4"/>
  <c r="G24" i="3"/>
  <c r="G22" i="4"/>
  <c r="M23" i="3"/>
  <c r="I23" i="3"/>
  <c r="O23" i="3"/>
  <c r="K23" i="3"/>
  <c r="M28" i="3" l="1"/>
  <c r="D17" i="3"/>
  <c r="D15" i="4"/>
  <c r="G23" i="4"/>
  <c r="M24" i="3"/>
  <c r="I24" i="3"/>
  <c r="I28" i="3" s="1"/>
  <c r="K24" i="3"/>
  <c r="K28" i="3" s="1"/>
  <c r="O24" i="3"/>
  <c r="O28" i="3" s="1"/>
  <c r="I30" i="3" l="1"/>
  <c r="I31" i="3"/>
  <c r="I32" i="3" s="1"/>
  <c r="I29" i="3"/>
  <c r="K31" i="3"/>
  <c r="K32" i="3" s="1"/>
  <c r="K30" i="3"/>
  <c r="K29" i="3"/>
  <c r="K33" i="3" s="1"/>
  <c r="K34" i="3" s="1"/>
  <c r="O31" i="3"/>
  <c r="O32" i="3" s="1"/>
  <c r="O29" i="3"/>
  <c r="O30" i="3"/>
  <c r="D16" i="4"/>
  <c r="D18" i="3"/>
  <c r="M31" i="3"/>
  <c r="M32" i="3" s="1"/>
  <c r="M29" i="3"/>
  <c r="M30" i="3"/>
  <c r="D17" i="4" l="1"/>
  <c r="D19" i="3"/>
  <c r="I33" i="3"/>
  <c r="I34" i="3" s="1"/>
  <c r="O33" i="3"/>
  <c r="O34" i="3" s="1"/>
  <c r="M33" i="3"/>
  <c r="M34" i="3" s="1"/>
  <c r="D18" i="4" l="1"/>
  <c r="D20" i="3"/>
  <c r="D19" i="4" l="1"/>
  <c r="D21" i="3"/>
  <c r="D20" i="4" l="1"/>
  <c r="D22" i="3"/>
  <c r="D23" i="3" l="1"/>
  <c r="D21" i="4"/>
  <c r="D22" i="4" l="1"/>
  <c r="D24" i="3"/>
  <c r="D25" i="3" l="1"/>
  <c r="D23" i="4"/>
  <c r="D24" i="4" l="1"/>
  <c r="D26" i="3"/>
  <c r="D25" i="4" l="1"/>
</calcChain>
</file>

<file path=xl/sharedStrings.xml><?xml version="1.0" encoding="utf-8"?>
<sst xmlns="http://schemas.openxmlformats.org/spreadsheetml/2006/main" count="134" uniqueCount="78">
  <si>
    <t>PROPUESTA ECONOMICA</t>
  </si>
  <si>
    <t>Objeto:</t>
  </si>
  <si>
    <t>CONTRATAR LA ADECUACIÓN A TODO COSTO DEL CERRAMIENTO PERIMETRAL DEL CENTRO TECNOLÓGICO DE LA AMAZONIA.</t>
  </si>
  <si>
    <t>ITEM</t>
  </si>
  <si>
    <t>DESCRIPCIÓN</t>
  </si>
  <si>
    <t>UNIDAD</t>
  </si>
  <si>
    <t>CANTIDAD MINIMA</t>
  </si>
  <si>
    <t>VALOR UNITARIO PROMEDIO</t>
  </si>
  <si>
    <t>VALOR TOTAL PRESUPUESTO</t>
  </si>
  <si>
    <t>VALOR UNITARIO PROPUESTA</t>
  </si>
  <si>
    <t>VALOR TOTAL PROPUESTA</t>
  </si>
  <si>
    <t>CERRAMIENTO PROVISIONAL EN LONA ALTURA 2.10M (INC. PARAL EN MADERA)</t>
  </si>
  <si>
    <t>ML</t>
  </si>
  <si>
    <t>LOCALIZACIÓN Y REPLANTEO DE LA OBRA</t>
  </si>
  <si>
    <t>DESMONTE REJA METÁLICA CERRAMIENTO EXISTENTE (INC. RETIRO)</t>
  </si>
  <si>
    <t>DEMOLICION MURO EN CONCRETO EXISTENTE INCLUIDA CIMENTACION (INCL. RETIRO DE MATERIAL)</t>
  </si>
  <si>
    <t>EXCAVACIÓN MANUAL DEL TERRENO EN MATERIAL COMUN DE ACUERDO A PLANOS</t>
  </si>
  <si>
    <t>M3</t>
  </si>
  <si>
    <t>CONCRETO CICLÓPEO 2500 PSI RELACION 60% C / 40% PIEDRA SONGA-MEJORAMIENTO TERRENO</t>
  </si>
  <si>
    <t>CONCRETO F´C = 210 KGF/CM2 PARA VIGA PAGADO EN ML ESPESOR 0.40X0.30 MT, INCL ACERO DE REFUERZO SEGÚN DISEÑO</t>
  </si>
  <si>
    <t>MURETE EN CONCRETO DE 3000 PSI 0,15X0,40 MT (INC. ACERO DE REFUERZO)</t>
  </si>
  <si>
    <t>SUMINISTRO E INSTALACIÓN DE POSTE EN TUBERÍA GALVANIZADA DE 2 1/2", CAL 16,  L=3,00 MTS, incluye pintura aceite color verde institucional.</t>
  </si>
  <si>
    <t>UND</t>
  </si>
  <si>
    <t xml:space="preserve">PANEL EN MALLA ESLABONADA 2 1/2" X 2 1/2" CALIBRE 10 Y ÁNGULO METÁLICO DE 1 1/2" X 1/8" incluye pintura base aceite color verde institucional en Angulos. </t>
  </si>
  <si>
    <t>M2</t>
  </si>
  <si>
    <t>ZAPATA CONCRETO 3000 PSI 210 MPA 0.80Mx0.80Mx0.30M (no incl. Refuerzo)</t>
  </si>
  <si>
    <t xml:space="preserve">SUMINISTRO E INSTALACION DE ACERO DE REFUERZO 60.000PSI </t>
  </si>
  <si>
    <t>KG</t>
  </si>
  <si>
    <t>COLUMNA CONCRETO 3000 PSI. SECCIÓN 0.25*0.25 M (INCLUYE REFUERZO 1/2" Y FLEJES DE 3/8")</t>
  </si>
  <si>
    <t>CUNETA EN CONCRETO DE 3000 PSI PARA MANEJO DE AGUAS LLUVIAS ACNHO:0,40 E:0,10 INCLUYE CONFORMACIÓN DEL TERRENO, FORMALETA Y MALLA ELECTRTOSOLDADAS DE 5MM.</t>
  </si>
  <si>
    <t>TOTAL COSTOS DIRECTOS</t>
  </si>
  <si>
    <t xml:space="preserve">ADMINISTRACIÓN </t>
  </si>
  <si>
    <t>IMPREVISTOS</t>
  </si>
  <si>
    <t>UTILIDAD</t>
  </si>
  <si>
    <t>IVA/UTILIDAD</t>
  </si>
  <si>
    <t>TOTAL COSTOS INDIRECTOS</t>
  </si>
  <si>
    <t>TOTAL COSTO DE LA ADECUACION</t>
  </si>
  <si>
    <t>CENTRO TECNOLÓGICO DE LA AMAZONÍA REGIONAL CAQUETÁ</t>
  </si>
  <si>
    <t>GRUPO DE APOYO ADMINISTRATIVO MIXTO</t>
  </si>
  <si>
    <t>ESTUDIO DE MERCADO</t>
  </si>
  <si>
    <t>CANTIDAD</t>
  </si>
  <si>
    <t xml:space="preserve">Cotización No. 1                                                                                    </t>
  </si>
  <si>
    <t xml:space="preserve">Cotización No. 2                                            </t>
  </si>
  <si>
    <t xml:space="preserve">Cotización No. 3                                   </t>
  </si>
  <si>
    <t>VALOR TOTAL</t>
  </si>
  <si>
    <t>VALOR UNITARIO SIN IVA</t>
  </si>
  <si>
    <t xml:space="preserve">VALOR UNITARIO SIN IVA </t>
  </si>
  <si>
    <t>ajuste</t>
  </si>
  <si>
    <t>(CERRAMIENTO NUEVO - PReDIO EN SEGUIDA</t>
  </si>
  <si>
    <t>Cerramiento 2 (MURO NUEVO- HACIA PUERTA PRINCIPAL )(FALLA)</t>
  </si>
  <si>
    <t>Cerramiento 3 (PUESTA DE ACCESO - MURO ESCALONADO)</t>
  </si>
  <si>
    <t>DEMOLICION MURO EXISTENTE INCLUIDA CIMENTACION (INCL. RETIRO DE MATERIAL)</t>
  </si>
  <si>
    <t>EXCAVACIÓN TIERRA A MANO</t>
  </si>
  <si>
    <t>CONCRETO CICLÓPEO 3000 PSI RELAC.60C/40P-MEJORAMIENTO TERRENO</t>
  </si>
  <si>
    <t>CONTRAPESO EN CONCRETO 3000 PSI 210 MPA 0.80MX0.80MX0.30M INCLUYE REFUERZO DE 1/2" Y VIGA DE CONEXIÓN CON ZAPATA DE 0.8 CM</t>
  </si>
  <si>
    <t>CONCRETO F´C = 210 KGF/CM2 PARA VIGA PAGADO EN ML ESPESOR 0,30X0.40 MT, INCL ACERO DE REFUERZO</t>
  </si>
  <si>
    <t>SUMINISTRO E INSTALACIÓN DE POSTE EN TUBERÍA GALVANIZADA DE 2 1/2", CAL 16,  L=3,00 MTS</t>
  </si>
  <si>
    <t>PANEL DE 2,75 X 2,0 M EN MALLA ESLABONADA 2 1/2" X 2 1/2" CALIBRE 10 Y ÁNGULO METÁLICO DE 1 1/2" X 1/8"</t>
  </si>
  <si>
    <t>PORTÓN EN ESTRUCTURA METÁLICA TUBERÍA DE 1"x 1" CALIBRE 10 CON PARALES METÁLICOS</t>
  </si>
  <si>
    <t>PINTURA CARPINTERÍA METÁLICA DE REJAS (INC PINTURA ANTICORROSIVA VERDE, ESMALTE, MANO DE OBRA Y EQUIPOS)</t>
  </si>
  <si>
    <t xml:space="preserve">ACERO DE REFUERZO 60.000PSI </t>
  </si>
  <si>
    <t>COLUMNA CONCRETO 3000 PSI DE = 0.25*0.25 M (INCLUYE REFUERZO 1/2" Y FLEJES DE 3/8")</t>
  </si>
  <si>
    <t>ADMINISTRACIÓN  (A)</t>
  </si>
  <si>
    <t>IMPREVISTOS (I)</t>
  </si>
  <si>
    <t>UTILIDAD (U)</t>
  </si>
  <si>
    <t>TOTAL COSTO DEL PROYECTO</t>
  </si>
  <si>
    <t>El presente estudio de mercado se realizó tomando como base tres (3) de personal del gremio de la construcción.</t>
  </si>
  <si>
    <t>EDILBERTO OSORIO SANTOFIMIO</t>
  </si>
  <si>
    <t>Ingeniero Grupo de Apoyo administrativo Mixto - Regional Caquetá</t>
  </si>
  <si>
    <t>FICHA TECNICA</t>
  </si>
  <si>
    <t>CONTRATAR LA ADECUACIÓN DEL CERRAMIENTO PERIMETRAL DEL CENTRO TECNOLÓGICO DE LA AMAZONIA.</t>
  </si>
  <si>
    <t>Edilberto Osorio Santofimio</t>
  </si>
  <si>
    <t>Ingeniero Civil de Apoyo</t>
  </si>
  <si>
    <t>Grupo de Apoyo administrativo Mixto</t>
  </si>
  <si>
    <t>Regional Caquetá</t>
  </si>
  <si>
    <t xml:space="preserve">JOSE ALEXANDER MARIN ORREGO </t>
  </si>
  <si>
    <t xml:space="preserve">AM ARQUITECTURA &amp; CONSTRUCCION SAS </t>
  </si>
  <si>
    <t xml:space="preserve">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</si>
</sst>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3" formatCode="_-* #,##0.00_-;\-* #,##0.00_-;_-* &quot;-&quot;??_-;_-@_-"/>
    <numFmt numFmtId="164" formatCode="_(* #,##0.00_);_(* \(#,##0.00\);_(* &quot;-&quot;??_);_(@_)"/>
    <numFmt numFmtId="165" formatCode="&quot;$&quot;\ #,##0.00"/>
    <numFmt numFmtId="166" formatCode="_-[$$-240A]\ * #,##0_-;\-[$$-240A]\ * #,##0_-;_-[$$-240A]\ * &quot;-&quot;_-;_-@_-"/>
    <numFmt numFmtId="167" formatCode="_-[$$-240A]\ * #,##0.00_-;\-[$$-240A]\ * #,##0.00_-;_-[$$-240A]\ * &quot;-&quot;_-;_-@_-"/>
    <numFmt numFmtId="168" formatCode="&quot;$&quot;#,##0;\-&quot;$&quot;#,##0"/>
    <numFmt numFmtId="169" formatCode="_ &quot;$&quot;\ * #,##0.00_ ;_ &quot;$&quot;\ * \-#,##0.00_ ;_ &quot;$&quot;\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7F1F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7" fillId="0" borderId="0"/>
    <xf numFmtId="169" fontId="17" fillId="0" borderId="0" applyFont="0" applyFill="0" applyBorder="0" applyAlignment="0" applyProtection="0"/>
    <xf numFmtId="0" fontId="17" fillId="0" borderId="0"/>
    <xf numFmtId="0" fontId="17" fillId="0" borderId="0"/>
    <xf numFmtId="164" fontId="17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6" xfId="0" applyBorder="1" applyAlignment="1">
      <alignment horizontal="right" vertical="top"/>
    </xf>
    <xf numFmtId="0" fontId="0" fillId="0" borderId="0" xfId="0" applyAlignment="1">
      <alignment horizontal="justify" wrapText="1"/>
    </xf>
    <xf numFmtId="0" fontId="0" fillId="0" borderId="5" xfId="0" applyBorder="1"/>
    <xf numFmtId="0" fontId="0" fillId="0" borderId="0" xfId="0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justify"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165" fontId="8" fillId="0" borderId="9" xfId="1" applyNumberFormat="1" applyFont="1" applyFill="1" applyBorder="1" applyAlignment="1">
      <alignment horizontal="right" vertical="center" wrapText="1"/>
    </xf>
    <xf numFmtId="165" fontId="8" fillId="0" borderId="10" xfId="1" applyNumberFormat="1" applyFont="1" applyFill="1" applyBorder="1" applyAlignment="1">
      <alignment horizontal="right" vertical="center" wrapText="1"/>
    </xf>
    <xf numFmtId="166" fontId="9" fillId="3" borderId="0" xfId="1" applyNumberFormat="1" applyFont="1" applyFill="1" applyBorder="1" applyAlignment="1">
      <alignment horizontal="righ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65" fontId="11" fillId="0" borderId="15" xfId="0" applyNumberFormat="1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0" fontId="8" fillId="0" borderId="9" xfId="1" applyNumberFormat="1" applyFont="1" applyFill="1" applyBorder="1" applyAlignment="1">
      <alignment horizontal="center" vertical="center" wrapText="1"/>
    </xf>
    <xf numFmtId="165" fontId="7" fillId="0" borderId="9" xfId="0" applyNumberFormat="1" applyFont="1" applyBorder="1"/>
    <xf numFmtId="0" fontId="0" fillId="0" borderId="17" xfId="0" applyBorder="1"/>
    <xf numFmtId="0" fontId="0" fillId="0" borderId="18" xfId="0" applyBorder="1"/>
    <xf numFmtId="0" fontId="10" fillId="0" borderId="17" xfId="0" applyFont="1" applyBorder="1" applyAlignment="1">
      <alignment horizontal="left" vertical="center" wrapText="1"/>
    </xf>
    <xf numFmtId="9" fontId="8" fillId="0" borderId="9" xfId="1" applyNumberFormat="1" applyFont="1" applyFill="1" applyBorder="1" applyAlignment="1">
      <alignment horizontal="center" vertical="center" wrapText="1"/>
    </xf>
    <xf numFmtId="165" fontId="12" fillId="0" borderId="9" xfId="0" applyNumberFormat="1" applyFont="1" applyBorder="1"/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65" fontId="12" fillId="0" borderId="5" xfId="0" applyNumberFormat="1" applyFont="1" applyBorder="1"/>
    <xf numFmtId="0" fontId="8" fillId="0" borderId="17" xfId="0" applyFont="1" applyBorder="1" applyAlignment="1">
      <alignment vertical="center" wrapText="1"/>
    </xf>
    <xf numFmtId="0" fontId="0" fillId="0" borderId="4" xfId="0" applyBorder="1"/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5" xfId="0" applyFont="1" applyBorder="1"/>
    <xf numFmtId="0" fontId="13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5" fontId="8" fillId="4" borderId="9" xfId="1" applyNumberFormat="1" applyFont="1" applyFill="1" applyBorder="1" applyAlignment="1">
      <alignment horizontal="right" vertical="center" wrapText="1"/>
    </xf>
    <xf numFmtId="165" fontId="9" fillId="4" borderId="10" xfId="1" applyNumberFormat="1" applyFont="1" applyFill="1" applyBorder="1" applyAlignment="1">
      <alignment horizontal="right" vertical="center" wrapText="1"/>
    </xf>
    <xf numFmtId="165" fontId="8" fillId="5" borderId="9" xfId="1" applyNumberFormat="1" applyFont="1" applyFill="1" applyBorder="1" applyAlignment="1">
      <alignment horizontal="right" vertical="center" wrapText="1"/>
    </xf>
    <xf numFmtId="165" fontId="9" fillId="5" borderId="10" xfId="1" applyNumberFormat="1" applyFont="1" applyFill="1" applyBorder="1" applyAlignment="1">
      <alignment horizontal="right" vertical="center" wrapText="1"/>
    </xf>
    <xf numFmtId="165" fontId="8" fillId="6" borderId="9" xfId="1" applyNumberFormat="1" applyFont="1" applyFill="1" applyBorder="1" applyAlignment="1">
      <alignment horizontal="right" vertical="center" wrapText="1"/>
    </xf>
    <xf numFmtId="165" fontId="9" fillId="6" borderId="10" xfId="1" applyNumberFormat="1" applyFont="1" applyFill="1" applyBorder="1" applyAlignment="1">
      <alignment horizontal="right" vertical="center" wrapText="1"/>
    </xf>
    <xf numFmtId="165" fontId="8" fillId="7" borderId="9" xfId="1" applyNumberFormat="1" applyFont="1" applyFill="1" applyBorder="1" applyAlignment="1">
      <alignment horizontal="right" vertical="center" wrapText="1"/>
    </xf>
    <xf numFmtId="165" fontId="8" fillId="7" borderId="10" xfId="1" applyNumberFormat="1" applyFont="1" applyFill="1" applyBorder="1" applyAlignment="1">
      <alignment horizontal="right" vertical="center" wrapText="1"/>
    </xf>
    <xf numFmtId="165" fontId="0" fillId="0" borderId="0" xfId="0" applyNumberFormat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167" fontId="0" fillId="0" borderId="14" xfId="0" applyNumberFormat="1" applyBorder="1"/>
    <xf numFmtId="165" fontId="16" fillId="0" borderId="15" xfId="0" applyNumberFormat="1" applyFont="1" applyBorder="1" applyAlignment="1">
      <alignment horizontal="right"/>
    </xf>
    <xf numFmtId="10" fontId="0" fillId="0" borderId="14" xfId="2" applyNumberFormat="1" applyFont="1" applyFill="1" applyBorder="1"/>
    <xf numFmtId="10" fontId="8" fillId="0" borderId="9" xfId="2" applyNumberFormat="1" applyFont="1" applyFill="1" applyBorder="1" applyAlignment="1">
      <alignment horizontal="center" vertical="center" wrapText="1"/>
    </xf>
    <xf numFmtId="165" fontId="0" fillId="0" borderId="9" xfId="0" applyNumberFormat="1" applyBorder="1"/>
    <xf numFmtId="0" fontId="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10" fontId="8" fillId="0" borderId="19" xfId="2" applyNumberFormat="1" applyFont="1" applyFill="1" applyBorder="1" applyAlignment="1">
      <alignment horizontal="center" vertical="center" wrapText="1"/>
    </xf>
    <xf numFmtId="165" fontId="2" fillId="0" borderId="19" xfId="0" applyNumberFormat="1" applyFont="1" applyBorder="1"/>
    <xf numFmtId="167" fontId="8" fillId="0" borderId="19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7" fontId="0" fillId="0" borderId="19" xfId="0" applyNumberFormat="1" applyBorder="1"/>
    <xf numFmtId="167" fontId="2" fillId="0" borderId="19" xfId="0" applyNumberFormat="1" applyFont="1" applyBorder="1"/>
    <xf numFmtId="0" fontId="8" fillId="0" borderId="2" xfId="0" applyFont="1" applyBorder="1" applyAlignment="1">
      <alignment horizontal="center" vertical="center" wrapText="1"/>
    </xf>
    <xf numFmtId="168" fontId="0" fillId="0" borderId="0" xfId="0" applyNumberFormat="1"/>
    <xf numFmtId="165" fontId="0" fillId="0" borderId="0" xfId="0" applyNumberFormat="1"/>
    <xf numFmtId="0" fontId="2" fillId="0" borderId="0" xfId="0" applyFont="1"/>
    <xf numFmtId="0" fontId="7" fillId="0" borderId="9" xfId="0" applyFont="1" applyBorder="1" applyAlignment="1">
      <alignment horizontal="justify" vertical="center" wrapText="1"/>
    </xf>
    <xf numFmtId="4" fontId="7" fillId="0" borderId="9" xfId="0" applyNumberFormat="1" applyFont="1" applyBorder="1" applyAlignment="1">
      <alignment horizontal="center" vertical="center"/>
    </xf>
    <xf numFmtId="0" fontId="7" fillId="0" borderId="14" xfId="0" applyFont="1" applyBorder="1"/>
    <xf numFmtId="0" fontId="8" fillId="0" borderId="18" xfId="0" applyFont="1" applyBorder="1" applyAlignment="1">
      <alignment vertical="center" wrapText="1"/>
    </xf>
    <xf numFmtId="0" fontId="7" fillId="0" borderId="17" xfId="0" applyFont="1" applyBorder="1"/>
    <xf numFmtId="0" fontId="7" fillId="0" borderId="18" xfId="0" applyFont="1" applyBorder="1"/>
    <xf numFmtId="0" fontId="12" fillId="0" borderId="9" xfId="0" applyFont="1" applyBorder="1"/>
    <xf numFmtId="0" fontId="12" fillId="0" borderId="0" xfId="0" applyFont="1"/>
    <xf numFmtId="8" fontId="0" fillId="0" borderId="0" xfId="0" applyNumberFormat="1"/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8" fillId="0" borderId="9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167" fontId="19" fillId="4" borderId="9" xfId="1" applyNumberFormat="1" applyFont="1" applyFill="1" applyBorder="1" applyAlignment="1">
      <alignment horizontal="right" vertical="center" wrapText="1"/>
    </xf>
    <xf numFmtId="165" fontId="19" fillId="4" borderId="10" xfId="1" applyNumberFormat="1" applyFont="1" applyFill="1" applyBorder="1" applyAlignment="1">
      <alignment horizontal="right" vertical="center" wrapText="1"/>
    </xf>
    <xf numFmtId="165" fontId="19" fillId="5" borderId="9" xfId="1" applyNumberFormat="1" applyFont="1" applyFill="1" applyBorder="1" applyAlignment="1">
      <alignment horizontal="right" vertical="center" wrapText="1"/>
    </xf>
    <xf numFmtId="165" fontId="19" fillId="5" borderId="10" xfId="1" applyNumberFormat="1" applyFont="1" applyFill="1" applyBorder="1" applyAlignment="1">
      <alignment horizontal="right" vertical="center" wrapText="1"/>
    </xf>
    <xf numFmtId="165" fontId="19" fillId="6" borderId="9" xfId="1" applyNumberFormat="1" applyFont="1" applyFill="1" applyBorder="1" applyAlignment="1">
      <alignment horizontal="right" vertical="center" wrapText="1"/>
    </xf>
    <xf numFmtId="165" fontId="19" fillId="6" borderId="10" xfId="1" applyNumberFormat="1" applyFont="1" applyFill="1" applyBorder="1" applyAlignment="1">
      <alignment horizontal="right" vertical="center" wrapText="1"/>
    </xf>
    <xf numFmtId="165" fontId="19" fillId="7" borderId="9" xfId="1" applyNumberFormat="1" applyFont="1" applyFill="1" applyBorder="1" applyAlignment="1">
      <alignment horizontal="right" vertical="center" wrapText="1"/>
    </xf>
    <xf numFmtId="165" fontId="19" fillId="7" borderId="10" xfId="1" applyNumberFormat="1" applyFont="1" applyFill="1" applyBorder="1" applyAlignment="1">
      <alignment horizontal="right" vertical="center" wrapText="1"/>
    </xf>
    <xf numFmtId="0" fontId="20" fillId="0" borderId="9" xfId="0" applyFont="1" applyBorder="1" applyAlignment="1">
      <alignment wrapText="1"/>
    </xf>
    <xf numFmtId="0" fontId="0" fillId="0" borderId="9" xfId="0" applyBorder="1" applyAlignment="1">
      <alignment horizontal="right"/>
    </xf>
    <xf numFmtId="0" fontId="0" fillId="0" borderId="9" xfId="0" applyBorder="1" applyAlignment="1">
      <alignment horizontal="center"/>
    </xf>
    <xf numFmtId="165" fontId="0" fillId="0" borderId="5" xfId="0" applyNumberFormat="1" applyBorder="1"/>
    <xf numFmtId="1" fontId="0" fillId="0" borderId="9" xfId="0" applyNumberFormat="1" applyBorder="1" applyAlignment="1">
      <alignment horizontal="center" vertical="center"/>
    </xf>
    <xf numFmtId="165" fontId="18" fillId="0" borderId="5" xfId="0" applyNumberFormat="1" applyFont="1" applyBorder="1"/>
    <xf numFmtId="0" fontId="21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justify" vertical="center" wrapText="1"/>
    </xf>
    <xf numFmtId="4" fontId="21" fillId="0" borderId="9" xfId="0" applyNumberFormat="1" applyFont="1" applyBorder="1" applyAlignment="1">
      <alignment horizontal="center" vertical="center"/>
    </xf>
    <xf numFmtId="165" fontId="19" fillId="0" borderId="9" xfId="1" applyNumberFormat="1" applyFont="1" applyFill="1" applyBorder="1" applyAlignment="1">
      <alignment horizontal="right" vertical="center" wrapText="1"/>
    </xf>
    <xf numFmtId="165" fontId="19" fillId="0" borderId="10" xfId="1" applyNumberFormat="1" applyFont="1" applyFill="1" applyBorder="1" applyAlignment="1">
      <alignment horizontal="right" vertical="center" wrapText="1"/>
    </xf>
    <xf numFmtId="3" fontId="0" fillId="0" borderId="5" xfId="0" applyNumberForma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14" fillId="0" borderId="7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6" fontId="9" fillId="0" borderId="0" xfId="1" applyNumberFormat="1" applyFont="1" applyFill="1" applyBorder="1" applyAlignment="1">
      <alignment horizontal="right" vertical="center" wrapText="1"/>
    </xf>
    <xf numFmtId="4" fontId="7" fillId="0" borderId="9" xfId="0" applyNumberFormat="1" applyFont="1" applyFill="1" applyBorder="1" applyAlignment="1">
      <alignment horizontal="center" vertical="center"/>
    </xf>
  </cellXfs>
  <cellStyles count="9">
    <cellStyle name="Millares" xfId="1" builtinId="3"/>
    <cellStyle name="Millares 2" xfId="8" xr:uid="{00000000-0005-0000-0000-000001000000}"/>
    <cellStyle name="Millares 6" xfId="5" xr:uid="{00000000-0005-0000-0000-000002000000}"/>
    <cellStyle name="Normal" xfId="0" builtinId="0"/>
    <cellStyle name="Normal 2" xfId="4" xr:uid="{00000000-0005-0000-0000-000004000000}"/>
    <cellStyle name="Normal 2 2" xfId="7" xr:uid="{00000000-0005-0000-0000-000005000000}"/>
    <cellStyle name="Normal 4" xfId="6" xr:uid="{00000000-0005-0000-0000-000006000000}"/>
    <cellStyle name="Normal 5" xfId="3" xr:uid="{00000000-0005-0000-0000-000007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257034</xdr:colOff>
      <xdr:row>2</xdr:row>
      <xdr:rowOff>106655</xdr:rowOff>
    </xdr:from>
    <xdr:ext cx="389134" cy="352587"/>
    <xdr:pic>
      <xdr:nvPicPr>
        <xdr:cNvPr id="2" name="Imagen 1">
          <a:extLst>
            <a:ext uri="{FF2B5EF4-FFF2-40B4-BE49-F238E27FC236}">
              <a16:creationId xmlns:a16="http://schemas.microsoft.com/office/drawing/2014/main" id="{A6A260F1-C444-41A3-9BAC-A70F1C4F1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507" y="353284"/>
          <a:ext cx="389134" cy="352587"/>
        </a:xfrm>
        <a:prstGeom prst="rect">
          <a:avLst/>
        </a:prstGeom>
      </xdr:spPr>
    </xdr:pic>
    <xdr:clientData/>
  </xdr:oneCellAnchor>
  <xdr:twoCellAnchor editAs="oneCell">
    <xdr:from>
      <xdr:col>4</xdr:col>
      <xdr:colOff>349980</xdr:colOff>
      <xdr:row>32</xdr:row>
      <xdr:rowOff>147270</xdr:rowOff>
    </xdr:from>
    <xdr:to>
      <xdr:col>4</xdr:col>
      <xdr:colOff>350340</xdr:colOff>
      <xdr:row>32</xdr:row>
      <xdr:rowOff>147630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95DC6AF5-D4B6-71E2-423A-17A042DE970C}"/>
                </a:ext>
              </a:extLst>
            </xdr14:cNvPr>
            <xdr14:cNvContentPartPr/>
          </xdr14:nvContentPartPr>
          <xdr14:nvPr macro=""/>
          <xdr14:xfrm>
            <a:off x="1759680" y="10424745"/>
            <a:ext cx="360" cy="360"/>
          </xdr14:xfrm>
        </xdr:contentPart>
      </mc:Choice>
      <mc:Fallback>
        <xdr:pic>
          <xdr:nvPicPr>
            <xdr:cNvPr id="6" name="Entrada de lápiz 5">
              <a:extLst>
                <a:ext uri="{FF2B5EF4-FFF2-40B4-BE49-F238E27FC236}">
                  <a16:creationId xmlns:a16="http://schemas.microsoft.com/office/drawing/2014/main" id="{95DC6AF5-D4B6-71E2-423A-17A042DE970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755360" y="10420425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747420</xdr:colOff>
      <xdr:row>30</xdr:row>
      <xdr:rowOff>11145</xdr:rowOff>
    </xdr:from>
    <xdr:to>
      <xdr:col>4</xdr:col>
      <xdr:colOff>1492980</xdr:colOff>
      <xdr:row>35</xdr:row>
      <xdr:rowOff>155010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A28FC1A8-C3AE-CF50-336C-3EFA856F2831}"/>
                </a:ext>
              </a:extLst>
            </xdr14:cNvPr>
            <xdr14:cNvContentPartPr/>
          </xdr14:nvContentPartPr>
          <xdr14:nvPr macro=""/>
          <xdr14:xfrm>
            <a:off x="2157120" y="9917145"/>
            <a:ext cx="745560" cy="1086840"/>
          </xdr14:xfrm>
        </xdr:contentPart>
      </mc:Choice>
      <mc:Fallback>
        <xdr:pic>
          <xdr:nvPicPr>
            <xdr:cNvPr id="9" name="Entrada de lápiz 8">
              <a:extLst>
                <a:ext uri="{FF2B5EF4-FFF2-40B4-BE49-F238E27FC236}">
                  <a16:creationId xmlns:a16="http://schemas.microsoft.com/office/drawing/2014/main" id="{A28FC1A8-C3AE-CF50-336C-3EFA856F2831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152800" y="9912825"/>
              <a:ext cx="754200" cy="10954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188774</xdr:colOff>
      <xdr:row>2</xdr:row>
      <xdr:rowOff>81392</xdr:rowOff>
    </xdr:from>
    <xdr:to>
      <xdr:col>4</xdr:col>
      <xdr:colOff>615462</xdr:colOff>
      <xdr:row>5</xdr:row>
      <xdr:rowOff>161193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1BE0CC-3AAC-4681-A73C-CA019E9B0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124" y="329042"/>
          <a:ext cx="969613" cy="946576"/>
        </a:xfrm>
        <a:prstGeom prst="rect">
          <a:avLst/>
        </a:prstGeom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6-19T21:38:20.870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0 0 24575,'0'0'0,"0"0"0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6-19T21:38:23.536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1457 2995 24575,'0'4'0,"0"11"0,-1-15 0,1 0 0,0 0 0,0 0 0,0 0 0,0 0 0,0-1 0,0 1 0,0 0 0,-1 0 0,1 0 0,0 0 0,0 0 0,0 0 0,0 0 0,0 0 0,0 0 0,-1 0 0,1 0 0,0 0 0,0 0 0,0 0 0,0 0 0,0 0 0,-1 0 0,1 0 0,0 0 0,0 0 0,0 0 0,0 0 0,0 0 0,-1 0 0,1 0 0,0 0 0,0 0 0,0 0 0,0 0 0,0 1 0,0-1 0,-1 0 0,1 0 0,0 0 0,0 0 0,0 0 0,0 0 0,0 0 0,0 1 0,0-1 0,0 0 0,0 0 0,0 0 0,0 0 0,0 0 0,0 1 0,0-1 0,0 0 0,0 0 0,0 0 0,0 0 0,0 0 0,0 1 0,0-1 0,0 0 0,0 0 0,0 0 0,0 0 0,0 0 0,0 1 0,0-1 0,0 0 0,-6-7 0,1 0 0,0 0 0,0 0 0,0-1 0,1 1 0,-4-10 0,-8-16 0,-293-642-11,216 459-104,-42-94-47,-449-974-368,582 1279 530,-111-212 224,86 171-90,-2 2 1,-52-62 0,59 84 31,22 22-166,1 0 0,-1 0 0,0 0 0,0 0 1,0 1-1,0-1 0,0 0 0,0 0 1,0 0-1,0 0 0,0 0 0,0 0 1,0 0-1,0 0 0,0 0 0,0 1 0,0-1 1,0 0-1,0 0 0,0 0 0,1 0 1,-1 0-1,0 0 0,0 0 0,0 0 0,-1 1 1,1-1-1,0 0 0,0 0 0,0 0 1,0 0-1,0 0 0,0 0 0,0 0 1,0 0-1,0 0 0,0 1 0,0-1 0,0 0 1,0 0-1,0 0 0,0 0 0,0 0 1,0 0-1,-1 0 0,1 0 0,0 0 0,0 0 1,0 0-1,0 0 0,0 0 0,0 0 1,0 0-1,0 1 0,0-1 0,-1 0 0,1 0 1,0 0-1,0 0 0,0 0 0,0 0 1,0 0-1,0 0 0,0-1 0,0 1 1,-1 0-1,1 0 0,0 0 0,0 0 0,10 24 9,117 209-9,-105-196 0,262 444-231,445 805-981,-701-1234 1206,-2 1 1,-3 1 0,-2 1 0,20 81 0,-37-116 5,-1 0 0,0 25 0,-3-42 0,1 0 0,-1 0 0,0-1 0,0 1 0,0 0 0,-1 0 0,1-1 0,-1 1 0,1 0 0,-1 0 0,0-1 0,0 1 0,0-1 0,0 1 0,-1-1 0,1 1 0,-1-1 0,1 0 0,-1 0 0,0 0 0,0 0 0,0 0 0,0 0 0,-3 2 0,2-3 11,0-1-1,1 0 1,-1 0 0,0 0 0,1 0 0,-1 0 0,0 0 0,1-1 0,-1 1-1,0-1 1,1 0 0,-1 0 0,1 0 0,-1 0 0,1 0 0,-1 0 0,1-1-1,0 1 1,-4-4 0,-22-20 175,0 0 0,2-2-1,1-1 1,1-1 0,-30-47 0,-35-55-163,5-4 0,6-3-1,6-4 1,7-2 0,-59-189 0,116 307-23,3 14 0,1 0 0,1-1 0,0 1 0,0-1 0,1 1 0,0-15 0,6 28 0,3 18 0,28 89 0,37 216 0,-11 126 0,-25-59 0,-35-386 0,4 28 0,0-30 0,3-21 0,18-75 0,15-108 0,-20 89 0,-5 32 0,90-477 0,-95 483 0,-13 42 0,-6 30 0,-7 15 0,-9 21 0,1 0 0,2 2 0,1 0 0,-25 65 0,25-54 0,-27 56 0,-64 211 0,110-311 0,0 0 0,0 0 0,1 0 0,-1 0 0,1 0 0,-1 0 0,1 0 0,0 0 0,0 0 0,0 0 0,0 0 0,1 0 0,-1 0 0,1 0 0,2 6 0,-3-9 0,1 0 0,-1 1 0,1-1 0,-1 0 0,1 1 0,0-1 0,-1 0 0,1 0 0,-1 0 0,1 1 0,-1-1 0,1 0 0,0 0 0,-1 0 0,1 0 0,-1 0 0,1 0 0,0 0 0,-1 0 0,1 0 0,-1-1 0,1 1 0,-1 0 0,1 0 0,0 0 0,-1-1 0,1 1 0,30-22 0,17-27 0,-1-2 0,41-58 0,75-125 0,-148 212 0,64-96 0,102-202 0,-167 280 0,-13 39 0,-1 1 0,0 0 0,0-1 0,0 1 0,0 0 0,0 0 0,0-1 0,-1 1 0,1 0 0,0-1 0,0 1 0,0 0 0,0-1 0,0 1 0,0 0 0,0 0 0,-1-1 0,1 1 0,0 0 0,0 0 0,0-1 0,0 1 0,-1 0 0,1 0 0,0 0 0,0 0 0,-1-1 0,1 1 0,0 0 0,0 0 0,-1 0 0,1 0 0,0 0 0,-1 0 0,1-1 0,0 1 0,0 0 0,-1 0 0,1 0 0,0 0 0,-1 0 0,1 0 0,0 0 0,-1 0 0,1 0 0,0 1 0,0-1 0,-1 0 0,1 0 0,0 0 0,-1 0 0,1 0 0,0 0 0,0 1 0,-1-1 0,1 0 0,0 0 0,0 0 0,0 1 0,-1-1 0,1 0 0,0 0 0,0 1 0,0-1 0,0 0 0,-1 0 0,1 1 0,-16 11 0,1 1 0,0 0 0,0 1 0,1 0 0,-22 31 0,12-14 0,-216 276 0,-222 376 0,444-655 0,-16 27 0,-33 73 0,62-111 0,13-21 0,24-29 0,-23 23 0,999-1036 0,-618 652 0,-323 325-84,134-126-1197,-185 182-5545</inkml:trace>
  <inkml:trace contextRef="#ctx0" brushRef="#br0" timeOffset="474.3">693 1882 24575,'1'-5'0,"1"1"0,0-1 0,0 1 0,0-1 0,1 1 0,-1 0 0,1 0 0,0 0 0,6-6 0,5-8 0,206-301 0,-194 288 0,-26 31 0,0 1 0,0-1 0,0 0 0,-1 0 0,1 1 0,0-1 0,0 0 0,0 1 0,0-1 0,0 0 0,0 0 0,0 1 0,0-1 0,0 0 0,0 1 0,0-1 0,0 0 0,0 1 0,0-1 0,0 0 0,0 0 0,0 1 0,0-1 0,0 0 0,0 1 0,0-1 0,1 0 0,-1 0 0,0 1 0,0-1 0,0 0 0,0 0 0,1 1 0,-1-1 0,0 0 0,0 0 0,1 0 0,-1 0 0,0 1 0,0-1 0,1 0 0,-1 0 0,0 0 0,0 0 0,1 0 0,-1 0 0,0 0 0,1 0 0,-1 1 0,0-1 0,0 0 0,1 0 0,-1 0 0,0-1 0,1 1 0,-1 0 0,0 0 0,1 0 0,-1 0 0,0 0 0,0 0 0,1 0 0,-1 0 0,0-1 0,0 1 0,1 0 0,-1 0 0,0 0 0,1-1 0,-3 28 0,-2-1 0,0 1 0,-14 46 0,8-38 0,-117 390 0,64-228 0,60-187 0,-11 46 0,14-56 0,0 1 0,0 0 0,0-1 0,0 1 0,0 0 0,0-1 0,0 1 0,0 0 0,0-1 0,0 1 0,0-1 0,1 1 0,-1 0 0,0-1 0,1 1 0,-1-1 0,0 1 0,1 0 0,-1-1 0,0 1 0,1-1 0,-1 1 0,1-1 0,-1 0 0,2 2 0,-1-2 0,1 0 0,-1 0 0,0 0 0,1 0 0,-1-1 0,1 1 0,-1 0 0,1 0 0,-1-1 0,0 1 0,1-1 0,-1 1 0,0-1 0,0 0 0,1 1 0,-1-1 0,2-2 0,36-25 0,0-3 0,-2-1 0,40-46 0,-15 15 0,-5 8-118,229-210-1129,-241 229-5579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2:M41"/>
  <sheetViews>
    <sheetView tabSelected="1" topLeftCell="C19" zoomScaleNormal="100" zoomScaleSheetLayoutView="112" workbookViewId="0">
      <selection activeCell="J23" sqref="J23"/>
    </sheetView>
  </sheetViews>
  <sheetFormatPr baseColWidth="10" defaultColWidth="11.42578125" defaultRowHeight="15" x14ac:dyDescent="0.25"/>
  <cols>
    <col min="1" max="1" width="11.42578125" style="1"/>
    <col min="2" max="2" width="1.140625" customWidth="1"/>
    <col min="3" max="3" width="0.85546875" customWidth="1"/>
    <col min="4" max="4" width="7.7109375" bestFit="1" customWidth="1"/>
    <col min="5" max="5" width="48.42578125" customWidth="1"/>
    <col min="6" max="6" width="10.7109375" customWidth="1"/>
    <col min="7" max="7" width="9.42578125" bestFit="1" customWidth="1"/>
    <col min="8" max="8" width="14.42578125" bestFit="1" customWidth="1"/>
    <col min="9" max="9" width="17.140625" customWidth="1"/>
    <col min="10" max="10" width="14.42578125" bestFit="1" customWidth="1"/>
    <col min="11" max="11" width="17.140625" customWidth="1"/>
    <col min="12" max="12" width="0.85546875" customWidth="1"/>
  </cols>
  <sheetData>
    <row r="2" spans="1:13" ht="5.0999999999999996" customHeight="1" x14ac:dyDescent="0.25"/>
    <row r="3" spans="1:13" ht="26.25" customHeight="1" x14ac:dyDescent="0.25">
      <c r="D3" s="2"/>
      <c r="E3" s="127"/>
      <c r="F3" s="127"/>
      <c r="G3" s="127"/>
      <c r="H3" s="127"/>
      <c r="I3" s="128"/>
      <c r="J3" s="122"/>
      <c r="K3" s="122"/>
    </row>
    <row r="4" spans="1:13" ht="26.25" customHeight="1" x14ac:dyDescent="0.25">
      <c r="D4" s="3"/>
      <c r="E4" s="129" t="s">
        <v>0</v>
      </c>
      <c r="F4" s="129"/>
      <c r="G4" s="129"/>
      <c r="H4" s="129"/>
      <c r="I4" s="130"/>
      <c r="J4" s="123"/>
      <c r="K4" s="123"/>
    </row>
    <row r="5" spans="1:13" ht="46.5" customHeight="1" x14ac:dyDescent="0.25">
      <c r="D5" s="4" t="s">
        <v>1</v>
      </c>
      <c r="E5" s="131" t="s">
        <v>2</v>
      </c>
      <c r="F5" s="131"/>
      <c r="G5" s="131"/>
      <c r="H5" s="131"/>
      <c r="I5" s="132"/>
      <c r="J5" s="124"/>
      <c r="K5" s="124"/>
    </row>
    <row r="6" spans="1:13" ht="46.5" customHeight="1" x14ac:dyDescent="0.25">
      <c r="D6" s="4"/>
      <c r="E6" s="5"/>
      <c r="F6" s="5"/>
      <c r="G6" s="5"/>
      <c r="I6" s="6"/>
      <c r="K6" s="6"/>
    </row>
    <row r="7" spans="1:13" ht="46.5" customHeight="1" x14ac:dyDescent="0.25">
      <c r="D7" s="134" t="s">
        <v>3</v>
      </c>
      <c r="E7" s="133" t="s">
        <v>4</v>
      </c>
      <c r="F7" s="133" t="s">
        <v>5</v>
      </c>
      <c r="G7" s="133" t="s">
        <v>6</v>
      </c>
      <c r="H7" s="135" t="s">
        <v>7</v>
      </c>
      <c r="I7" s="133" t="s">
        <v>8</v>
      </c>
      <c r="J7" s="125" t="s">
        <v>9</v>
      </c>
      <c r="K7" s="126" t="s">
        <v>10</v>
      </c>
    </row>
    <row r="8" spans="1:13" s="7" customFormat="1" ht="23.25" customHeight="1" x14ac:dyDescent="0.25">
      <c r="A8" s="1"/>
      <c r="D8" s="134"/>
      <c r="E8" s="133"/>
      <c r="F8" s="133"/>
      <c r="G8" s="133"/>
      <c r="H8" s="135"/>
      <c r="I8" s="133"/>
      <c r="J8" s="125"/>
      <c r="K8" s="126"/>
    </row>
    <row r="9" spans="1:13" ht="25.5" x14ac:dyDescent="0.25">
      <c r="D9" s="8">
        <v>1</v>
      </c>
      <c r="E9" s="88" t="s">
        <v>11</v>
      </c>
      <c r="F9" s="8" t="s">
        <v>12</v>
      </c>
      <c r="G9" s="89">
        <v>95</v>
      </c>
      <c r="H9" s="12">
        <v>5732</v>
      </c>
      <c r="I9" s="13">
        <f>+ROUND(H9*G9,0)</f>
        <v>544540</v>
      </c>
      <c r="J9" s="12">
        <v>5700</v>
      </c>
      <c r="K9" s="13">
        <f>+ROUND(J9*G9,0)</f>
        <v>541500</v>
      </c>
      <c r="M9" s="149"/>
    </row>
    <row r="10" spans="1:13" ht="30" customHeight="1" x14ac:dyDescent="0.25">
      <c r="D10" s="8">
        <v>2</v>
      </c>
      <c r="E10" s="88" t="s">
        <v>13</v>
      </c>
      <c r="F10" s="8" t="s">
        <v>12</v>
      </c>
      <c r="G10" s="89">
        <v>95</v>
      </c>
      <c r="H10" s="12">
        <v>6555</v>
      </c>
      <c r="I10" s="13">
        <f t="shared" ref="I10:I21" si="0">+ROUND(H10*G10,0)</f>
        <v>622725</v>
      </c>
      <c r="J10" s="12">
        <v>5800</v>
      </c>
      <c r="K10" s="13">
        <f t="shared" ref="K10:K22" si="1">+ROUND(J10*G10,0)</f>
        <v>551000</v>
      </c>
    </row>
    <row r="11" spans="1:13" ht="25.5" x14ac:dyDescent="0.25">
      <c r="D11" s="8">
        <v>3</v>
      </c>
      <c r="E11" s="88" t="s">
        <v>14</v>
      </c>
      <c r="F11" s="8" t="s">
        <v>12</v>
      </c>
      <c r="G11" s="89">
        <v>95</v>
      </c>
      <c r="H11" s="12">
        <v>33122</v>
      </c>
      <c r="I11" s="13">
        <f t="shared" si="0"/>
        <v>3146590</v>
      </c>
      <c r="J11" s="12">
        <v>25000</v>
      </c>
      <c r="K11" s="13">
        <f t="shared" si="1"/>
        <v>2375000</v>
      </c>
    </row>
    <row r="12" spans="1:13" ht="25.5" x14ac:dyDescent="0.25">
      <c r="D12" s="8">
        <v>4</v>
      </c>
      <c r="E12" s="88" t="s">
        <v>15</v>
      </c>
      <c r="F12" s="8" t="s">
        <v>12</v>
      </c>
      <c r="G12" s="89">
        <v>95</v>
      </c>
      <c r="H12" s="12">
        <v>48214</v>
      </c>
      <c r="I12" s="13">
        <f t="shared" si="0"/>
        <v>4580330</v>
      </c>
      <c r="J12" s="12">
        <v>42000</v>
      </c>
      <c r="K12" s="13">
        <f t="shared" si="1"/>
        <v>3990000</v>
      </c>
    </row>
    <row r="13" spans="1:13" ht="25.5" x14ac:dyDescent="0.25">
      <c r="D13" s="8">
        <v>5</v>
      </c>
      <c r="E13" s="88" t="s">
        <v>16</v>
      </c>
      <c r="F13" s="8" t="s">
        <v>17</v>
      </c>
      <c r="G13" s="89">
        <v>11.969999999999997</v>
      </c>
      <c r="H13" s="12">
        <v>34011</v>
      </c>
      <c r="I13" s="13">
        <f t="shared" si="0"/>
        <v>407112</v>
      </c>
      <c r="J13" s="12">
        <v>33000</v>
      </c>
      <c r="K13" s="13">
        <f t="shared" si="1"/>
        <v>395010</v>
      </c>
    </row>
    <row r="14" spans="1:13" ht="25.5" x14ac:dyDescent="0.25">
      <c r="D14" s="8">
        <v>6</v>
      </c>
      <c r="E14" s="88" t="s">
        <v>18</v>
      </c>
      <c r="F14" s="8" t="s">
        <v>17</v>
      </c>
      <c r="G14" s="150">
        <v>21.525000000000002</v>
      </c>
      <c r="H14" s="12">
        <v>685750</v>
      </c>
      <c r="I14" s="13">
        <f t="shared" si="0"/>
        <v>14760769</v>
      </c>
      <c r="J14" s="12">
        <v>435000</v>
      </c>
      <c r="K14" s="13">
        <f t="shared" si="1"/>
        <v>9363375</v>
      </c>
    </row>
    <row r="15" spans="1:13" ht="38.25" x14ac:dyDescent="0.25">
      <c r="D15" s="8">
        <v>7</v>
      </c>
      <c r="E15" s="88" t="s">
        <v>19</v>
      </c>
      <c r="F15" s="8" t="s">
        <v>12</v>
      </c>
      <c r="G15" s="89">
        <v>90.75</v>
      </c>
      <c r="H15" s="12">
        <v>186383</v>
      </c>
      <c r="I15" s="13">
        <f t="shared" si="0"/>
        <v>16914257</v>
      </c>
      <c r="J15" s="12">
        <v>183000</v>
      </c>
      <c r="K15" s="13">
        <f t="shared" si="1"/>
        <v>16607250</v>
      </c>
    </row>
    <row r="16" spans="1:13" ht="25.5" x14ac:dyDescent="0.25">
      <c r="D16" s="8">
        <v>8</v>
      </c>
      <c r="E16" s="88" t="s">
        <v>20</v>
      </c>
      <c r="F16" s="8" t="s">
        <v>12</v>
      </c>
      <c r="G16" s="89">
        <v>90.75</v>
      </c>
      <c r="H16" s="12">
        <v>142425</v>
      </c>
      <c r="I16" s="13">
        <f t="shared" si="0"/>
        <v>12925069</v>
      </c>
      <c r="J16" s="12">
        <v>141000</v>
      </c>
      <c r="K16" s="13">
        <f t="shared" si="1"/>
        <v>12795750</v>
      </c>
    </row>
    <row r="17" spans="1:12" ht="38.25" x14ac:dyDescent="0.25">
      <c r="D17" s="8">
        <v>9</v>
      </c>
      <c r="E17" s="88" t="s">
        <v>21</v>
      </c>
      <c r="F17" s="8" t="s">
        <v>22</v>
      </c>
      <c r="G17" s="89">
        <v>16</v>
      </c>
      <c r="H17" s="12">
        <v>120411</v>
      </c>
      <c r="I17" s="13">
        <f t="shared" si="0"/>
        <v>1926576</v>
      </c>
      <c r="J17" s="12">
        <v>99000</v>
      </c>
      <c r="K17" s="13">
        <f t="shared" si="1"/>
        <v>1584000</v>
      </c>
    </row>
    <row r="18" spans="1:12" ht="38.25" x14ac:dyDescent="0.25">
      <c r="D18" s="8">
        <v>10</v>
      </c>
      <c r="E18" s="88" t="s">
        <v>23</v>
      </c>
      <c r="F18" s="8" t="s">
        <v>24</v>
      </c>
      <c r="G18" s="89">
        <v>174.16666666666669</v>
      </c>
      <c r="H18" s="12">
        <v>141862</v>
      </c>
      <c r="I18" s="13">
        <f t="shared" si="0"/>
        <v>24707632</v>
      </c>
      <c r="J18" s="12">
        <v>138000</v>
      </c>
      <c r="K18" s="13">
        <f t="shared" si="1"/>
        <v>24035000</v>
      </c>
    </row>
    <row r="19" spans="1:12" ht="25.5" x14ac:dyDescent="0.25">
      <c r="D19" s="8">
        <v>11</v>
      </c>
      <c r="E19" s="88" t="s">
        <v>25</v>
      </c>
      <c r="F19" s="8" t="s">
        <v>22</v>
      </c>
      <c r="G19" s="89">
        <v>17</v>
      </c>
      <c r="H19" s="12">
        <v>346398</v>
      </c>
      <c r="I19" s="13">
        <f t="shared" si="0"/>
        <v>5888766</v>
      </c>
      <c r="J19" s="12">
        <v>263000</v>
      </c>
      <c r="K19" s="13">
        <f t="shared" si="1"/>
        <v>4471000</v>
      </c>
    </row>
    <row r="20" spans="1:12" ht="25.5" x14ac:dyDescent="0.25">
      <c r="D20" s="8">
        <v>12</v>
      </c>
      <c r="E20" s="88" t="s">
        <v>26</v>
      </c>
      <c r="F20" s="8" t="s">
        <v>27</v>
      </c>
      <c r="G20" s="89">
        <v>161.5</v>
      </c>
      <c r="H20" s="12">
        <v>8475</v>
      </c>
      <c r="I20" s="13">
        <f t="shared" si="0"/>
        <v>1368713</v>
      </c>
      <c r="J20" s="12">
        <v>7800</v>
      </c>
      <c r="K20" s="13">
        <f t="shared" si="1"/>
        <v>1259700</v>
      </c>
    </row>
    <row r="21" spans="1:12" ht="25.5" x14ac:dyDescent="0.25">
      <c r="D21" s="8">
        <v>13</v>
      </c>
      <c r="E21" s="88" t="s">
        <v>28</v>
      </c>
      <c r="F21" s="8" t="s">
        <v>12</v>
      </c>
      <c r="G21" s="89">
        <v>56.1</v>
      </c>
      <c r="H21" s="12">
        <v>127496</v>
      </c>
      <c r="I21" s="13">
        <f t="shared" si="0"/>
        <v>7152526</v>
      </c>
      <c r="J21" s="12">
        <v>121000</v>
      </c>
      <c r="K21" s="13">
        <f t="shared" si="1"/>
        <v>6788100</v>
      </c>
    </row>
    <row r="22" spans="1:12" ht="51" x14ac:dyDescent="0.25">
      <c r="D22" s="8">
        <v>14</v>
      </c>
      <c r="E22" s="88" t="s">
        <v>29</v>
      </c>
      <c r="F22" s="8" t="s">
        <v>12</v>
      </c>
      <c r="G22" s="89">
        <v>63.21</v>
      </c>
      <c r="H22" s="12">
        <v>86862</v>
      </c>
      <c r="I22" s="13">
        <f>+ROUND(H22*G22,0)</f>
        <v>5490547</v>
      </c>
      <c r="J22" s="12">
        <v>54000</v>
      </c>
      <c r="K22" s="13">
        <f t="shared" si="1"/>
        <v>3413340</v>
      </c>
    </row>
    <row r="23" spans="1:12" s="98" customFormat="1" ht="15.75" thickBot="1" x14ac:dyDescent="0.3">
      <c r="A23" s="97"/>
      <c r="D23" s="116"/>
      <c r="E23" s="117"/>
      <c r="F23" s="116"/>
      <c r="G23" s="118"/>
      <c r="H23" s="119"/>
      <c r="I23" s="120"/>
      <c r="J23" s="119"/>
      <c r="K23" s="120"/>
    </row>
    <row r="24" spans="1:12" x14ac:dyDescent="0.25">
      <c r="D24" s="15"/>
      <c r="E24" s="16" t="s">
        <v>30</v>
      </c>
      <c r="F24" s="17"/>
      <c r="G24" s="18"/>
      <c r="H24" s="90"/>
      <c r="I24" s="19">
        <f>+SUM(I9:I22)</f>
        <v>100436152</v>
      </c>
      <c r="J24" s="90"/>
      <c r="K24" s="19">
        <f>SUM(K9:K23)</f>
        <v>88170025</v>
      </c>
    </row>
    <row r="25" spans="1:12" x14ac:dyDescent="0.25">
      <c r="D25" s="20"/>
      <c r="E25" s="21" t="s">
        <v>31</v>
      </c>
      <c r="F25" s="22"/>
      <c r="G25" s="23"/>
      <c r="H25" s="24">
        <v>0.2</v>
      </c>
      <c r="I25" s="25">
        <f>+I24*H25</f>
        <v>20087230.400000002</v>
      </c>
      <c r="J25" s="24"/>
      <c r="K25" s="25">
        <f>ROUND(K24*H25,0)</f>
        <v>17634005</v>
      </c>
    </row>
    <row r="26" spans="1:12" x14ac:dyDescent="0.25">
      <c r="D26" s="20"/>
      <c r="E26" s="21" t="s">
        <v>32</v>
      </c>
      <c r="F26" s="38"/>
      <c r="G26" s="91"/>
      <c r="H26" s="24">
        <v>0</v>
      </c>
      <c r="I26" s="25">
        <v>0</v>
      </c>
      <c r="J26" s="24"/>
      <c r="K26" s="25">
        <f>ROUND(K24*H26,0)</f>
        <v>0</v>
      </c>
    </row>
    <row r="27" spans="1:12" x14ac:dyDescent="0.25">
      <c r="D27" s="20"/>
      <c r="E27" s="21" t="s">
        <v>33</v>
      </c>
      <c r="F27" s="38"/>
      <c r="G27" s="91"/>
      <c r="H27" s="24">
        <v>0.05</v>
      </c>
      <c r="I27" s="25">
        <f>+I24*H27</f>
        <v>5021807.6000000006</v>
      </c>
      <c r="J27" s="24"/>
      <c r="K27" s="25">
        <f>ROUND(K24*H27,0)</f>
        <v>4408501</v>
      </c>
    </row>
    <row r="28" spans="1:12" x14ac:dyDescent="0.25">
      <c r="D28" s="20"/>
      <c r="E28" s="21" t="s">
        <v>34</v>
      </c>
      <c r="F28" s="92"/>
      <c r="G28" s="93"/>
      <c r="H28" s="24">
        <v>0.19</v>
      </c>
      <c r="I28" s="25">
        <f>+ROUND(I27*H28,0)+1</f>
        <v>954144</v>
      </c>
      <c r="J28" s="24"/>
      <c r="K28" s="25">
        <f>ROUND(K27*H28,0)</f>
        <v>837615</v>
      </c>
    </row>
    <row r="29" spans="1:12" x14ac:dyDescent="0.25">
      <c r="D29" s="20"/>
      <c r="E29" s="28" t="s">
        <v>35</v>
      </c>
      <c r="F29" s="92"/>
      <c r="G29" s="93"/>
      <c r="H29" s="29"/>
      <c r="I29" s="25">
        <f>+I28+I27+I25</f>
        <v>26063182.000000004</v>
      </c>
      <c r="J29" s="29"/>
      <c r="K29" s="30">
        <f>SUM(K25:K28)</f>
        <v>22880121</v>
      </c>
    </row>
    <row r="30" spans="1:12" ht="14.25" customHeight="1" x14ac:dyDescent="0.25">
      <c r="D30" s="31"/>
      <c r="E30" s="28" t="s">
        <v>36</v>
      </c>
      <c r="F30" s="32"/>
      <c r="G30" s="33"/>
      <c r="H30" s="94"/>
      <c r="I30" s="30">
        <f>+I29+I24</f>
        <v>126499334</v>
      </c>
      <c r="J30" s="94"/>
      <c r="K30" s="30">
        <f>K24+K29</f>
        <v>111050146</v>
      </c>
    </row>
    <row r="31" spans="1:12" ht="14.25" customHeight="1" x14ac:dyDescent="0.25">
      <c r="D31" s="34"/>
      <c r="E31" s="35"/>
      <c r="F31" s="36"/>
      <c r="G31" s="36"/>
      <c r="H31" s="95"/>
      <c r="I31" s="37"/>
      <c r="J31" s="95"/>
      <c r="K31" s="37"/>
    </row>
    <row r="32" spans="1:12" x14ac:dyDescent="0.25">
      <c r="D32" s="40"/>
      <c r="E32" s="36"/>
      <c r="F32" s="41"/>
      <c r="G32" s="41"/>
      <c r="I32" s="42"/>
      <c r="K32" s="42"/>
      <c r="L32" s="39"/>
    </row>
    <row r="33" spans="4:12" x14ac:dyDescent="0.25">
      <c r="D33" s="39"/>
      <c r="I33" s="6"/>
      <c r="K33" s="6"/>
      <c r="L33" s="39"/>
    </row>
    <row r="34" spans="4:12" x14ac:dyDescent="0.25">
      <c r="D34" s="39"/>
      <c r="I34" s="115"/>
      <c r="K34" s="115"/>
      <c r="L34" s="39"/>
    </row>
    <row r="35" spans="4:12" x14ac:dyDescent="0.25">
      <c r="D35" s="39"/>
      <c r="I35" s="113"/>
      <c r="K35" s="113"/>
      <c r="L35" s="39"/>
    </row>
    <row r="36" spans="4:12" ht="18.75" x14ac:dyDescent="0.3">
      <c r="D36" s="39"/>
      <c r="E36" s="87" t="s">
        <v>75</v>
      </c>
      <c r="F36" s="43"/>
      <c r="I36" s="6"/>
      <c r="K36" s="6"/>
      <c r="L36" s="39"/>
    </row>
    <row r="37" spans="4:12" x14ac:dyDescent="0.25">
      <c r="D37" s="39"/>
      <c r="E37" t="s">
        <v>77</v>
      </c>
      <c r="I37" s="6"/>
      <c r="K37" s="6"/>
      <c r="L37" s="39"/>
    </row>
    <row r="38" spans="4:12" x14ac:dyDescent="0.25">
      <c r="D38" s="39"/>
      <c r="E38" t="s">
        <v>76</v>
      </c>
      <c r="I38" s="6"/>
      <c r="K38" s="6"/>
      <c r="L38" s="39"/>
    </row>
    <row r="39" spans="4:12" x14ac:dyDescent="0.25">
      <c r="D39" s="39"/>
      <c r="I39" s="6"/>
      <c r="K39" s="6"/>
      <c r="L39" s="39"/>
    </row>
    <row r="40" spans="4:12" x14ac:dyDescent="0.25">
      <c r="D40" s="44"/>
      <c r="E40" s="45"/>
      <c r="F40" s="45"/>
      <c r="G40" s="45"/>
      <c r="H40" s="45"/>
      <c r="I40" s="46"/>
      <c r="J40" s="45"/>
      <c r="K40" s="46"/>
      <c r="L40" s="39"/>
    </row>
    <row r="41" spans="4:12" ht="5.0999999999999996" customHeight="1" x14ac:dyDescent="0.25"/>
  </sheetData>
  <mergeCells count="11">
    <mergeCell ref="D7:D8"/>
    <mergeCell ref="E7:E8"/>
    <mergeCell ref="F7:F8"/>
    <mergeCell ref="G7:G8"/>
    <mergeCell ref="H7:H8"/>
    <mergeCell ref="J7:J8"/>
    <mergeCell ref="K7:K8"/>
    <mergeCell ref="E3:I3"/>
    <mergeCell ref="E4:I4"/>
    <mergeCell ref="E5:I5"/>
    <mergeCell ref="I7:I8"/>
  </mergeCells>
  <printOptions horizontalCentered="1"/>
  <pageMargins left="0.70866141732283472" right="0.31496062992125984" top="0.74803149606299213" bottom="0.74803149606299213" header="0.31496062992125984" footer="0.31496062992125984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2:W43"/>
  <sheetViews>
    <sheetView view="pageBreakPreview" topLeftCell="A13" zoomScaleNormal="100" zoomScaleSheetLayoutView="100" workbookViewId="0">
      <selection activeCell="L13" sqref="G1:L1048576"/>
    </sheetView>
  </sheetViews>
  <sheetFormatPr baseColWidth="10" defaultColWidth="11.42578125" defaultRowHeight="15" x14ac:dyDescent="0.25"/>
  <cols>
    <col min="1" max="1" width="11.42578125" style="1"/>
    <col min="2" max="2" width="1.140625" customWidth="1"/>
    <col min="3" max="3" width="0.85546875" customWidth="1"/>
    <col min="4" max="4" width="8.140625" customWidth="1"/>
    <col min="5" max="5" width="57.5703125" customWidth="1"/>
    <col min="6" max="6" width="9.140625" customWidth="1"/>
    <col min="7" max="7" width="9.42578125" bestFit="1" customWidth="1"/>
    <col min="8" max="8" width="12.28515625" customWidth="1"/>
    <col min="9" max="9" width="16.42578125" customWidth="1"/>
    <col min="10" max="10" width="12.85546875" customWidth="1"/>
    <col min="11" max="11" width="16" customWidth="1"/>
    <col min="12" max="12" width="11.85546875" customWidth="1"/>
    <col min="13" max="13" width="16.28515625" customWidth="1"/>
    <col min="14" max="14" width="13" customWidth="1"/>
    <col min="15" max="15" width="16.28515625" customWidth="1"/>
    <col min="16" max="16" width="0.85546875" customWidth="1"/>
    <col min="18" max="18" width="13.28515625" bestFit="1" customWidth="1"/>
  </cols>
  <sheetData>
    <row r="2" spans="1:23" ht="5.0999999999999996" customHeight="1" x14ac:dyDescent="0.25"/>
    <row r="3" spans="1:23" ht="21" x14ac:dyDescent="0.35">
      <c r="D3" s="47"/>
      <c r="E3" s="138" t="s">
        <v>37</v>
      </c>
      <c r="F3" s="138"/>
      <c r="G3" s="138"/>
      <c r="H3" s="138"/>
      <c r="I3" s="138"/>
      <c r="J3" s="138"/>
      <c r="K3" s="138"/>
      <c r="L3" s="138"/>
      <c r="M3" s="138"/>
      <c r="N3" s="138"/>
      <c r="O3" s="139"/>
    </row>
    <row r="4" spans="1:23" ht="21" x14ac:dyDescent="0.35">
      <c r="D4" s="48"/>
      <c r="E4" s="140" t="s">
        <v>38</v>
      </c>
      <c r="F4" s="140"/>
      <c r="G4" s="140"/>
      <c r="H4" s="140"/>
      <c r="I4" s="140"/>
      <c r="J4" s="140"/>
      <c r="K4" s="140"/>
      <c r="L4" s="140"/>
      <c r="M4" s="140"/>
      <c r="N4" s="140"/>
      <c r="O4" s="141"/>
    </row>
    <row r="5" spans="1:23" ht="26.25" x14ac:dyDescent="0.4">
      <c r="D5" s="48"/>
      <c r="E5" s="142" t="s">
        <v>39</v>
      </c>
      <c r="F5" s="142"/>
      <c r="G5" s="142"/>
      <c r="H5" s="142"/>
      <c r="I5" s="142"/>
      <c r="J5" s="142"/>
      <c r="K5" s="142"/>
      <c r="L5" s="142"/>
      <c r="M5" s="142"/>
      <c r="N5" s="142"/>
      <c r="O5" s="143"/>
    </row>
    <row r="6" spans="1:23" x14ac:dyDescent="0.25">
      <c r="D6" s="48"/>
      <c r="E6" s="49"/>
      <c r="F6" s="49"/>
      <c r="G6" s="49"/>
      <c r="H6" s="49"/>
      <c r="I6" s="49"/>
      <c r="J6" s="49"/>
      <c r="K6" s="49"/>
      <c r="L6" s="49"/>
      <c r="M6" s="49"/>
      <c r="N6" s="49"/>
      <c r="O6" s="50"/>
    </row>
    <row r="7" spans="1:23" ht="15.75" x14ac:dyDescent="0.25">
      <c r="D7" s="51" t="s">
        <v>1</v>
      </c>
      <c r="E7" s="144" t="str">
        <f>+'Presupuesto Oficial'!E5</f>
        <v>CONTRATAR LA ADECUACIÓN A TODO COSTO DEL CERRAMIENTO PERIMETRAL DEL CENTRO TECNOLÓGICO DE LA AMAZONIA.</v>
      </c>
      <c r="F7" s="144"/>
      <c r="G7" s="144"/>
      <c r="H7" s="144"/>
      <c r="I7" s="144"/>
      <c r="J7" s="144"/>
      <c r="K7" s="144"/>
      <c r="L7" s="144"/>
      <c r="M7" s="144"/>
      <c r="N7" s="144"/>
      <c r="O7" s="145"/>
    </row>
    <row r="8" spans="1:23" ht="5.0999999999999996" customHeight="1" x14ac:dyDescent="0.25">
      <c r="D8" s="4"/>
      <c r="E8" s="5"/>
      <c r="F8" s="5"/>
      <c r="G8" s="5"/>
      <c r="H8" s="5"/>
      <c r="I8" s="5"/>
      <c r="J8" s="5"/>
      <c r="K8" s="5"/>
      <c r="O8" s="6"/>
    </row>
    <row r="9" spans="1:23" x14ac:dyDescent="0.25">
      <c r="D9" s="134" t="s">
        <v>3</v>
      </c>
      <c r="E9" s="133" t="s">
        <v>4</v>
      </c>
      <c r="F9" s="133" t="s">
        <v>22</v>
      </c>
      <c r="G9" s="133" t="s">
        <v>40</v>
      </c>
      <c r="H9" s="133" t="s">
        <v>41</v>
      </c>
      <c r="I9" s="133"/>
      <c r="J9" s="133" t="s">
        <v>42</v>
      </c>
      <c r="K9" s="133"/>
      <c r="L9" s="133" t="s">
        <v>43</v>
      </c>
      <c r="M9" s="146"/>
      <c r="N9" s="135" t="s">
        <v>7</v>
      </c>
      <c r="O9" s="133" t="s">
        <v>44</v>
      </c>
    </row>
    <row r="10" spans="1:23" s="7" customFormat="1" ht="45" customHeight="1" x14ac:dyDescent="0.25">
      <c r="A10" s="1"/>
      <c r="D10" s="134"/>
      <c r="E10" s="133"/>
      <c r="F10" s="133"/>
      <c r="G10" s="133"/>
      <c r="H10" s="52" t="s">
        <v>45</v>
      </c>
      <c r="I10" s="52" t="s">
        <v>44</v>
      </c>
      <c r="J10" s="52" t="s">
        <v>45</v>
      </c>
      <c r="K10" s="52" t="s">
        <v>44</v>
      </c>
      <c r="L10" s="52" t="s">
        <v>46</v>
      </c>
      <c r="M10" s="53" t="s">
        <v>44</v>
      </c>
      <c r="N10" s="135"/>
      <c r="O10" s="133"/>
      <c r="S10" s="111" t="s">
        <v>47</v>
      </c>
      <c r="T10" s="110" t="s">
        <v>48</v>
      </c>
      <c r="U10" s="110" t="s">
        <v>49</v>
      </c>
      <c r="V10" s="110" t="s">
        <v>50</v>
      </c>
    </row>
    <row r="11" spans="1:23" x14ac:dyDescent="0.25">
      <c r="D11" s="112">
        <v>1</v>
      </c>
      <c r="E11" s="9" t="s">
        <v>13</v>
      </c>
      <c r="F11" s="10" t="s">
        <v>12</v>
      </c>
      <c r="G11" s="11">
        <f>+$W$11</f>
        <v>90</v>
      </c>
      <c r="H11" s="54">
        <v>5641</v>
      </c>
      <c r="I11" s="55">
        <f t="shared" ref="I11:I26" si="0">ROUND(G11*H11,0)</f>
        <v>507690</v>
      </c>
      <c r="J11" s="56">
        <v>7000</v>
      </c>
      <c r="K11" s="57">
        <f t="shared" ref="K11:K26" si="1">ROUND(G11*J11,0)</f>
        <v>630000</v>
      </c>
      <c r="L11" s="58">
        <v>6000</v>
      </c>
      <c r="M11" s="59">
        <f t="shared" ref="M11:M26" si="2">ROUND(G11*L11,0)</f>
        <v>540000</v>
      </c>
      <c r="N11" s="60">
        <f t="shared" ref="N11:N26" si="3">ROUND((H11+J11+L11)/3,0)</f>
        <v>6214</v>
      </c>
      <c r="O11" s="61">
        <f t="shared" ref="O11:O26" si="4">ROUND(G11*N11,0)</f>
        <v>559260</v>
      </c>
      <c r="R11" s="62"/>
      <c r="S11" s="112">
        <f>-18</f>
        <v>-18</v>
      </c>
      <c r="T11" s="112">
        <v>28</v>
      </c>
      <c r="U11" s="112">
        <v>50</v>
      </c>
      <c r="V11" s="112">
        <v>30</v>
      </c>
      <c r="W11" s="7">
        <f>+V11+U11+T11+S11</f>
        <v>90</v>
      </c>
    </row>
    <row r="12" spans="1:23" ht="30" x14ac:dyDescent="0.25">
      <c r="D12" s="114">
        <f>+D11+1</f>
        <v>2</v>
      </c>
      <c r="E12" s="9" t="s">
        <v>14</v>
      </c>
      <c r="F12" s="10" t="s">
        <v>12</v>
      </c>
      <c r="G12" s="11">
        <f>+G11</f>
        <v>90</v>
      </c>
      <c r="H12" s="54">
        <v>28185</v>
      </c>
      <c r="I12" s="55">
        <f t="shared" si="0"/>
        <v>2536650</v>
      </c>
      <c r="J12" s="56">
        <v>35000</v>
      </c>
      <c r="K12" s="57">
        <f t="shared" si="1"/>
        <v>3150000</v>
      </c>
      <c r="L12" s="58">
        <v>31000</v>
      </c>
      <c r="M12" s="59">
        <f t="shared" si="2"/>
        <v>2790000</v>
      </c>
      <c r="N12" s="60">
        <f t="shared" si="3"/>
        <v>31395</v>
      </c>
      <c r="O12" s="61">
        <f t="shared" si="4"/>
        <v>2825550</v>
      </c>
      <c r="R12" s="62"/>
    </row>
    <row r="13" spans="1:23" ht="30" x14ac:dyDescent="0.25">
      <c r="D13" s="114">
        <f t="shared" ref="D13:D26" si="5">+D12+1</f>
        <v>3</v>
      </c>
      <c r="E13" s="9" t="s">
        <v>51</v>
      </c>
      <c r="F13" s="10" t="s">
        <v>12</v>
      </c>
      <c r="G13" s="11">
        <f>+G11</f>
        <v>90</v>
      </c>
      <c r="H13" s="54">
        <v>42500</v>
      </c>
      <c r="I13" s="55">
        <f t="shared" si="0"/>
        <v>3825000</v>
      </c>
      <c r="J13" s="56">
        <v>49000</v>
      </c>
      <c r="K13" s="57">
        <f t="shared" si="1"/>
        <v>4410000</v>
      </c>
      <c r="L13" s="58">
        <v>45600</v>
      </c>
      <c r="M13" s="59">
        <f t="shared" si="2"/>
        <v>4104000</v>
      </c>
      <c r="N13" s="60">
        <f t="shared" si="3"/>
        <v>45700</v>
      </c>
      <c r="O13" s="61">
        <f t="shared" si="4"/>
        <v>4113000</v>
      </c>
      <c r="R13" s="62"/>
    </row>
    <row r="14" spans="1:23" x14ac:dyDescent="0.25">
      <c r="D14" s="114">
        <f t="shared" si="5"/>
        <v>4</v>
      </c>
      <c r="E14" s="9" t="s">
        <v>52</v>
      </c>
      <c r="F14" s="10" t="s">
        <v>17</v>
      </c>
      <c r="G14" s="11">
        <f>+W11*0.5</f>
        <v>45</v>
      </c>
      <c r="H14" s="54">
        <v>30713</v>
      </c>
      <c r="I14" s="55">
        <f t="shared" si="0"/>
        <v>1382085</v>
      </c>
      <c r="J14" s="56">
        <v>32000</v>
      </c>
      <c r="K14" s="57">
        <f t="shared" si="1"/>
        <v>1440000</v>
      </c>
      <c r="L14" s="58">
        <v>34000</v>
      </c>
      <c r="M14" s="59">
        <f t="shared" si="2"/>
        <v>1530000</v>
      </c>
      <c r="N14" s="60">
        <f t="shared" si="3"/>
        <v>32238</v>
      </c>
      <c r="O14" s="61">
        <f t="shared" si="4"/>
        <v>1450710</v>
      </c>
      <c r="R14" s="62"/>
    </row>
    <row r="15" spans="1:23" ht="33.75" customHeight="1" x14ac:dyDescent="0.25">
      <c r="D15" s="114">
        <f t="shared" si="5"/>
        <v>5</v>
      </c>
      <c r="E15" s="9" t="s">
        <v>53</v>
      </c>
      <c r="F15" s="10" t="s">
        <v>17</v>
      </c>
      <c r="G15" s="11">
        <f>+(T11+U11)*0.4*0.4</f>
        <v>12.480000000000002</v>
      </c>
      <c r="H15" s="54">
        <v>556464</v>
      </c>
      <c r="I15" s="55">
        <f t="shared" si="0"/>
        <v>6944671</v>
      </c>
      <c r="J15" s="56">
        <v>590100</v>
      </c>
      <c r="K15" s="57">
        <f t="shared" si="1"/>
        <v>7364448</v>
      </c>
      <c r="L15" s="58">
        <v>585000</v>
      </c>
      <c r="M15" s="59">
        <f t="shared" si="2"/>
        <v>7300800</v>
      </c>
      <c r="N15" s="60">
        <f t="shared" si="3"/>
        <v>577188</v>
      </c>
      <c r="O15" s="61">
        <f t="shared" si="4"/>
        <v>7203306</v>
      </c>
      <c r="R15" s="62"/>
    </row>
    <row r="16" spans="1:23" ht="45" x14ac:dyDescent="0.25">
      <c r="D16" s="114">
        <f t="shared" si="5"/>
        <v>6</v>
      </c>
      <c r="E16" s="9" t="s">
        <v>54</v>
      </c>
      <c r="F16" s="10" t="s">
        <v>22</v>
      </c>
      <c r="G16" s="11">
        <f>ROUND(W11/8,0)+1</f>
        <v>12</v>
      </c>
      <c r="H16" s="54">
        <v>445000</v>
      </c>
      <c r="I16" s="55">
        <f t="shared" si="0"/>
        <v>5340000</v>
      </c>
      <c r="J16" s="56">
        <v>489000</v>
      </c>
      <c r="K16" s="57">
        <f t="shared" si="1"/>
        <v>5868000</v>
      </c>
      <c r="L16" s="58">
        <v>467000</v>
      </c>
      <c r="M16" s="59">
        <f t="shared" si="2"/>
        <v>5604000</v>
      </c>
      <c r="N16" s="60">
        <f t="shared" si="3"/>
        <v>467000</v>
      </c>
      <c r="O16" s="61">
        <f t="shared" si="4"/>
        <v>5604000</v>
      </c>
      <c r="R16" s="62"/>
    </row>
    <row r="17" spans="1:18" ht="30" x14ac:dyDescent="0.25">
      <c r="D17" s="114">
        <f t="shared" si="5"/>
        <v>7</v>
      </c>
      <c r="E17" s="9" t="s">
        <v>55</v>
      </c>
      <c r="F17" s="10" t="s">
        <v>12</v>
      </c>
      <c r="G17" s="11">
        <f>+G11</f>
        <v>90</v>
      </c>
      <c r="H17" s="54">
        <v>145000</v>
      </c>
      <c r="I17" s="55">
        <f t="shared" ref="I17:I18" si="6">ROUND(G17*H17,0)</f>
        <v>13050000</v>
      </c>
      <c r="J17" s="56">
        <v>170000</v>
      </c>
      <c r="K17" s="57">
        <f t="shared" ref="K17:K18" si="7">ROUND(G17*J17,0)</f>
        <v>15300000</v>
      </c>
      <c r="L17" s="58">
        <v>150000</v>
      </c>
      <c r="M17" s="59">
        <f t="shared" ref="M17:M18" si="8">ROUND(G17*L17,0)</f>
        <v>13500000</v>
      </c>
      <c r="N17" s="60">
        <f t="shared" ref="N17:N18" si="9">ROUND((H17+J17+L17)/3,0)</f>
        <v>155000</v>
      </c>
      <c r="O17" s="61">
        <f t="shared" ref="O17:O18" si="10">ROUND(G17*N17,0)</f>
        <v>13950000</v>
      </c>
      <c r="R17" s="62"/>
    </row>
    <row r="18" spans="1:18" ht="30" x14ac:dyDescent="0.25">
      <c r="D18" s="114">
        <f t="shared" si="5"/>
        <v>8</v>
      </c>
      <c r="E18" s="9" t="s">
        <v>20</v>
      </c>
      <c r="F18" s="10" t="s">
        <v>12</v>
      </c>
      <c r="G18" s="11">
        <f>+G11</f>
        <v>90</v>
      </c>
      <c r="H18" s="54">
        <v>98918</v>
      </c>
      <c r="I18" s="55">
        <f t="shared" si="6"/>
        <v>8902620</v>
      </c>
      <c r="J18" s="56">
        <v>96000</v>
      </c>
      <c r="K18" s="57">
        <f t="shared" si="7"/>
        <v>8640000</v>
      </c>
      <c r="L18" s="58">
        <v>111000</v>
      </c>
      <c r="M18" s="59">
        <f t="shared" si="8"/>
        <v>9990000</v>
      </c>
      <c r="N18" s="60">
        <f t="shared" si="9"/>
        <v>101973</v>
      </c>
      <c r="O18" s="61">
        <f t="shared" si="10"/>
        <v>9177570</v>
      </c>
      <c r="R18" s="62"/>
    </row>
    <row r="19" spans="1:18" ht="30" x14ac:dyDescent="0.25">
      <c r="D19" s="114">
        <f t="shared" si="5"/>
        <v>9</v>
      </c>
      <c r="E19" s="9" t="s">
        <v>56</v>
      </c>
      <c r="F19" s="10" t="s">
        <v>22</v>
      </c>
      <c r="G19" s="11">
        <f>+ROUND(G11/3,0)+1</f>
        <v>31</v>
      </c>
      <c r="H19" s="54">
        <v>111266</v>
      </c>
      <c r="I19" s="55">
        <f t="shared" si="0"/>
        <v>3449246</v>
      </c>
      <c r="J19" s="56">
        <v>107000</v>
      </c>
      <c r="K19" s="57">
        <f t="shared" si="1"/>
        <v>3317000</v>
      </c>
      <c r="L19" s="58">
        <v>124000</v>
      </c>
      <c r="M19" s="59">
        <f t="shared" si="2"/>
        <v>3844000</v>
      </c>
      <c r="N19" s="60">
        <f t="shared" si="3"/>
        <v>114089</v>
      </c>
      <c r="O19" s="61">
        <f t="shared" si="4"/>
        <v>3536759</v>
      </c>
      <c r="R19" s="62"/>
    </row>
    <row r="20" spans="1:18" ht="30" x14ac:dyDescent="0.25">
      <c r="D20" s="114">
        <f t="shared" si="5"/>
        <v>10</v>
      </c>
      <c r="E20" s="9" t="s">
        <v>57</v>
      </c>
      <c r="F20" s="10" t="s">
        <v>24</v>
      </c>
      <c r="G20" s="11">
        <f>+(W11*2)-10</f>
        <v>170</v>
      </c>
      <c r="H20" s="54">
        <v>92617</v>
      </c>
      <c r="I20" s="55">
        <f t="shared" si="0"/>
        <v>15744890</v>
      </c>
      <c r="J20" s="56">
        <v>106000</v>
      </c>
      <c r="K20" s="57">
        <f t="shared" si="1"/>
        <v>18020000</v>
      </c>
      <c r="L20" s="58">
        <v>96000</v>
      </c>
      <c r="M20" s="59">
        <f t="shared" si="2"/>
        <v>16320000</v>
      </c>
      <c r="N20" s="60">
        <f t="shared" si="3"/>
        <v>98206</v>
      </c>
      <c r="O20" s="61">
        <f t="shared" si="4"/>
        <v>16695020</v>
      </c>
      <c r="R20" s="62"/>
    </row>
    <row r="21" spans="1:18" ht="30" x14ac:dyDescent="0.25">
      <c r="D21" s="114">
        <f t="shared" si="5"/>
        <v>11</v>
      </c>
      <c r="E21" s="9" t="s">
        <v>58</v>
      </c>
      <c r="F21" s="10" t="s">
        <v>24</v>
      </c>
      <c r="G21" s="11">
        <f>2.5*2</f>
        <v>5</v>
      </c>
      <c r="H21" s="54">
        <v>450000</v>
      </c>
      <c r="I21" s="55">
        <f t="shared" si="0"/>
        <v>2250000</v>
      </c>
      <c r="J21" s="56">
        <v>496500</v>
      </c>
      <c r="K21" s="57">
        <f t="shared" si="1"/>
        <v>2482500</v>
      </c>
      <c r="L21" s="58">
        <v>473490</v>
      </c>
      <c r="M21" s="59">
        <f t="shared" si="2"/>
        <v>2367450</v>
      </c>
      <c r="N21" s="60">
        <f t="shared" si="3"/>
        <v>473330</v>
      </c>
      <c r="O21" s="61">
        <f t="shared" si="4"/>
        <v>2366650</v>
      </c>
      <c r="R21" s="62"/>
    </row>
    <row r="22" spans="1:18" ht="31.5" customHeight="1" x14ac:dyDescent="0.25">
      <c r="D22" s="114">
        <f t="shared" si="5"/>
        <v>12</v>
      </c>
      <c r="E22" s="9" t="s">
        <v>59</v>
      </c>
      <c r="F22" s="10" t="s">
        <v>24</v>
      </c>
      <c r="G22" s="11">
        <f>+G21+20</f>
        <v>25</v>
      </c>
      <c r="H22" s="54">
        <v>21783</v>
      </c>
      <c r="I22" s="55">
        <f t="shared" si="0"/>
        <v>544575</v>
      </c>
      <c r="J22" s="56">
        <v>20000</v>
      </c>
      <c r="K22" s="57">
        <f t="shared" si="1"/>
        <v>500000</v>
      </c>
      <c r="L22" s="58">
        <v>29000</v>
      </c>
      <c r="M22" s="59">
        <f t="shared" si="2"/>
        <v>725000</v>
      </c>
      <c r="N22" s="60">
        <f t="shared" si="3"/>
        <v>23594</v>
      </c>
      <c r="O22" s="61">
        <f t="shared" si="4"/>
        <v>589850</v>
      </c>
      <c r="R22" s="62"/>
    </row>
    <row r="23" spans="1:18" ht="30" x14ac:dyDescent="0.25">
      <c r="D23" s="114">
        <f t="shared" si="5"/>
        <v>13</v>
      </c>
      <c r="E23" s="9" t="s">
        <v>25</v>
      </c>
      <c r="F23" s="10" t="s">
        <v>22</v>
      </c>
      <c r="G23" s="11">
        <f>+G16</f>
        <v>12</v>
      </c>
      <c r="H23" s="54">
        <v>318618</v>
      </c>
      <c r="I23" s="55">
        <f t="shared" ref="I23" si="11">ROUND(G23*H23,0)</f>
        <v>3823416</v>
      </c>
      <c r="J23" s="56">
        <v>321400</v>
      </c>
      <c r="K23" s="57">
        <f t="shared" ref="K23" si="12">ROUND(G23*J23,0)</f>
        <v>3856800</v>
      </c>
      <c r="L23" s="58">
        <v>335000</v>
      </c>
      <c r="M23" s="59">
        <f t="shared" ref="M23" si="13">ROUND(G23*L23,0)</f>
        <v>4020000</v>
      </c>
      <c r="N23" s="60">
        <f t="shared" ref="N23" si="14">ROUND((H23+J23+L23)/3,0)</f>
        <v>325006</v>
      </c>
      <c r="O23" s="61">
        <f t="shared" ref="O23" si="15">ROUND(G23*N23,0)</f>
        <v>3900072</v>
      </c>
      <c r="R23" s="62"/>
    </row>
    <row r="24" spans="1:18" x14ac:dyDescent="0.25">
      <c r="D24" s="114">
        <f t="shared" si="5"/>
        <v>14</v>
      </c>
      <c r="E24" s="9" t="s">
        <v>60</v>
      </c>
      <c r="F24" s="10" t="s">
        <v>27</v>
      </c>
      <c r="G24" s="11">
        <f>+((0.9*6)*2)*G23+((W11*4)+9)+(((W11/0.2)*0.8)*0.56)+(((G25*4)+(G25/0.15)*0.7)*0.56)</f>
        <v>809.40000000000009</v>
      </c>
      <c r="H24" s="54">
        <v>5200</v>
      </c>
      <c r="I24" s="55">
        <f t="shared" si="0"/>
        <v>4208880</v>
      </c>
      <c r="J24" s="56">
        <v>6900</v>
      </c>
      <c r="K24" s="57">
        <f t="shared" si="1"/>
        <v>5584860</v>
      </c>
      <c r="L24" s="58">
        <v>5400</v>
      </c>
      <c r="M24" s="59">
        <f t="shared" si="2"/>
        <v>4370760</v>
      </c>
      <c r="N24" s="60">
        <f t="shared" si="3"/>
        <v>5833</v>
      </c>
      <c r="O24" s="61">
        <f t="shared" si="4"/>
        <v>4721230</v>
      </c>
      <c r="R24" s="62"/>
    </row>
    <row r="25" spans="1:18" ht="30" x14ac:dyDescent="0.25">
      <c r="D25" s="114">
        <f t="shared" si="5"/>
        <v>15</v>
      </c>
      <c r="E25" s="9" t="s">
        <v>61</v>
      </c>
      <c r="F25" s="10" t="s">
        <v>12</v>
      </c>
      <c r="G25" s="11">
        <f>+(W11/8)*2</f>
        <v>22.5</v>
      </c>
      <c r="H25" s="54">
        <v>78647</v>
      </c>
      <c r="I25" s="55">
        <f t="shared" si="0"/>
        <v>1769558</v>
      </c>
      <c r="J25" s="56">
        <v>80000</v>
      </c>
      <c r="K25" s="57">
        <f t="shared" si="1"/>
        <v>1800000</v>
      </c>
      <c r="L25" s="58">
        <v>82300</v>
      </c>
      <c r="M25" s="59">
        <f t="shared" si="2"/>
        <v>1851750</v>
      </c>
      <c r="N25" s="60">
        <f t="shared" si="3"/>
        <v>80316</v>
      </c>
      <c r="O25" s="61">
        <f t="shared" si="4"/>
        <v>1807110</v>
      </c>
      <c r="R25" s="62"/>
    </row>
    <row r="26" spans="1:18" ht="45" x14ac:dyDescent="0.25">
      <c r="D26" s="114">
        <f t="shared" si="5"/>
        <v>16</v>
      </c>
      <c r="E26" s="9" t="s">
        <v>29</v>
      </c>
      <c r="F26" s="10" t="s">
        <v>12</v>
      </c>
      <c r="G26" s="11">
        <v>55</v>
      </c>
      <c r="H26" s="54">
        <v>65000</v>
      </c>
      <c r="I26" s="55">
        <f t="shared" si="0"/>
        <v>3575000</v>
      </c>
      <c r="J26" s="56">
        <v>73000</v>
      </c>
      <c r="K26" s="57">
        <f t="shared" si="1"/>
        <v>4015000</v>
      </c>
      <c r="L26" s="58">
        <v>68000</v>
      </c>
      <c r="M26" s="59">
        <f t="shared" si="2"/>
        <v>3740000</v>
      </c>
      <c r="N26" s="60">
        <f t="shared" si="3"/>
        <v>68667</v>
      </c>
      <c r="O26" s="61">
        <f t="shared" si="4"/>
        <v>3776685</v>
      </c>
      <c r="R26" s="62"/>
    </row>
    <row r="27" spans="1:18" s="98" customFormat="1" ht="7.5" customHeight="1" thickBot="1" x14ac:dyDescent="0.3">
      <c r="A27" s="97"/>
      <c r="D27" s="114"/>
      <c r="E27" s="99"/>
      <c r="F27" s="100"/>
      <c r="G27" s="101"/>
      <c r="H27" s="102"/>
      <c r="I27" s="103"/>
      <c r="J27" s="104"/>
      <c r="K27" s="105"/>
      <c r="L27" s="106"/>
      <c r="M27" s="107"/>
      <c r="N27" s="108"/>
      <c r="O27" s="109"/>
      <c r="R27" s="62"/>
    </row>
    <row r="28" spans="1:18" x14ac:dyDescent="0.25">
      <c r="D28" s="63"/>
      <c r="E28" s="64" t="s">
        <v>30</v>
      </c>
      <c r="F28" s="65"/>
      <c r="G28" s="66"/>
      <c r="H28" s="67"/>
      <c r="I28" s="68">
        <f>SUM(I11:I27)</f>
        <v>77854281</v>
      </c>
      <c r="J28" s="67"/>
      <c r="K28" s="68">
        <f>SUM(K11:K27)</f>
        <v>86378608</v>
      </c>
      <c r="L28" s="69"/>
      <c r="M28" s="68">
        <f>SUM(M11:M27)</f>
        <v>82597760</v>
      </c>
      <c r="N28" s="67"/>
      <c r="O28" s="68">
        <f>SUM(O11:O27)</f>
        <v>82276772</v>
      </c>
    </row>
    <row r="29" spans="1:18" x14ac:dyDescent="0.25">
      <c r="D29" s="20"/>
      <c r="E29" s="21" t="s">
        <v>62</v>
      </c>
      <c r="F29" s="22"/>
      <c r="G29" s="23"/>
      <c r="H29" s="70">
        <v>0.2</v>
      </c>
      <c r="I29" s="71">
        <f>ROUND(I28*H29,0)</f>
        <v>15570856</v>
      </c>
      <c r="J29" s="70">
        <v>0.2</v>
      </c>
      <c r="K29" s="71">
        <f>ROUND(K28*J29,0)</f>
        <v>17275722</v>
      </c>
      <c r="L29" s="70">
        <v>0.2</v>
      </c>
      <c r="M29" s="71">
        <f>ROUND(M28*L29,0)</f>
        <v>16519552</v>
      </c>
      <c r="N29" s="70">
        <v>0.2</v>
      </c>
      <c r="O29" s="71">
        <f>ROUND(O28*N29,0)</f>
        <v>16455354</v>
      </c>
    </row>
    <row r="30" spans="1:18" x14ac:dyDescent="0.25">
      <c r="D30" s="20"/>
      <c r="E30" s="21" t="s">
        <v>63</v>
      </c>
      <c r="F30" s="22"/>
      <c r="G30" s="23"/>
      <c r="H30" s="70">
        <v>0</v>
      </c>
      <c r="I30" s="71">
        <f>ROUND(I28*H30,0)</f>
        <v>0</v>
      </c>
      <c r="J30" s="70">
        <v>0</v>
      </c>
      <c r="K30" s="71">
        <f>ROUND(K28*J30,0)</f>
        <v>0</v>
      </c>
      <c r="L30" s="70">
        <v>0</v>
      </c>
      <c r="M30" s="71">
        <f>ROUND(M28*L30,0)</f>
        <v>0</v>
      </c>
      <c r="N30" s="70">
        <v>0</v>
      </c>
      <c r="O30" s="71">
        <f>ROUND(O28*N30,0)</f>
        <v>0</v>
      </c>
    </row>
    <row r="31" spans="1:18" x14ac:dyDescent="0.25">
      <c r="D31" s="20"/>
      <c r="E31" s="21" t="s">
        <v>64</v>
      </c>
      <c r="F31" s="22"/>
      <c r="G31" s="23"/>
      <c r="H31" s="70">
        <v>0.05</v>
      </c>
      <c r="I31" s="71">
        <f>ROUND(I28*H31,0)</f>
        <v>3892714</v>
      </c>
      <c r="J31" s="70">
        <v>0.05</v>
      </c>
      <c r="K31" s="71">
        <f>ROUND(K28*J31,0)</f>
        <v>4318930</v>
      </c>
      <c r="L31" s="70">
        <v>0.05</v>
      </c>
      <c r="M31" s="71">
        <f>ROUND(M28*L31,0)</f>
        <v>4129888</v>
      </c>
      <c r="N31" s="70">
        <v>0.05</v>
      </c>
      <c r="O31" s="71">
        <f>ROUND(O28*N31,0)</f>
        <v>4113839</v>
      </c>
    </row>
    <row r="32" spans="1:18" x14ac:dyDescent="0.25">
      <c r="D32" s="20"/>
      <c r="E32" s="21" t="s">
        <v>34</v>
      </c>
      <c r="F32" s="26"/>
      <c r="G32" s="27"/>
      <c r="H32" s="70">
        <v>0.19</v>
      </c>
      <c r="I32" s="71">
        <f>ROUND(I31*H32,0)</f>
        <v>739616</v>
      </c>
      <c r="J32" s="70">
        <v>0.19</v>
      </c>
      <c r="K32" s="71">
        <f>ROUND(K31*J32,0)</f>
        <v>820597</v>
      </c>
      <c r="L32" s="70">
        <v>0.19</v>
      </c>
      <c r="M32" s="71">
        <f>ROUND(M31*L32,0)</f>
        <v>784679</v>
      </c>
      <c r="N32" s="70">
        <v>0.19</v>
      </c>
      <c r="O32" s="71">
        <f>ROUND(O31*N32,0)</f>
        <v>781629</v>
      </c>
    </row>
    <row r="33" spans="4:16" x14ac:dyDescent="0.25">
      <c r="D33" s="72"/>
      <c r="E33" s="73" t="s">
        <v>35</v>
      </c>
      <c r="F33" s="74"/>
      <c r="G33" s="75"/>
      <c r="H33" s="76"/>
      <c r="I33" s="77">
        <f>SUM(I29:I32)</f>
        <v>20203186</v>
      </c>
      <c r="J33" s="76"/>
      <c r="K33" s="77">
        <f>SUM(K29:K32)</f>
        <v>22415249</v>
      </c>
      <c r="L33" s="78"/>
      <c r="M33" s="77">
        <f>SUM(M29:M32)</f>
        <v>21434119</v>
      </c>
      <c r="N33" s="78"/>
      <c r="O33" s="77">
        <f>SUM(O29:O32)</f>
        <v>21350822</v>
      </c>
    </row>
    <row r="34" spans="4:16" x14ac:dyDescent="0.25">
      <c r="D34" s="79"/>
      <c r="E34" s="73" t="s">
        <v>65</v>
      </c>
      <c r="F34" s="80"/>
      <c r="G34" s="81"/>
      <c r="H34" s="82"/>
      <c r="I34" s="77">
        <f>I28+I33</f>
        <v>98057467</v>
      </c>
      <c r="J34" s="83"/>
      <c r="K34" s="77">
        <f>K28+K33</f>
        <v>108793857</v>
      </c>
      <c r="L34" s="83"/>
      <c r="M34" s="77">
        <f>M28+M33</f>
        <v>104031879</v>
      </c>
      <c r="N34" s="83"/>
      <c r="O34" s="77">
        <f>O28+O33</f>
        <v>103627594</v>
      </c>
    </row>
    <row r="35" spans="4:16" x14ac:dyDescent="0.25">
      <c r="D35" s="72"/>
      <c r="E35" s="80"/>
      <c r="F35" s="84"/>
      <c r="G35" s="84"/>
      <c r="H35" s="74"/>
      <c r="I35" s="74"/>
      <c r="J35" s="74"/>
      <c r="K35" s="74"/>
      <c r="L35" s="74"/>
      <c r="M35" s="74"/>
      <c r="N35" s="74"/>
      <c r="O35" s="75"/>
      <c r="P35" s="39"/>
    </row>
    <row r="36" spans="4:16" x14ac:dyDescent="0.25">
      <c r="D36" s="40"/>
      <c r="E36" s="136" t="s">
        <v>66</v>
      </c>
      <c r="F36" s="136"/>
      <c r="G36" s="136"/>
      <c r="H36" s="136"/>
      <c r="I36" s="136"/>
      <c r="J36" s="136"/>
      <c r="K36" s="136"/>
      <c r="L36" s="136"/>
      <c r="M36" s="136"/>
      <c r="N36" s="136"/>
      <c r="O36" s="6"/>
      <c r="P36" s="39"/>
    </row>
    <row r="37" spans="4:16" x14ac:dyDescent="0.25">
      <c r="D37" s="39"/>
      <c r="K37" s="85"/>
      <c r="N37" s="96"/>
      <c r="O37" s="121"/>
      <c r="P37" s="39"/>
    </row>
    <row r="38" spans="4:16" x14ac:dyDescent="0.25">
      <c r="D38" s="39"/>
      <c r="I38" s="86"/>
      <c r="M38" s="86"/>
      <c r="O38" s="113"/>
      <c r="P38" s="39"/>
    </row>
    <row r="39" spans="4:16" x14ac:dyDescent="0.25">
      <c r="D39" s="39"/>
      <c r="M39" s="86"/>
      <c r="O39" s="6"/>
      <c r="P39" s="39"/>
    </row>
    <row r="40" spans="4:16" x14ac:dyDescent="0.25">
      <c r="D40" s="39"/>
      <c r="E40" s="87" t="s">
        <v>67</v>
      </c>
      <c r="O40" s="113"/>
      <c r="P40" s="39"/>
    </row>
    <row r="41" spans="4:16" x14ac:dyDescent="0.25">
      <c r="D41" s="39"/>
      <c r="E41" s="137" t="s">
        <v>68</v>
      </c>
      <c r="F41" s="137"/>
      <c r="O41" s="6"/>
      <c r="P41" s="39"/>
    </row>
    <row r="42" spans="4:16" ht="7.5" customHeight="1" x14ac:dyDescent="0.25">
      <c r="D42" s="44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6"/>
      <c r="P42" s="39"/>
    </row>
    <row r="43" spans="4:16" ht="5.0999999999999996" customHeight="1" x14ac:dyDescent="0.25"/>
  </sheetData>
  <mergeCells count="15">
    <mergeCell ref="D9:D10"/>
    <mergeCell ref="E9:E10"/>
    <mergeCell ref="F9:F10"/>
    <mergeCell ref="G9:G10"/>
    <mergeCell ref="H9:I9"/>
    <mergeCell ref="E36:N36"/>
    <mergeCell ref="E41:F41"/>
    <mergeCell ref="E3:O3"/>
    <mergeCell ref="E4:O4"/>
    <mergeCell ref="E5:O5"/>
    <mergeCell ref="E7:O7"/>
    <mergeCell ref="J9:K9"/>
    <mergeCell ref="L9:M9"/>
    <mergeCell ref="N9:N10"/>
    <mergeCell ref="O9:O10"/>
  </mergeCells>
  <printOptions horizontalCentered="1"/>
  <pageMargins left="0.39370078740157483" right="0.39370078740157483" top="0.74803149606299213" bottom="0.74803149606299213" header="0.31496062992125984" footer="0.31496062992125984"/>
  <pageSetup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</sheetPr>
  <dimension ref="A2:I44"/>
  <sheetViews>
    <sheetView view="pageBreakPreview" topLeftCell="A13" zoomScale="112" zoomScaleNormal="100" zoomScaleSheetLayoutView="112" workbookViewId="0">
      <selection activeCell="D4" sqref="D4:G25"/>
    </sheetView>
  </sheetViews>
  <sheetFormatPr baseColWidth="10" defaultColWidth="11.42578125" defaultRowHeight="15" x14ac:dyDescent="0.25"/>
  <cols>
    <col min="1" max="1" width="11.42578125" style="1"/>
    <col min="2" max="2" width="1.140625" customWidth="1"/>
    <col min="3" max="3" width="0.85546875" customWidth="1"/>
    <col min="4" max="4" width="7.7109375" bestFit="1" customWidth="1"/>
    <col min="5" max="5" width="48.42578125" customWidth="1"/>
    <col min="6" max="6" width="10.7109375" customWidth="1"/>
    <col min="7" max="7" width="9.42578125" bestFit="1" customWidth="1"/>
    <col min="8" max="8" width="0.85546875" customWidth="1"/>
  </cols>
  <sheetData>
    <row r="2" spans="1:9" ht="5.0999999999999996" customHeight="1" x14ac:dyDescent="0.25"/>
    <row r="3" spans="1:9" ht="54.75" customHeight="1" x14ac:dyDescent="0.25">
      <c r="D3" s="2"/>
      <c r="E3" s="147" t="s">
        <v>37</v>
      </c>
      <c r="F3" s="147"/>
      <c r="G3" s="147"/>
    </row>
    <row r="4" spans="1:9" ht="26.25" customHeight="1" x14ac:dyDescent="0.25">
      <c r="D4" s="3"/>
      <c r="E4" s="148" t="s">
        <v>38</v>
      </c>
      <c r="F4" s="148"/>
      <c r="G4" s="148"/>
    </row>
    <row r="5" spans="1:9" ht="26.25" customHeight="1" x14ac:dyDescent="0.25">
      <c r="D5" s="3"/>
      <c r="E5" s="129" t="s">
        <v>69</v>
      </c>
      <c r="F5" s="129"/>
      <c r="G5" s="129"/>
    </row>
    <row r="6" spans="1:9" x14ac:dyDescent="0.25">
      <c r="D6" s="4" t="s">
        <v>1</v>
      </c>
      <c r="E6" s="131" t="s">
        <v>70</v>
      </c>
      <c r="F6" s="131"/>
      <c r="G6" s="131"/>
    </row>
    <row r="7" spans="1:9" ht="5.0999999999999996" customHeight="1" x14ac:dyDescent="0.25">
      <c r="D7" s="4"/>
      <c r="E7" s="5"/>
      <c r="F7" s="5"/>
      <c r="G7" s="5"/>
    </row>
    <row r="8" spans="1:9" x14ac:dyDescent="0.25">
      <c r="D8" s="134" t="s">
        <v>3</v>
      </c>
      <c r="E8" s="133" t="s">
        <v>4</v>
      </c>
      <c r="F8" s="133" t="s">
        <v>5</v>
      </c>
      <c r="G8" s="133" t="s">
        <v>40</v>
      </c>
    </row>
    <row r="9" spans="1:9" s="7" customFormat="1" ht="23.25" customHeight="1" x14ac:dyDescent="0.25">
      <c r="A9" s="1"/>
      <c r="D9" s="134"/>
      <c r="E9" s="133"/>
      <c r="F9" s="133"/>
      <c r="G9" s="133"/>
    </row>
    <row r="10" spans="1:9" x14ac:dyDescent="0.25">
      <c r="D10" s="8">
        <f>'Estudio de mercadeo'!D11</f>
        <v>1</v>
      </c>
      <c r="E10" s="88" t="str">
        <f>'Estudio de mercadeo'!E11</f>
        <v>LOCALIZACIÓN Y REPLANTEO DE LA OBRA</v>
      </c>
      <c r="F10" s="8" t="str">
        <f>+'Estudio de mercadeo'!F11</f>
        <v>ML</v>
      </c>
      <c r="G10" s="89">
        <f>+'Estudio de mercadeo'!G11</f>
        <v>90</v>
      </c>
      <c r="I10" s="14"/>
    </row>
    <row r="11" spans="1:9" ht="30" customHeight="1" x14ac:dyDescent="0.25">
      <c r="D11" s="8">
        <f>'Estudio de mercadeo'!D12</f>
        <v>2</v>
      </c>
      <c r="E11" s="88" t="str">
        <f>'Estudio de mercadeo'!E12</f>
        <v>DESMONTE REJA METÁLICA CERRAMIENTO EXISTENTE (INC. RETIRO)</v>
      </c>
      <c r="F11" s="8" t="str">
        <f>+'Estudio de mercadeo'!F12</f>
        <v>ML</v>
      </c>
      <c r="G11" s="89">
        <f>+'Estudio de mercadeo'!G12</f>
        <v>90</v>
      </c>
    </row>
    <row r="12" spans="1:9" ht="25.5" x14ac:dyDescent="0.25">
      <c r="D12" s="8">
        <f>'Estudio de mercadeo'!D13</f>
        <v>3</v>
      </c>
      <c r="E12" s="88" t="str">
        <f>'Estudio de mercadeo'!E13</f>
        <v>DEMOLICION MURO EXISTENTE INCLUIDA CIMENTACION (INCL. RETIRO DE MATERIAL)</v>
      </c>
      <c r="F12" s="8" t="str">
        <f>+'Estudio de mercadeo'!F13</f>
        <v>ML</v>
      </c>
      <c r="G12" s="89">
        <f>+'Estudio de mercadeo'!G13</f>
        <v>90</v>
      </c>
    </row>
    <row r="13" spans="1:9" x14ac:dyDescent="0.25">
      <c r="D13" s="8">
        <f>'Estudio de mercadeo'!D14</f>
        <v>4</v>
      </c>
      <c r="E13" s="88" t="str">
        <f>'Estudio de mercadeo'!E14</f>
        <v>EXCAVACIÓN TIERRA A MANO</v>
      </c>
      <c r="F13" s="8" t="str">
        <f>+'Estudio de mercadeo'!F14</f>
        <v>M3</v>
      </c>
      <c r="G13" s="89">
        <f>+'Estudio de mercadeo'!G14</f>
        <v>45</v>
      </c>
    </row>
    <row r="14" spans="1:9" ht="25.5" x14ac:dyDescent="0.25">
      <c r="D14" s="8">
        <f>'Estudio de mercadeo'!D15</f>
        <v>5</v>
      </c>
      <c r="E14" s="88" t="str">
        <f>'Estudio de mercadeo'!E15</f>
        <v>CONCRETO CICLÓPEO 3000 PSI RELAC.60C/40P-MEJORAMIENTO TERRENO</v>
      </c>
      <c r="F14" s="8" t="str">
        <f>+'Estudio de mercadeo'!F15</f>
        <v>M3</v>
      </c>
      <c r="G14" s="89">
        <f>+'Estudio de mercadeo'!G15</f>
        <v>12.480000000000002</v>
      </c>
    </row>
    <row r="15" spans="1:9" ht="38.25" x14ac:dyDescent="0.25">
      <c r="D15" s="8">
        <f>'Estudio de mercadeo'!D16</f>
        <v>6</v>
      </c>
      <c r="E15" s="88" t="str">
        <f>'Estudio de mercadeo'!E16</f>
        <v>CONTRAPESO EN CONCRETO 3000 PSI 210 MPA 0.80MX0.80MX0.30M INCLUYE REFUERZO DE 1/2" Y VIGA DE CONEXIÓN CON ZAPATA DE 0.8 CM</v>
      </c>
      <c r="F15" s="8" t="str">
        <f>+'Estudio de mercadeo'!F16</f>
        <v>UND</v>
      </c>
      <c r="G15" s="89">
        <f>+'Estudio de mercadeo'!G16</f>
        <v>12</v>
      </c>
    </row>
    <row r="16" spans="1:9" ht="25.5" x14ac:dyDescent="0.25">
      <c r="D16" s="8">
        <f>'Estudio de mercadeo'!D17</f>
        <v>7</v>
      </c>
      <c r="E16" s="88" t="str">
        <f>'Estudio de mercadeo'!E17</f>
        <v>CONCRETO F´C = 210 KGF/CM2 PARA VIGA PAGADO EN ML ESPESOR 0,30X0.40 MT, INCL ACERO DE REFUERZO</v>
      </c>
      <c r="F16" s="8" t="str">
        <f>+'Estudio de mercadeo'!F17</f>
        <v>ML</v>
      </c>
      <c r="G16" s="89">
        <f>+'Estudio de mercadeo'!G17</f>
        <v>90</v>
      </c>
    </row>
    <row r="17" spans="1:7" ht="25.5" x14ac:dyDescent="0.25">
      <c r="D17" s="8">
        <f>'Estudio de mercadeo'!D18</f>
        <v>8</v>
      </c>
      <c r="E17" s="88" t="str">
        <f>'Estudio de mercadeo'!E18</f>
        <v>MURETE EN CONCRETO DE 3000 PSI 0,15X0,40 MT (INC. ACERO DE REFUERZO)</v>
      </c>
      <c r="F17" s="8" t="str">
        <f>+'Estudio de mercadeo'!F18</f>
        <v>ML</v>
      </c>
      <c r="G17" s="89">
        <f>+'Estudio de mercadeo'!G18</f>
        <v>90</v>
      </c>
    </row>
    <row r="18" spans="1:7" ht="25.5" x14ac:dyDescent="0.25">
      <c r="D18" s="8">
        <f>'Estudio de mercadeo'!D19</f>
        <v>9</v>
      </c>
      <c r="E18" s="88" t="str">
        <f>'Estudio de mercadeo'!E19</f>
        <v>SUMINISTRO E INSTALACIÓN DE POSTE EN TUBERÍA GALVANIZADA DE 2 1/2", CAL 16,  L=3,00 MTS</v>
      </c>
      <c r="F18" s="8" t="str">
        <f>+'Estudio de mercadeo'!F19</f>
        <v>UND</v>
      </c>
      <c r="G18" s="89">
        <f>+'Estudio de mercadeo'!G19</f>
        <v>31</v>
      </c>
    </row>
    <row r="19" spans="1:7" ht="25.5" x14ac:dyDescent="0.25">
      <c r="D19" s="8">
        <f>'Estudio de mercadeo'!D20</f>
        <v>10</v>
      </c>
      <c r="E19" s="88" t="str">
        <f>'Estudio de mercadeo'!E20</f>
        <v>PANEL DE 2,75 X 2,0 M EN MALLA ESLABONADA 2 1/2" X 2 1/2" CALIBRE 10 Y ÁNGULO METÁLICO DE 1 1/2" X 1/8"</v>
      </c>
      <c r="F19" s="8" t="str">
        <f>+'Estudio de mercadeo'!F20</f>
        <v>M2</v>
      </c>
      <c r="G19" s="89">
        <f>+'Estudio de mercadeo'!G20</f>
        <v>170</v>
      </c>
    </row>
    <row r="20" spans="1:7" ht="25.5" x14ac:dyDescent="0.25">
      <c r="D20" s="8">
        <f>'Estudio de mercadeo'!D21</f>
        <v>11</v>
      </c>
      <c r="E20" s="88" t="str">
        <f>'Estudio de mercadeo'!E21</f>
        <v>PORTÓN EN ESTRUCTURA METÁLICA TUBERÍA DE 1"x 1" CALIBRE 10 CON PARALES METÁLICOS</v>
      </c>
      <c r="F20" s="8" t="str">
        <f>+'Estudio de mercadeo'!F21</f>
        <v>M2</v>
      </c>
      <c r="G20" s="89">
        <f>+'Estudio de mercadeo'!G21</f>
        <v>5</v>
      </c>
    </row>
    <row r="21" spans="1:7" ht="38.25" x14ac:dyDescent="0.25">
      <c r="D21" s="8">
        <f>'Estudio de mercadeo'!D22</f>
        <v>12</v>
      </c>
      <c r="E21" s="88" t="str">
        <f>'Estudio de mercadeo'!E22</f>
        <v>PINTURA CARPINTERÍA METÁLICA DE REJAS (INC PINTURA ANTICORROSIVA VERDE, ESMALTE, MANO DE OBRA Y EQUIPOS)</v>
      </c>
      <c r="F21" s="8" t="str">
        <f>+'Estudio de mercadeo'!F22</f>
        <v>M2</v>
      </c>
      <c r="G21" s="89">
        <f>+'Estudio de mercadeo'!G22</f>
        <v>25</v>
      </c>
    </row>
    <row r="22" spans="1:7" ht="25.5" x14ac:dyDescent="0.25">
      <c r="D22" s="8">
        <f>'Estudio de mercadeo'!D23</f>
        <v>13</v>
      </c>
      <c r="E22" s="88" t="str">
        <f>'Estudio de mercadeo'!E23</f>
        <v>ZAPATA CONCRETO 3000 PSI 210 MPA 0.80Mx0.80Mx0.30M (no incl. Refuerzo)</v>
      </c>
      <c r="F22" s="8" t="str">
        <f>+'Estudio de mercadeo'!F23</f>
        <v>UND</v>
      </c>
      <c r="G22" s="89">
        <f>+'Estudio de mercadeo'!G23</f>
        <v>12</v>
      </c>
    </row>
    <row r="23" spans="1:7" x14ac:dyDescent="0.25">
      <c r="D23" s="8">
        <f>'Estudio de mercadeo'!D24</f>
        <v>14</v>
      </c>
      <c r="E23" s="88" t="str">
        <f>'Estudio de mercadeo'!E24</f>
        <v xml:space="preserve">ACERO DE REFUERZO 60.000PSI </v>
      </c>
      <c r="F23" s="8" t="str">
        <f>+'Estudio de mercadeo'!F24</f>
        <v>KG</v>
      </c>
      <c r="G23" s="89">
        <f>+'Estudio de mercadeo'!G24</f>
        <v>809.40000000000009</v>
      </c>
    </row>
    <row r="24" spans="1:7" ht="25.5" x14ac:dyDescent="0.25">
      <c r="D24" s="8">
        <f>'Estudio de mercadeo'!D25</f>
        <v>15</v>
      </c>
      <c r="E24" s="88" t="str">
        <f>'Estudio de mercadeo'!E25</f>
        <v>COLUMNA CONCRETO 3000 PSI DE = 0.25*0.25 M (INCLUYE REFUERZO 1/2" Y FLEJES DE 3/8")</v>
      </c>
      <c r="F24" s="8" t="str">
        <f>+'Estudio de mercadeo'!F25</f>
        <v>ML</v>
      </c>
      <c r="G24" s="89">
        <f>+'Estudio de mercadeo'!G25</f>
        <v>22.5</v>
      </c>
    </row>
    <row r="25" spans="1:7" ht="51" x14ac:dyDescent="0.25">
      <c r="D25" s="8">
        <f>'Estudio de mercadeo'!D26</f>
        <v>16</v>
      </c>
      <c r="E25" s="88" t="str">
        <f>'Estudio de mercadeo'!E26</f>
        <v>CUNETA EN CONCRETO DE 3000 PSI PARA MANEJO DE AGUAS LLUVIAS ACNHO:0,40 E:0,10 INCLUYE CONFORMACIÓN DEL TERRENO, FORMALETA Y MALLA ELECTRTOSOLDADAS DE 5MM.</v>
      </c>
      <c r="F25" s="8" t="str">
        <f>+'Estudio de mercadeo'!F26</f>
        <v>ML</v>
      </c>
      <c r="G25" s="89">
        <f>+'Estudio de mercadeo'!G26</f>
        <v>55</v>
      </c>
    </row>
    <row r="26" spans="1:7" s="98" customFormat="1" ht="15.75" thickBot="1" x14ac:dyDescent="0.3">
      <c r="A26" s="97"/>
      <c r="D26" s="116"/>
      <c r="E26" s="117"/>
      <c r="F26" s="116"/>
      <c r="G26" s="118"/>
    </row>
    <row r="27" spans="1:7" x14ac:dyDescent="0.25">
      <c r="D27" s="15"/>
      <c r="E27" s="16" t="s">
        <v>30</v>
      </c>
      <c r="F27" s="17"/>
      <c r="G27" s="18"/>
    </row>
    <row r="28" spans="1:7" x14ac:dyDescent="0.25">
      <c r="D28" s="20"/>
      <c r="E28" s="21" t="s">
        <v>31</v>
      </c>
      <c r="F28" s="22"/>
      <c r="G28" s="23"/>
    </row>
    <row r="29" spans="1:7" x14ac:dyDescent="0.25">
      <c r="D29" s="20"/>
      <c r="E29" s="21" t="s">
        <v>32</v>
      </c>
      <c r="F29" s="38"/>
      <c r="G29" s="91"/>
    </row>
    <row r="30" spans="1:7" x14ac:dyDescent="0.25">
      <c r="D30" s="20"/>
      <c r="E30" s="21" t="s">
        <v>33</v>
      </c>
      <c r="F30" s="38"/>
      <c r="G30" s="91"/>
    </row>
    <row r="31" spans="1:7" x14ac:dyDescent="0.25">
      <c r="D31" s="20"/>
      <c r="E31" s="21" t="s">
        <v>34</v>
      </c>
      <c r="F31" s="92"/>
      <c r="G31" s="93"/>
    </row>
    <row r="32" spans="1:7" x14ac:dyDescent="0.25">
      <c r="D32" s="20"/>
      <c r="E32" s="28" t="s">
        <v>35</v>
      </c>
      <c r="F32" s="92"/>
      <c r="G32" s="93"/>
    </row>
    <row r="33" spans="4:8" ht="14.25" customHeight="1" x14ac:dyDescent="0.25">
      <c r="D33" s="31"/>
      <c r="E33" s="28" t="s">
        <v>36</v>
      </c>
      <c r="F33" s="32"/>
      <c r="G33" s="33"/>
    </row>
    <row r="34" spans="4:8" ht="14.25" customHeight="1" x14ac:dyDescent="0.25">
      <c r="D34" s="34"/>
      <c r="E34" s="35"/>
      <c r="F34" s="36"/>
      <c r="G34" s="36"/>
    </row>
    <row r="35" spans="4:8" x14ac:dyDescent="0.25">
      <c r="D35" s="40"/>
      <c r="E35" s="36"/>
      <c r="F35" s="41"/>
      <c r="G35" s="41"/>
      <c r="H35" s="39"/>
    </row>
    <row r="36" spans="4:8" x14ac:dyDescent="0.25">
      <c r="D36" s="39"/>
      <c r="H36" s="39"/>
    </row>
    <row r="37" spans="4:8" x14ac:dyDescent="0.25">
      <c r="D37" s="39"/>
      <c r="H37" s="39"/>
    </row>
    <row r="38" spans="4:8" x14ac:dyDescent="0.25">
      <c r="D38" s="39"/>
      <c r="H38" s="39"/>
    </row>
    <row r="39" spans="4:8" ht="18.75" x14ac:dyDescent="0.3">
      <c r="D39" s="39"/>
      <c r="E39" s="43" t="s">
        <v>71</v>
      </c>
      <c r="F39" s="43"/>
      <c r="H39" s="39"/>
    </row>
    <row r="40" spans="4:8" x14ac:dyDescent="0.25">
      <c r="D40" s="39"/>
      <c r="E40" t="s">
        <v>72</v>
      </c>
      <c r="H40" s="39"/>
    </row>
    <row r="41" spans="4:8" x14ac:dyDescent="0.25">
      <c r="D41" s="39"/>
      <c r="E41" t="s">
        <v>73</v>
      </c>
      <c r="H41" s="39"/>
    </row>
    <row r="42" spans="4:8" x14ac:dyDescent="0.25">
      <c r="D42" s="39"/>
      <c r="E42" t="s">
        <v>74</v>
      </c>
      <c r="H42" s="39"/>
    </row>
    <row r="43" spans="4:8" x14ac:dyDescent="0.25">
      <c r="D43" s="44"/>
      <c r="E43" s="45"/>
      <c r="F43" s="45"/>
      <c r="G43" s="45"/>
      <c r="H43" s="39"/>
    </row>
    <row r="44" spans="4:8" ht="5.0999999999999996" customHeight="1" x14ac:dyDescent="0.25"/>
  </sheetData>
  <mergeCells count="8">
    <mergeCell ref="E3:G3"/>
    <mergeCell ref="E4:G4"/>
    <mergeCell ref="E5:G5"/>
    <mergeCell ref="E6:G6"/>
    <mergeCell ref="D8:D9"/>
    <mergeCell ref="E8:E9"/>
    <mergeCell ref="F8:F9"/>
    <mergeCell ref="G8:G9"/>
  </mergeCells>
  <printOptions horizontalCentered="1"/>
  <pageMargins left="0.70866141732283472" right="0.31496062992125984" top="0.74803149606299213" bottom="0.74803149606299213" header="0.31496062992125984" footer="0.31496062992125984"/>
  <pageSetup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  <SharedWithUsers xmlns="dfcf60e3-6080-4d69-aea6-ccda2266e1cc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35C974-E832-452D-86DA-9FBC39F6BC29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A33D948-899E-4250-A31D-9E4C48B87D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47B61F-5283-4797-9F33-FAB4FB965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Estudio de mercadeo</vt:lpstr>
      <vt:lpstr>Ficha tecnica</vt:lpstr>
      <vt:lpstr>'Estudio de mercadeo'!Área_de_impresión</vt:lpstr>
      <vt:lpstr>'Ficha tecnica'!Área_de_impresión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1A</dc:creator>
  <cp:keywords/>
  <dc:description/>
  <cp:lastModifiedBy>UsuarioCS</cp:lastModifiedBy>
  <cp:revision/>
  <dcterms:created xsi:type="dcterms:W3CDTF">2023-05-03T04:10:45Z</dcterms:created>
  <dcterms:modified xsi:type="dcterms:W3CDTF">2025-06-20T19:03:44Z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2024-08-28T13:55:20Z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cfcc38d7-82dd-4f2d-bec7-95d15ba34306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  <property fmtid="{D5CDD505-2E9C-101B-9397-08002B2CF9AE}" pid="11" name="xd_ProgID">
    <vt:lpwstr/>
  </property>
  <property fmtid="{D5CDD505-2E9C-101B-9397-08002B2CF9AE}" pid="12" name="_SourceUrl">
    <vt:lpwstr/>
  </property>
  <property fmtid="{D5CDD505-2E9C-101B-9397-08002B2CF9AE}" pid="13" name="_SharedFileIndex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xd_Signature">
    <vt:bool>false</vt:bool>
  </property>
</Properties>
</file>