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Bk Nathalia Gonzalez\One Drive\Documentos\natalia\INDER\2025\Contratación\Placas 3\Obra\Prepliego\"/>
    </mc:Choice>
  </mc:AlternateContent>
  <bookViews>
    <workbookView xWindow="-105" yWindow="-105" windowWidth="23250" windowHeight="12450"/>
  </bookViews>
  <sheets>
    <sheet name="PPTO PLACAS 2" sheetId="1" r:id="rId1"/>
  </sheets>
  <externalReferences>
    <externalReference r:id="rId2"/>
  </externalReferenc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24" i="1" l="1"/>
  <c r="J122" i="1"/>
  <c r="J121" i="1"/>
  <c r="J120" i="1"/>
  <c r="H120" i="1"/>
  <c r="O121" i="1" s="1"/>
  <c r="J119" i="1"/>
  <c r="H119" i="1"/>
  <c r="O120" i="1" s="1"/>
  <c r="H118" i="1"/>
  <c r="O119" i="1" s="1"/>
  <c r="B117" i="1"/>
  <c r="J116" i="1"/>
  <c r="O116" i="1"/>
  <c r="J115" i="1"/>
  <c r="O115" i="1"/>
  <c r="J114" i="1"/>
  <c r="O111" i="1"/>
  <c r="K111" i="1"/>
  <c r="R110" i="1"/>
  <c r="F110" i="1"/>
  <c r="AV108" i="1"/>
  <c r="AS108" i="1"/>
  <c r="AM108" i="1"/>
  <c r="AJ108" i="1"/>
  <c r="AG108" i="1"/>
  <c r="AD108" i="1"/>
  <c r="AA108" i="1"/>
  <c r="X108" i="1"/>
  <c r="U108" i="1"/>
  <c r="R108" i="1"/>
  <c r="AP108" i="1"/>
  <c r="F108" i="1"/>
  <c r="AV107" i="1"/>
  <c r="AS107" i="1"/>
  <c r="AM107" i="1"/>
  <c r="AJ107" i="1"/>
  <c r="AG107" i="1"/>
  <c r="AD107" i="1"/>
  <c r="AA107" i="1"/>
  <c r="X107" i="1"/>
  <c r="U107" i="1"/>
  <c r="R107" i="1"/>
  <c r="F107" i="1"/>
  <c r="AV106" i="1"/>
  <c r="AS106" i="1"/>
  <c r="AM106" i="1"/>
  <c r="AJ106" i="1"/>
  <c r="AG106" i="1"/>
  <c r="AD106" i="1"/>
  <c r="AA106" i="1"/>
  <c r="X106" i="1"/>
  <c r="U106" i="1"/>
  <c r="R106" i="1"/>
  <c r="AP106" i="1"/>
  <c r="F106" i="1"/>
  <c r="AV103" i="1"/>
  <c r="F103" i="1"/>
  <c r="AA101" i="1"/>
  <c r="F101" i="1"/>
  <c r="U100" i="1"/>
  <c r="F100" i="1"/>
  <c r="AG99" i="1"/>
  <c r="F99" i="1"/>
  <c r="AO96" i="1"/>
  <c r="AM96" i="1"/>
  <c r="AD95" i="1"/>
  <c r="F95" i="1"/>
  <c r="AV93" i="1"/>
  <c r="AS93" i="1"/>
  <c r="AG93" i="1"/>
  <c r="AD93" i="1"/>
  <c r="AA93" i="1"/>
  <c r="X93" i="1"/>
  <c r="U93" i="1"/>
  <c r="R93" i="1"/>
  <c r="F93" i="1"/>
  <c r="AV92" i="1"/>
  <c r="AD92" i="1"/>
  <c r="X92" i="1"/>
  <c r="F92" i="1"/>
  <c r="H92" i="1" s="1"/>
  <c r="AV89" i="1"/>
  <c r="AS89" i="1"/>
  <c r="F89" i="1"/>
  <c r="AR88" i="1"/>
  <c r="AI88" i="1"/>
  <c r="Q88" i="1"/>
  <c r="AV86" i="1"/>
  <c r="AP86" i="1"/>
  <c r="AJ86" i="1"/>
  <c r="AF86" i="1"/>
  <c r="F86" i="1" s="1"/>
  <c r="AD86" i="1"/>
  <c r="AA86" i="1"/>
  <c r="X86" i="1"/>
  <c r="U86" i="1"/>
  <c r="R86" i="1"/>
  <c r="AM86" i="1"/>
  <c r="AR85" i="1"/>
  <c r="AL85" i="1"/>
  <c r="AI85" i="1"/>
  <c r="AA85" i="1"/>
  <c r="W85" i="1"/>
  <c r="AP85" i="1"/>
  <c r="AP82" i="1"/>
  <c r="X82" i="1"/>
  <c r="F82" i="1"/>
  <c r="AP81" i="1"/>
  <c r="AJ81" i="1"/>
  <c r="AG81" i="1"/>
  <c r="AD81" i="1"/>
  <c r="AA81" i="1"/>
  <c r="AV81" i="1"/>
  <c r="F81" i="1"/>
  <c r="AS80" i="1"/>
  <c r="AG80" i="1"/>
  <c r="AD80" i="1"/>
  <c r="AA80" i="1"/>
  <c r="X80" i="1"/>
  <c r="U80" i="1"/>
  <c r="F80" i="1"/>
  <c r="AS79" i="1"/>
  <c r="AP79" i="1"/>
  <c r="X79" i="1"/>
  <c r="U79" i="1"/>
  <c r="F79" i="1"/>
  <c r="AU77" i="1"/>
  <c r="AR77" i="1"/>
  <c r="AL77" i="1"/>
  <c r="AI77" i="1"/>
  <c r="AF77" i="1"/>
  <c r="Z77" i="1"/>
  <c r="Q77" i="1"/>
  <c r="AP77" i="1"/>
  <c r="AV76" i="1"/>
  <c r="AP76" i="1"/>
  <c r="U76" i="1"/>
  <c r="F76" i="1"/>
  <c r="AU75" i="1"/>
  <c r="AR75" i="1"/>
  <c r="AL75" i="1"/>
  <c r="AM75" i="1" s="1"/>
  <c r="AI75" i="1"/>
  <c r="AC75" i="1"/>
  <c r="Z75" i="1"/>
  <c r="W75" i="1"/>
  <c r="X75" i="1" s="1"/>
  <c r="T75" i="1"/>
  <c r="Q75" i="1"/>
  <c r="R75" i="1" s="1"/>
  <c r="AG75" i="1"/>
  <c r="AU74" i="1"/>
  <c r="AR74" i="1"/>
  <c r="AP74" i="1"/>
  <c r="AL74" i="1"/>
  <c r="AI74" i="1"/>
  <c r="Z74" i="1"/>
  <c r="AU73" i="1"/>
  <c r="AS73" i="1"/>
  <c r="AM73" i="1"/>
  <c r="AI73" i="1"/>
  <c r="AF73" i="1"/>
  <c r="AG73" i="1" s="1"/>
  <c r="AC73" i="1"/>
  <c r="AA73" i="1"/>
  <c r="X73" i="1"/>
  <c r="U73" i="1"/>
  <c r="R73" i="1"/>
  <c r="AP73" i="1"/>
  <c r="O72" i="1"/>
  <c r="N72" i="1"/>
  <c r="L72" i="1"/>
  <c r="K72" i="1"/>
  <c r="J72" i="1"/>
  <c r="O71" i="1"/>
  <c r="N71" i="1"/>
  <c r="L71" i="1"/>
  <c r="K71" i="1"/>
  <c r="J71" i="1"/>
  <c r="AV70" i="1"/>
  <c r="AS70" i="1"/>
  <c r="AM70" i="1"/>
  <c r="AJ70" i="1"/>
  <c r="AG70" i="1"/>
  <c r="AD70" i="1"/>
  <c r="AA70" i="1"/>
  <c r="X70" i="1"/>
  <c r="U70" i="1"/>
  <c r="R70" i="1"/>
  <c r="F70" i="1"/>
  <c r="H70" i="1" s="1"/>
  <c r="AS67" i="1"/>
  <c r="AP67" i="1"/>
  <c r="AM67" i="1"/>
  <c r="AJ67" i="1"/>
  <c r="AD67" i="1"/>
  <c r="AA67" i="1"/>
  <c r="X67" i="1"/>
  <c r="U67" i="1"/>
  <c r="AG67" i="1"/>
  <c r="F67" i="1"/>
  <c r="AV66" i="1"/>
  <c r="AS66" i="1"/>
  <c r="AM66" i="1"/>
  <c r="AJ66" i="1"/>
  <c r="AG66" i="1"/>
  <c r="AD66" i="1"/>
  <c r="AA66" i="1"/>
  <c r="X66" i="1"/>
  <c r="U66" i="1"/>
  <c r="R66" i="1"/>
  <c r="AP66" i="1"/>
  <c r="F66" i="1"/>
  <c r="AV65" i="1"/>
  <c r="AS65" i="1"/>
  <c r="AP65" i="1"/>
  <c r="AM65" i="1"/>
  <c r="AI65" i="1"/>
  <c r="F65" i="1" s="1"/>
  <c r="AG65" i="1"/>
  <c r="AD65" i="1"/>
  <c r="X65" i="1"/>
  <c r="U65" i="1"/>
  <c r="R65" i="1"/>
  <c r="AJ65" i="1"/>
  <c r="AP64" i="1"/>
  <c r="AL64" i="1"/>
  <c r="Z64" i="1"/>
  <c r="W64" i="1"/>
  <c r="AR63" i="1"/>
  <c r="AS63" i="1" s="1"/>
  <c r="AP63" i="1"/>
  <c r="AM63" i="1"/>
  <c r="AJ63" i="1"/>
  <c r="AG63" i="1"/>
  <c r="AD63" i="1"/>
  <c r="Z63" i="1"/>
  <c r="W63" i="1"/>
  <c r="X63" i="1" s="1"/>
  <c r="U63" i="1"/>
  <c r="R63" i="1"/>
  <c r="AV60" i="1"/>
  <c r="AS60" i="1"/>
  <c r="AM60" i="1"/>
  <c r="AJ60" i="1"/>
  <c r="AG60" i="1"/>
  <c r="AD60" i="1"/>
  <c r="AA60" i="1"/>
  <c r="X60" i="1"/>
  <c r="U60" i="1"/>
  <c r="R60" i="1"/>
  <c r="AP60" i="1"/>
  <c r="F60" i="1"/>
  <c r="O59" i="1"/>
  <c r="N59" i="1"/>
  <c r="L59" i="1"/>
  <c r="K59" i="1"/>
  <c r="J59" i="1"/>
  <c r="AV58" i="1"/>
  <c r="AS58" i="1"/>
  <c r="AM58" i="1"/>
  <c r="AJ58" i="1"/>
  <c r="AG58" i="1"/>
  <c r="AD58" i="1"/>
  <c r="AA58" i="1"/>
  <c r="X58" i="1"/>
  <c r="U58" i="1"/>
  <c r="R58" i="1"/>
  <c r="AP58" i="1"/>
  <c r="F58" i="1"/>
  <c r="AV57" i="1"/>
  <c r="AS57" i="1"/>
  <c r="AN57" i="1"/>
  <c r="AM57" i="1"/>
  <c r="AJ57" i="1"/>
  <c r="AG57" i="1"/>
  <c r="AD57" i="1"/>
  <c r="AA57" i="1"/>
  <c r="X57" i="1"/>
  <c r="U57" i="1"/>
  <c r="R57" i="1"/>
  <c r="AP57" i="1"/>
  <c r="F57" i="1"/>
  <c r="AV56" i="1"/>
  <c r="AS56" i="1"/>
  <c r="AM56" i="1"/>
  <c r="AJ56" i="1"/>
  <c r="AG56" i="1"/>
  <c r="AD56" i="1"/>
  <c r="AA56" i="1"/>
  <c r="X56" i="1"/>
  <c r="U56" i="1"/>
  <c r="R56" i="1"/>
  <c r="AP56" i="1"/>
  <c r="F56" i="1"/>
  <c r="AV55" i="1"/>
  <c r="AS55" i="1"/>
  <c r="AM55" i="1"/>
  <c r="AJ55" i="1"/>
  <c r="AG55" i="1"/>
  <c r="AD55" i="1"/>
  <c r="AA55" i="1"/>
  <c r="X55" i="1"/>
  <c r="U55" i="1"/>
  <c r="R55" i="1"/>
  <c r="F55" i="1"/>
  <c r="AV54" i="1"/>
  <c r="AS54" i="1"/>
  <c r="AM54" i="1"/>
  <c r="AJ54" i="1"/>
  <c r="AG54" i="1"/>
  <c r="AD54" i="1"/>
  <c r="AA54" i="1"/>
  <c r="X54" i="1"/>
  <c r="U54" i="1"/>
  <c r="R54" i="1"/>
  <c r="F54" i="1"/>
  <c r="AV53" i="1"/>
  <c r="AS53" i="1"/>
  <c r="AM53" i="1"/>
  <c r="AG53" i="1"/>
  <c r="AD53" i="1"/>
  <c r="AA53" i="1"/>
  <c r="X53" i="1"/>
  <c r="U53" i="1"/>
  <c r="F53" i="1"/>
  <c r="AV52" i="1"/>
  <c r="AS52" i="1"/>
  <c r="AM52" i="1"/>
  <c r="AG52" i="1"/>
  <c r="AD52" i="1"/>
  <c r="X52" i="1"/>
  <c r="U52" i="1"/>
  <c r="R52" i="1"/>
  <c r="F52" i="1"/>
  <c r="AU51" i="1"/>
  <c r="F51" i="1" s="1"/>
  <c r="AD51" i="1"/>
  <c r="AG51" i="1"/>
  <c r="AV50" i="1"/>
  <c r="AS50" i="1"/>
  <c r="AM50" i="1"/>
  <c r="AJ50" i="1"/>
  <c r="AG50" i="1"/>
  <c r="AD50" i="1"/>
  <c r="AA50" i="1"/>
  <c r="X50" i="1"/>
  <c r="U50" i="1"/>
  <c r="R50" i="1"/>
  <c r="AP50" i="1"/>
  <c r="F50" i="1"/>
  <c r="AO47" i="1"/>
  <c r="F47" i="1" s="1"/>
  <c r="H47" i="1" s="1"/>
  <c r="AM47" i="1"/>
  <c r="AV45" i="1"/>
  <c r="AS45" i="1"/>
  <c r="AM45" i="1"/>
  <c r="AJ45" i="1"/>
  <c r="AG45" i="1"/>
  <c r="AD45" i="1"/>
  <c r="AA45" i="1"/>
  <c r="X45" i="1"/>
  <c r="U45" i="1"/>
  <c r="R45" i="1"/>
  <c r="AP45" i="1"/>
  <c r="F45" i="1"/>
  <c r="AV44" i="1"/>
  <c r="AS44" i="1"/>
  <c r="AM44" i="1"/>
  <c r="AJ44" i="1"/>
  <c r="AG44" i="1"/>
  <c r="AD44" i="1"/>
  <c r="AA44" i="1"/>
  <c r="X44" i="1"/>
  <c r="U44" i="1"/>
  <c r="R44" i="1"/>
  <c r="AP44" i="1"/>
  <c r="F44" i="1"/>
  <c r="AV43" i="1"/>
  <c r="AS43" i="1"/>
  <c r="AM43" i="1"/>
  <c r="AJ43" i="1"/>
  <c r="AG43" i="1"/>
  <c r="AD43" i="1"/>
  <c r="AA43" i="1"/>
  <c r="X43" i="1"/>
  <c r="U43" i="1"/>
  <c r="R43" i="1"/>
  <c r="AP43" i="1"/>
  <c r="F43" i="1"/>
  <c r="AV42" i="1"/>
  <c r="AS42" i="1"/>
  <c r="AM42" i="1"/>
  <c r="AJ42" i="1"/>
  <c r="AG42" i="1"/>
  <c r="AD42" i="1"/>
  <c r="AA42" i="1"/>
  <c r="X42" i="1"/>
  <c r="U42" i="1"/>
  <c r="R42" i="1"/>
  <c r="AP42" i="1"/>
  <c r="F42" i="1"/>
  <c r="AV40" i="1"/>
  <c r="AS40" i="1"/>
  <c r="AM40" i="1"/>
  <c r="AJ40" i="1"/>
  <c r="AG40" i="1"/>
  <c r="AD40" i="1"/>
  <c r="AA40" i="1"/>
  <c r="X40" i="1"/>
  <c r="U40" i="1"/>
  <c r="R40" i="1"/>
  <c r="AP40" i="1"/>
  <c r="F40" i="1"/>
  <c r="AV39" i="1"/>
  <c r="AS39" i="1"/>
  <c r="AM39" i="1"/>
  <c r="AJ39" i="1"/>
  <c r="AG39" i="1"/>
  <c r="AD39" i="1"/>
  <c r="AA39" i="1"/>
  <c r="X39" i="1"/>
  <c r="U39" i="1"/>
  <c r="R39" i="1"/>
  <c r="AP39" i="1"/>
  <c r="F39" i="1"/>
  <c r="AV38" i="1"/>
  <c r="AS38" i="1"/>
  <c r="AM38" i="1"/>
  <c r="AI38" i="1"/>
  <c r="F38" i="1" s="1"/>
  <c r="AG38" i="1"/>
  <c r="AD38" i="1"/>
  <c r="X38" i="1"/>
  <c r="U38" i="1"/>
  <c r="R38" i="1"/>
  <c r="AP38" i="1"/>
  <c r="AV36" i="1"/>
  <c r="AS36" i="1"/>
  <c r="AM36" i="1"/>
  <c r="AJ36" i="1"/>
  <c r="AG36" i="1"/>
  <c r="AD36" i="1"/>
  <c r="AA36" i="1"/>
  <c r="X36" i="1"/>
  <c r="U36" i="1"/>
  <c r="R36" i="1"/>
  <c r="AP36" i="1"/>
  <c r="F36" i="1"/>
  <c r="AV35" i="1"/>
  <c r="AS35" i="1"/>
  <c r="AM35" i="1"/>
  <c r="AJ35" i="1"/>
  <c r="AG35" i="1"/>
  <c r="AD35" i="1"/>
  <c r="AA35" i="1"/>
  <c r="X35" i="1"/>
  <c r="U35" i="1"/>
  <c r="R35" i="1"/>
  <c r="AP35" i="1"/>
  <c r="F35" i="1"/>
  <c r="AV34" i="1"/>
  <c r="AS34" i="1"/>
  <c r="AM34" i="1"/>
  <c r="AJ34" i="1"/>
  <c r="AG34" i="1"/>
  <c r="AD34" i="1"/>
  <c r="AA34" i="1"/>
  <c r="X34" i="1"/>
  <c r="U34" i="1"/>
  <c r="R34" i="1"/>
  <c r="AP34" i="1"/>
  <c r="F34" i="1"/>
  <c r="AV33" i="1"/>
  <c r="AS33" i="1"/>
  <c r="AM33" i="1"/>
  <c r="AJ33" i="1"/>
  <c r="AG33" i="1"/>
  <c r="AD33" i="1"/>
  <c r="AA33" i="1"/>
  <c r="X33" i="1"/>
  <c r="U33" i="1"/>
  <c r="R33" i="1"/>
  <c r="AP33" i="1"/>
  <c r="F33" i="1"/>
  <c r="AV32" i="1"/>
  <c r="AS32" i="1"/>
  <c r="AM32" i="1"/>
  <c r="AJ32" i="1"/>
  <c r="AG32" i="1"/>
  <c r="AD32" i="1"/>
  <c r="AA32" i="1"/>
  <c r="X32" i="1"/>
  <c r="U32" i="1"/>
  <c r="R32" i="1"/>
  <c r="AP32" i="1"/>
  <c r="F32" i="1"/>
  <c r="AV31" i="1"/>
  <c r="AS31" i="1"/>
  <c r="AO31" i="1"/>
  <c r="AM31" i="1"/>
  <c r="AG31" i="1"/>
  <c r="AD31" i="1"/>
  <c r="X31" i="1"/>
  <c r="U31" i="1"/>
  <c r="R31" i="1"/>
  <c r="AA31" i="1"/>
  <c r="AV28" i="1"/>
  <c r="AS28" i="1"/>
  <c r="AM28" i="1"/>
  <c r="AJ28" i="1"/>
  <c r="AG28" i="1"/>
  <c r="AD28" i="1"/>
  <c r="AA28" i="1"/>
  <c r="X28" i="1"/>
  <c r="U28" i="1"/>
  <c r="R28" i="1"/>
  <c r="AP28" i="1"/>
  <c r="F28" i="1"/>
  <c r="AV27" i="1"/>
  <c r="AS27" i="1"/>
  <c r="AM27" i="1"/>
  <c r="AI27" i="1"/>
  <c r="AG27" i="1"/>
  <c r="AD27" i="1"/>
  <c r="Z27" i="1"/>
  <c r="X27" i="1"/>
  <c r="U27" i="1"/>
  <c r="R27" i="1"/>
  <c r="AP27" i="1"/>
  <c r="AU26" i="1"/>
  <c r="AR26" i="1"/>
  <c r="AL26" i="1"/>
  <c r="AI26" i="1"/>
  <c r="AF26" i="1"/>
  <c r="AC26" i="1"/>
  <c r="Z26" i="1"/>
  <c r="W26" i="1"/>
  <c r="T26" i="1"/>
  <c r="Q26" i="1"/>
  <c r="AP26" i="1"/>
  <c r="AV25" i="1"/>
  <c r="AS25" i="1"/>
  <c r="AP25" i="1"/>
  <c r="AM25" i="1"/>
  <c r="AJ25" i="1"/>
  <c r="AG25" i="1"/>
  <c r="AD25" i="1"/>
  <c r="AA25" i="1"/>
  <c r="W25" i="1"/>
  <c r="U25" i="1"/>
  <c r="R25" i="1"/>
  <c r="AD24" i="1"/>
  <c r="X24" i="1"/>
  <c r="AV24" i="1"/>
  <c r="F24" i="1"/>
  <c r="AV22" i="1"/>
  <c r="AS22" i="1"/>
  <c r="AM22" i="1"/>
  <c r="AJ22" i="1"/>
  <c r="AG22" i="1"/>
  <c r="AD22" i="1"/>
  <c r="AA22" i="1"/>
  <c r="X22" i="1"/>
  <c r="U22" i="1"/>
  <c r="R22" i="1"/>
  <c r="AP22" i="1"/>
  <c r="F22" i="1"/>
  <c r="AU21" i="1"/>
  <c r="AR21" i="1"/>
  <c r="AP21" i="1"/>
  <c r="AL21" i="1"/>
  <c r="AI21" i="1"/>
  <c r="AF21" i="1"/>
  <c r="AC21" i="1"/>
  <c r="Z21" i="1"/>
  <c r="W21" i="1"/>
  <c r="T21" i="1"/>
  <c r="Q21" i="1"/>
  <c r="AP20" i="1"/>
  <c r="AM20" i="1"/>
  <c r="AG20" i="1"/>
  <c r="AD20" i="1"/>
  <c r="AA20" i="1"/>
  <c r="X20" i="1"/>
  <c r="AJ20" i="1"/>
  <c r="F20" i="1"/>
  <c r="AS17" i="1"/>
  <c r="AP17" i="1"/>
  <c r="AJ17" i="1"/>
  <c r="AG17" i="1"/>
  <c r="T17" i="1"/>
  <c r="F17" i="1" s="1"/>
  <c r="AM17" i="1"/>
  <c r="AV16" i="1"/>
  <c r="AJ16" i="1"/>
  <c r="F16" i="1"/>
  <c r="AO15" i="1"/>
  <c r="AD15" i="1"/>
  <c r="AG15" i="1"/>
  <c r="AO13" i="1"/>
  <c r="AD13" i="1"/>
  <c r="AM11" i="1"/>
  <c r="F11" i="1"/>
  <c r="AD10" i="1"/>
  <c r="F10" i="1"/>
  <c r="AU9" i="1"/>
  <c r="AR9" i="1"/>
  <c r="AO9" i="1"/>
  <c r="AL9" i="1"/>
  <c r="AI9" i="1"/>
  <c r="AF9" i="1"/>
  <c r="AC9" i="1"/>
  <c r="Z9" i="1"/>
  <c r="W9" i="1"/>
  <c r="T9" i="1"/>
  <c r="Q9" i="1"/>
  <c r="O8" i="1"/>
  <c r="N8" i="1"/>
  <c r="L8" i="1"/>
  <c r="K8" i="1"/>
  <c r="J8" i="1"/>
  <c r="O7" i="1"/>
  <c r="N7" i="1"/>
  <c r="L7" i="1"/>
  <c r="K7" i="1"/>
  <c r="J7" i="1"/>
  <c r="L5" i="1"/>
  <c r="K5" i="1"/>
  <c r="R77" i="1" l="1"/>
  <c r="X85" i="1"/>
  <c r="H86" i="1"/>
  <c r="R81" i="1"/>
  <c r="AS85" i="1"/>
  <c r="L20" i="1"/>
  <c r="H34" i="1"/>
  <c r="AG9" i="1"/>
  <c r="AP9" i="1"/>
  <c r="AD75" i="1"/>
  <c r="U26" i="1"/>
  <c r="AD26" i="1"/>
  <c r="H79" i="1"/>
  <c r="AA96" i="1"/>
  <c r="AP96" i="1"/>
  <c r="AA63" i="1"/>
  <c r="AJ75" i="1"/>
  <c r="R79" i="1"/>
  <c r="AV96" i="1"/>
  <c r="AM21" i="1"/>
  <c r="AS26" i="1"/>
  <c r="AJ73" i="1"/>
  <c r="AS75" i="1"/>
  <c r="F88" i="1"/>
  <c r="L88" i="1" s="1"/>
  <c r="H93" i="1"/>
  <c r="H101" i="1"/>
  <c r="AV21" i="1"/>
  <c r="R26" i="1"/>
  <c r="X26" i="1"/>
  <c r="AP13" i="1"/>
  <c r="AV9" i="1"/>
  <c r="U9" i="1"/>
  <c r="AJ21" i="1"/>
  <c r="AA9" i="1"/>
  <c r="AD9" i="1"/>
  <c r="AV15" i="1"/>
  <c r="AP70" i="1"/>
  <c r="R47" i="1"/>
  <c r="AV63" i="1"/>
  <c r="AV75" i="1"/>
  <c r="AA79" i="1"/>
  <c r="AS86" i="1"/>
  <c r="R21" i="1"/>
  <c r="H33" i="1"/>
  <c r="AD47" i="1"/>
  <c r="H67" i="1"/>
  <c r="AG79" i="1"/>
  <c r="AJ79" i="1"/>
  <c r="R95" i="1"/>
  <c r="X101" i="1"/>
  <c r="AA103" i="1"/>
  <c r="AS9" i="1"/>
  <c r="H22" i="1"/>
  <c r="H39" i="1"/>
  <c r="AS47" i="1"/>
  <c r="U75" i="1"/>
  <c r="AM77" i="1"/>
  <c r="AM79" i="1"/>
  <c r="AA92" i="1"/>
  <c r="AA95" i="1"/>
  <c r="AD101" i="1"/>
  <c r="H65" i="1"/>
  <c r="AG101" i="1"/>
  <c r="AM101" i="1"/>
  <c r="AV101" i="1"/>
  <c r="K65" i="1"/>
  <c r="X25" i="1"/>
  <c r="L57" i="1"/>
  <c r="AA21" i="1"/>
  <c r="AD21" i="1"/>
  <c r="F27" i="1"/>
  <c r="H27" i="1" s="1"/>
  <c r="AP31" i="1"/>
  <c r="H17" i="1"/>
  <c r="H57" i="1"/>
  <c r="U11" i="1"/>
  <c r="AV13" i="1"/>
  <c r="AV17" i="1"/>
  <c r="AG21" i="1"/>
  <c r="F31" i="1"/>
  <c r="L31" i="1" s="1"/>
  <c r="AA76" i="1"/>
  <c r="AD79" i="1"/>
  <c r="AG86" i="1"/>
  <c r="AP95" i="1"/>
  <c r="AM110" i="1"/>
  <c r="AJ76" i="1"/>
  <c r="H103" i="1"/>
  <c r="AP110" i="1"/>
  <c r="U47" i="1"/>
  <c r="AA65" i="1"/>
  <c r="H99" i="1"/>
  <c r="AS110" i="1"/>
  <c r="AS76" i="1"/>
  <c r="F96" i="1"/>
  <c r="L96" i="1" s="1"/>
  <c r="AV110" i="1"/>
  <c r="AG47" i="1"/>
  <c r="AJ99" i="1"/>
  <c r="H110" i="1"/>
  <c r="AJ47" i="1"/>
  <c r="AM64" i="1"/>
  <c r="R96" i="1"/>
  <c r="AM9" i="1"/>
  <c r="AS10" i="1"/>
  <c r="AA15" i="1"/>
  <c r="AM16" i="1"/>
  <c r="AD17" i="1"/>
  <c r="R20" i="1"/>
  <c r="U21" i="1"/>
  <c r="AV51" i="1"/>
  <c r="AV79" i="1"/>
  <c r="AM85" i="1"/>
  <c r="U110" i="1"/>
  <c r="X110" i="1"/>
  <c r="AP47" i="1"/>
  <c r="AA110" i="1"/>
  <c r="AJ93" i="1"/>
  <c r="AD110" i="1"/>
  <c r="AD11" i="1"/>
  <c r="R17" i="1"/>
  <c r="L22" i="1"/>
  <c r="AG11" i="1"/>
  <c r="R10" i="1"/>
  <c r="AJ11" i="1"/>
  <c r="U17" i="1"/>
  <c r="U10" i="1"/>
  <c r="AV11" i="1"/>
  <c r="R15" i="1"/>
  <c r="U16" i="1"/>
  <c r="X17" i="1"/>
  <c r="AP10" i="1"/>
  <c r="U15" i="1"/>
  <c r="AA16" i="1"/>
  <c r="AA17" i="1"/>
  <c r="AS21" i="1"/>
  <c r="AV10" i="1"/>
  <c r="F13" i="1"/>
  <c r="H13" i="1" s="1"/>
  <c r="F21" i="1"/>
  <c r="H21" i="1" s="1"/>
  <c r="AJ31" i="1"/>
  <c r="AJ15" i="1"/>
  <c r="R9" i="1"/>
  <c r="U13" i="1"/>
  <c r="AM15" i="1"/>
  <c r="F25" i="1"/>
  <c r="L25" i="1" s="1"/>
  <c r="AP15" i="1"/>
  <c r="F73" i="1"/>
  <c r="L73" i="1" s="1"/>
  <c r="R76" i="1"/>
  <c r="AG95" i="1"/>
  <c r="AG110" i="1"/>
  <c r="AJ95" i="1"/>
  <c r="AJ110" i="1"/>
  <c r="L42" i="1"/>
  <c r="L11" i="1"/>
  <c r="K51" i="1"/>
  <c r="L39" i="1"/>
  <c r="K10" i="1"/>
  <c r="K42" i="1"/>
  <c r="K17" i="1"/>
  <c r="L17" i="1"/>
  <c r="K39" i="1"/>
  <c r="K47" i="1"/>
  <c r="L38" i="1"/>
  <c r="K38" i="1"/>
  <c r="H38" i="1"/>
  <c r="AG26" i="1"/>
  <c r="K11" i="1"/>
  <c r="AS13" i="1"/>
  <c r="X13" i="1"/>
  <c r="AA13" i="1"/>
  <c r="X16" i="1"/>
  <c r="U20" i="1"/>
  <c r="AS20" i="1"/>
  <c r="X21" i="1"/>
  <c r="AA24" i="1"/>
  <c r="AJ27" i="1"/>
  <c r="H35" i="1"/>
  <c r="H43" i="1"/>
  <c r="L51" i="1"/>
  <c r="K56" i="1"/>
  <c r="H56" i="1"/>
  <c r="AD74" i="1"/>
  <c r="X74" i="1"/>
  <c r="U74" i="1"/>
  <c r="R74" i="1"/>
  <c r="AG74" i="1"/>
  <c r="AV74" i="1"/>
  <c r="AV26" i="1"/>
  <c r="H16" i="1"/>
  <c r="AV20" i="1"/>
  <c r="K24" i="1"/>
  <c r="AJ26" i="1"/>
  <c r="H28" i="1"/>
  <c r="K33" i="1"/>
  <c r="AA38" i="1"/>
  <c r="L40" i="1"/>
  <c r="L44" i="1"/>
  <c r="K44" i="1"/>
  <c r="H45" i="1"/>
  <c r="K45" i="1"/>
  <c r="X51" i="1"/>
  <c r="H55" i="1"/>
  <c r="AP55" i="1"/>
  <c r="K58" i="1"/>
  <c r="H58" i="1"/>
  <c r="F9" i="1"/>
  <c r="AP11" i="1"/>
  <c r="AG13" i="1"/>
  <c r="F15" i="1"/>
  <c r="AD16" i="1"/>
  <c r="H20" i="1"/>
  <c r="L24" i="1"/>
  <c r="AG24" i="1"/>
  <c r="AM26" i="1"/>
  <c r="L33" i="1"/>
  <c r="K34" i="1"/>
  <c r="K35" i="1"/>
  <c r="K43" i="1"/>
  <c r="AA51" i="1"/>
  <c r="H52" i="1"/>
  <c r="L52" i="1"/>
  <c r="K52" i="1"/>
  <c r="AP53" i="1"/>
  <c r="R53" i="1"/>
  <c r="AP54" i="1"/>
  <c r="H54" i="1"/>
  <c r="L55" i="1"/>
  <c r="L56" i="1"/>
  <c r="K57" i="1"/>
  <c r="AJ74" i="1"/>
  <c r="X10" i="1"/>
  <c r="H10" i="1"/>
  <c r="AA10" i="1"/>
  <c r="R11" i="1"/>
  <c r="AS11" i="1"/>
  <c r="AJ13" i="1"/>
  <c r="X15" i="1"/>
  <c r="AS15" i="1"/>
  <c r="K16" i="1"/>
  <c r="AG16" i="1"/>
  <c r="K20" i="1"/>
  <c r="AJ24" i="1"/>
  <c r="AA26" i="1"/>
  <c r="K28" i="1"/>
  <c r="H32" i="1"/>
  <c r="H36" i="1"/>
  <c r="L43" i="1"/>
  <c r="H44" i="1"/>
  <c r="L45" i="1"/>
  <c r="AA52" i="1"/>
  <c r="AP52" i="1"/>
  <c r="AJ52" i="1"/>
  <c r="H53" i="1"/>
  <c r="AJ53" i="1"/>
  <c r="L54" i="1"/>
  <c r="L58" i="1"/>
  <c r="AM13" i="1"/>
  <c r="AM24" i="1"/>
  <c r="L28" i="1"/>
  <c r="K36" i="1"/>
  <c r="AJ38" i="1"/>
  <c r="L50" i="1"/>
  <c r="H50" i="1"/>
  <c r="K53" i="1"/>
  <c r="AJ64" i="1"/>
  <c r="R64" i="1"/>
  <c r="AG64" i="1"/>
  <c r="AD64" i="1"/>
  <c r="AA64" i="1"/>
  <c r="AV64" i="1"/>
  <c r="AS64" i="1"/>
  <c r="U64" i="1"/>
  <c r="L16" i="1"/>
  <c r="L99" i="1"/>
  <c r="L93" i="1"/>
  <c r="L107" i="1"/>
  <c r="L108" i="1"/>
  <c r="L101" i="1"/>
  <c r="L95" i="1"/>
  <c r="L70" i="1"/>
  <c r="L65" i="1"/>
  <c r="L66" i="1"/>
  <c r="L10" i="1"/>
  <c r="AJ10" i="1"/>
  <c r="R24" i="1"/>
  <c r="AP24" i="1"/>
  <c r="AA27" i="1"/>
  <c r="K32" i="1"/>
  <c r="L36" i="1"/>
  <c r="H42" i="1"/>
  <c r="L47" i="1"/>
  <c r="AP51" i="1"/>
  <c r="R51" i="1"/>
  <c r="U51" i="1"/>
  <c r="AS51" i="1"/>
  <c r="AM51" i="1"/>
  <c r="AJ51" i="1"/>
  <c r="F64" i="1"/>
  <c r="X64" i="1"/>
  <c r="K106" i="1"/>
  <c r="K99" i="1"/>
  <c r="K93" i="1"/>
  <c r="K107" i="1"/>
  <c r="K100" i="1"/>
  <c r="K110" i="1"/>
  <c r="K103" i="1"/>
  <c r="K66" i="1"/>
  <c r="K92" i="1"/>
  <c r="K70" i="1"/>
  <c r="K54" i="1"/>
  <c r="K108" i="1"/>
  <c r="K101" i="1"/>
  <c r="K55" i="1"/>
  <c r="AG10" i="1"/>
  <c r="X11" i="1"/>
  <c r="AP16" i="1"/>
  <c r="X9" i="1"/>
  <c r="AJ9" i="1"/>
  <c r="AM10" i="1"/>
  <c r="H11" i="1"/>
  <c r="AA11" i="1"/>
  <c r="R13" i="1"/>
  <c r="R16" i="1"/>
  <c r="AS16" i="1"/>
  <c r="K22" i="1"/>
  <c r="H24" i="1"/>
  <c r="U24" i="1"/>
  <c r="AS24" i="1"/>
  <c r="F26" i="1"/>
  <c r="L32" i="1"/>
  <c r="L34" i="1"/>
  <c r="L35" i="1"/>
  <c r="K40" i="1"/>
  <c r="H40" i="1"/>
  <c r="K50" i="1"/>
  <c r="H51" i="1"/>
  <c r="K60" i="1"/>
  <c r="AV47" i="1"/>
  <c r="AA47" i="1"/>
  <c r="X47" i="1"/>
  <c r="L60" i="1"/>
  <c r="L67" i="1"/>
  <c r="AA74" i="1"/>
  <c r="AM82" i="1"/>
  <c r="AJ82" i="1"/>
  <c r="AG82" i="1"/>
  <c r="AD82" i="1"/>
  <c r="AV82" i="1"/>
  <c r="L100" i="1"/>
  <c r="F74" i="1"/>
  <c r="U77" i="1"/>
  <c r="K80" i="1"/>
  <c r="H81" i="1"/>
  <c r="AG88" i="1"/>
  <c r="AV88" i="1"/>
  <c r="AD88" i="1"/>
  <c r="AA88" i="1"/>
  <c r="X88" i="1"/>
  <c r="AP88" i="1"/>
  <c r="U88" i="1"/>
  <c r="AP100" i="1"/>
  <c r="R100" i="1"/>
  <c r="AM100" i="1"/>
  <c r="AJ100" i="1"/>
  <c r="AG100" i="1"/>
  <c r="AD100" i="1"/>
  <c r="AA100" i="1"/>
  <c r="AV100" i="1"/>
  <c r="X100" i="1"/>
  <c r="H100" i="1"/>
  <c r="X77" i="1"/>
  <c r="AS77" i="1"/>
  <c r="L79" i="1"/>
  <c r="AM80" i="1"/>
  <c r="AJ80" i="1"/>
  <c r="R82" i="1"/>
  <c r="L89" i="1"/>
  <c r="K89" i="1"/>
  <c r="H89" i="1"/>
  <c r="L106" i="1"/>
  <c r="AP107" i="1"/>
  <c r="H107" i="1"/>
  <c r="L76" i="1"/>
  <c r="K76" i="1"/>
  <c r="H76" i="1"/>
  <c r="F77" i="1"/>
  <c r="AA77" i="1"/>
  <c r="H80" i="1"/>
  <c r="U82" i="1"/>
  <c r="R88" i="1"/>
  <c r="AM89" i="1"/>
  <c r="AJ89" i="1"/>
  <c r="AG89" i="1"/>
  <c r="AD89" i="1"/>
  <c r="AA89" i="1"/>
  <c r="X89" i="1"/>
  <c r="AS100" i="1"/>
  <c r="F63" i="1"/>
  <c r="H66" i="1"/>
  <c r="K67" i="1"/>
  <c r="AM74" i="1"/>
  <c r="AG76" i="1"/>
  <c r="AD76" i="1"/>
  <c r="X76" i="1"/>
  <c r="AM76" i="1"/>
  <c r="AD77" i="1"/>
  <c r="AV77" i="1"/>
  <c r="AP80" i="1"/>
  <c r="K81" i="1"/>
  <c r="F85" i="1"/>
  <c r="R89" i="1"/>
  <c r="L53" i="1"/>
  <c r="H60" i="1"/>
  <c r="AP75" i="1"/>
  <c r="AG77" i="1"/>
  <c r="L80" i="1"/>
  <c r="L81" i="1"/>
  <c r="AA82" i="1"/>
  <c r="AJ88" i="1"/>
  <c r="U89" i="1"/>
  <c r="K95" i="1"/>
  <c r="R67" i="1"/>
  <c r="AV73" i="1"/>
  <c r="AS74" i="1"/>
  <c r="AA75" i="1"/>
  <c r="R80" i="1"/>
  <c r="AV80" i="1"/>
  <c r="AM88" i="1"/>
  <c r="AP89" i="1"/>
  <c r="AV67" i="1"/>
  <c r="AD73" i="1"/>
  <c r="AJ77" i="1"/>
  <c r="K79" i="1"/>
  <c r="L82" i="1"/>
  <c r="K82" i="1"/>
  <c r="H82" i="1"/>
  <c r="AS82" i="1"/>
  <c r="AS88" i="1"/>
  <c r="AM93" i="1"/>
  <c r="U96" i="1"/>
  <c r="AM99" i="1"/>
  <c r="AD103" i="1"/>
  <c r="F75" i="1"/>
  <c r="AM81" i="1"/>
  <c r="AD85" i="1"/>
  <c r="K86" i="1"/>
  <c r="L92" i="1"/>
  <c r="AG92" i="1"/>
  <c r="AP93" i="1"/>
  <c r="AM95" i="1"/>
  <c r="X96" i="1"/>
  <c r="AS96" i="1"/>
  <c r="R99" i="1"/>
  <c r="AP99" i="1"/>
  <c r="AJ101" i="1"/>
  <c r="L103" i="1"/>
  <c r="AG103" i="1"/>
  <c r="L110" i="1"/>
  <c r="AG85" i="1"/>
  <c r="AV85" i="1"/>
  <c r="L86" i="1"/>
  <c r="AJ92" i="1"/>
  <c r="U99" i="1"/>
  <c r="AS99" i="1"/>
  <c r="AJ103" i="1"/>
  <c r="U81" i="1"/>
  <c r="AS81" i="1"/>
  <c r="AM92" i="1"/>
  <c r="U95" i="1"/>
  <c r="AS95" i="1"/>
  <c r="AD96" i="1"/>
  <c r="X99" i="1"/>
  <c r="AV99" i="1"/>
  <c r="R101" i="1"/>
  <c r="AP101" i="1"/>
  <c r="AM103" i="1"/>
  <c r="H106" i="1"/>
  <c r="X81" i="1"/>
  <c r="R85" i="1"/>
  <c r="AJ85" i="1"/>
  <c r="R92" i="1"/>
  <c r="AP92" i="1"/>
  <c r="H95" i="1"/>
  <c r="X95" i="1"/>
  <c r="AV95" i="1"/>
  <c r="AG96" i="1"/>
  <c r="AA99" i="1"/>
  <c r="U101" i="1"/>
  <c r="AS101" i="1"/>
  <c r="R103" i="1"/>
  <c r="AP103" i="1"/>
  <c r="U85" i="1"/>
  <c r="U92" i="1"/>
  <c r="AS92" i="1"/>
  <c r="AJ96" i="1"/>
  <c r="AD99" i="1"/>
  <c r="U103" i="1"/>
  <c r="AS103" i="1"/>
  <c r="H108" i="1"/>
  <c r="X103" i="1"/>
  <c r="L27" i="1" l="1"/>
  <c r="K27" i="1"/>
  <c r="H88" i="1"/>
  <c r="K88" i="1"/>
  <c r="AD112" i="1"/>
  <c r="H96" i="1"/>
  <c r="H25" i="1"/>
  <c r="K96" i="1"/>
  <c r="L13" i="1"/>
  <c r="H73" i="1"/>
  <c r="K21" i="1"/>
  <c r="K25" i="1"/>
  <c r="K13" i="1"/>
  <c r="L21" i="1"/>
  <c r="H31" i="1"/>
  <c r="K31" i="1"/>
  <c r="AA112" i="1"/>
  <c r="K73" i="1"/>
  <c r="AS112" i="1"/>
  <c r="AP112" i="1"/>
  <c r="AM112" i="1"/>
  <c r="U112" i="1"/>
  <c r="R112" i="1"/>
  <c r="AG112" i="1"/>
  <c r="AV112" i="1"/>
  <c r="L77" i="1"/>
  <c r="K77" i="1"/>
  <c r="H77" i="1"/>
  <c r="L64" i="1"/>
  <c r="K64" i="1"/>
  <c r="H64" i="1"/>
  <c r="K15" i="1"/>
  <c r="L15" i="1"/>
  <c r="H15" i="1"/>
  <c r="AJ112" i="1"/>
  <c r="K63" i="1"/>
  <c r="H63" i="1"/>
  <c r="L63" i="1"/>
  <c r="X112" i="1"/>
  <c r="H75" i="1"/>
  <c r="L75" i="1"/>
  <c r="K75" i="1"/>
  <c r="L26" i="1"/>
  <c r="K26" i="1"/>
  <c r="H26" i="1"/>
  <c r="L74" i="1"/>
  <c r="K74" i="1"/>
  <c r="H74" i="1"/>
  <c r="K9" i="1"/>
  <c r="L9" i="1"/>
  <c r="H9" i="1"/>
  <c r="H85" i="1"/>
  <c r="L85" i="1"/>
  <c r="K85" i="1"/>
  <c r="H112" i="1" l="1"/>
  <c r="H123" i="1" s="1"/>
  <c r="J5" i="1"/>
  <c r="J75" i="1" l="1"/>
  <c r="N75" i="1" s="1"/>
  <c r="O75" i="1" s="1"/>
  <c r="J80" i="1"/>
  <c r="N80" i="1" s="1"/>
  <c r="O80" i="1" s="1"/>
  <c r="J86" i="1"/>
  <c r="N86" i="1" s="1"/>
  <c r="O86" i="1" s="1"/>
  <c r="J93" i="1"/>
  <c r="N93" i="1" s="1"/>
  <c r="O93" i="1" s="1"/>
  <c r="J100" i="1"/>
  <c r="N100" i="1" s="1"/>
  <c r="O100" i="1" s="1"/>
  <c r="J107" i="1"/>
  <c r="N107" i="1" s="1"/>
  <c r="O107" i="1" s="1"/>
  <c r="J51" i="1"/>
  <c r="N51" i="1" s="1"/>
  <c r="O51" i="1" s="1"/>
  <c r="J60" i="1"/>
  <c r="N60" i="1" s="1"/>
  <c r="O60" i="1" s="1"/>
  <c r="J9" i="1"/>
  <c r="N9" i="1" s="1"/>
  <c r="O9" i="1" s="1"/>
  <c r="J15" i="1"/>
  <c r="N15" i="1" s="1"/>
  <c r="O15" i="1" s="1"/>
  <c r="J21" i="1"/>
  <c r="N21" i="1" s="1"/>
  <c r="O21" i="1" s="1"/>
  <c r="J26" i="1"/>
  <c r="N26" i="1" s="1"/>
  <c r="O26" i="1" s="1"/>
  <c r="J32" i="1"/>
  <c r="N32" i="1" s="1"/>
  <c r="O32" i="1" s="1"/>
  <c r="J36" i="1"/>
  <c r="N36" i="1" s="1"/>
  <c r="O36" i="1" s="1"/>
  <c r="J42" i="1"/>
  <c r="J76" i="1"/>
  <c r="N76" i="1" s="1"/>
  <c r="O76" i="1" s="1"/>
  <c r="J88" i="1"/>
  <c r="N88" i="1" s="1"/>
  <c r="O88" i="1" s="1"/>
  <c r="J95" i="1"/>
  <c r="N95" i="1" s="1"/>
  <c r="O95" i="1" s="1"/>
  <c r="J108" i="1"/>
  <c r="N108" i="1" s="1"/>
  <c r="O108" i="1" s="1"/>
  <c r="J33" i="1"/>
  <c r="N33" i="1" s="1"/>
  <c r="O33" i="1" s="1"/>
  <c r="J20" i="1"/>
  <c r="N20" i="1" s="1"/>
  <c r="O20" i="1" s="1"/>
  <c r="J40" i="1"/>
  <c r="N40" i="1" s="1"/>
  <c r="O40" i="1" s="1"/>
  <c r="J43" i="1"/>
  <c r="J52" i="1"/>
  <c r="N52" i="1" s="1"/>
  <c r="O52" i="1" s="1"/>
  <c r="J56" i="1"/>
  <c r="N56" i="1" s="1"/>
  <c r="O56" i="1" s="1"/>
  <c r="J63" i="1"/>
  <c r="N63" i="1" s="1"/>
  <c r="O63" i="1" s="1"/>
  <c r="J67" i="1"/>
  <c r="N67" i="1" s="1"/>
  <c r="O67" i="1" s="1"/>
  <c r="J44" i="1"/>
  <c r="J81" i="1"/>
  <c r="N81" i="1" s="1"/>
  <c r="O81" i="1" s="1"/>
  <c r="J101" i="1"/>
  <c r="N101" i="1" s="1"/>
  <c r="O101" i="1" s="1"/>
  <c r="J38" i="1"/>
  <c r="N38" i="1" s="1"/>
  <c r="O38" i="1" s="1"/>
  <c r="J45" i="1"/>
  <c r="J28" i="1"/>
  <c r="N28" i="1" s="1"/>
  <c r="O28" i="1" s="1"/>
  <c r="J25" i="1"/>
  <c r="N25" i="1" s="1"/>
  <c r="O25" i="1" s="1"/>
  <c r="J35" i="1"/>
  <c r="N35" i="1" s="1"/>
  <c r="O35" i="1" s="1"/>
  <c r="J10" i="1"/>
  <c r="N10" i="1" s="1"/>
  <c r="O10" i="1" s="1"/>
  <c r="J16" i="1"/>
  <c r="N16" i="1" s="1"/>
  <c r="O16" i="1" s="1"/>
  <c r="J22" i="1"/>
  <c r="N22" i="1" s="1"/>
  <c r="O22" i="1" s="1"/>
  <c r="J27" i="1"/>
  <c r="N27" i="1" s="1"/>
  <c r="O27" i="1" s="1"/>
  <c r="J47" i="1"/>
  <c r="N47" i="1" s="1"/>
  <c r="O47" i="1" s="1"/>
  <c r="J53" i="1"/>
  <c r="N53" i="1" s="1"/>
  <c r="O53" i="1" s="1"/>
  <c r="J57" i="1"/>
  <c r="N57" i="1" s="1"/>
  <c r="O57" i="1" s="1"/>
  <c r="J64" i="1"/>
  <c r="N64" i="1" s="1"/>
  <c r="O64" i="1" s="1"/>
  <c r="J70" i="1"/>
  <c r="J73" i="1"/>
  <c r="N73" i="1" s="1"/>
  <c r="O73" i="1" s="1"/>
  <c r="J77" i="1"/>
  <c r="N77" i="1" s="1"/>
  <c r="O77" i="1" s="1"/>
  <c r="J82" i="1"/>
  <c r="N82" i="1" s="1"/>
  <c r="O82" i="1" s="1"/>
  <c r="J89" i="1"/>
  <c r="N89" i="1" s="1"/>
  <c r="O89" i="1" s="1"/>
  <c r="J96" i="1"/>
  <c r="N96" i="1" s="1"/>
  <c r="O96" i="1" s="1"/>
  <c r="J103" i="1"/>
  <c r="N103" i="1" s="1"/>
  <c r="O103" i="1" s="1"/>
  <c r="J110" i="1"/>
  <c r="N110" i="1" s="1"/>
  <c r="O110" i="1" s="1"/>
  <c r="J11" i="1"/>
  <c r="N11" i="1" s="1"/>
  <c r="O11" i="1" s="1"/>
  <c r="J17" i="1"/>
  <c r="N17" i="1" s="1"/>
  <c r="O17" i="1" s="1"/>
  <c r="J24" i="1"/>
  <c r="N24" i="1" s="1"/>
  <c r="O24" i="1" s="1"/>
  <c r="J34" i="1"/>
  <c r="N34" i="1" s="1"/>
  <c r="O34" i="1" s="1"/>
  <c r="J39" i="1"/>
  <c r="N39" i="1" s="1"/>
  <c r="O39" i="1" s="1"/>
  <c r="J55" i="1"/>
  <c r="N55" i="1" s="1"/>
  <c r="O55" i="1" s="1"/>
  <c r="J66" i="1"/>
  <c r="N66" i="1" s="1"/>
  <c r="O66" i="1" s="1"/>
  <c r="J50" i="1"/>
  <c r="N50" i="1" s="1"/>
  <c r="O50" i="1" s="1"/>
  <c r="J54" i="1"/>
  <c r="N54" i="1" s="1"/>
  <c r="O54" i="1" s="1"/>
  <c r="J58" i="1"/>
  <c r="N58" i="1" s="1"/>
  <c r="O58" i="1" s="1"/>
  <c r="J65" i="1"/>
  <c r="N65" i="1" s="1"/>
  <c r="O65" i="1" s="1"/>
  <c r="J74" i="1"/>
  <c r="N74" i="1" s="1"/>
  <c r="O74" i="1" s="1"/>
  <c r="J79" i="1"/>
  <c r="N79" i="1" s="1"/>
  <c r="O79" i="1" s="1"/>
  <c r="J85" i="1"/>
  <c r="N85" i="1" s="1"/>
  <c r="O85" i="1" s="1"/>
  <c r="J92" i="1"/>
  <c r="N92" i="1" s="1"/>
  <c r="O92" i="1" s="1"/>
  <c r="J99" i="1"/>
  <c r="N99" i="1" s="1"/>
  <c r="O99" i="1" s="1"/>
  <c r="J106" i="1"/>
  <c r="N106" i="1" s="1"/>
  <c r="O106" i="1" s="1"/>
  <c r="J13" i="1"/>
  <c r="N13" i="1" s="1"/>
  <c r="O13" i="1" s="1"/>
  <c r="J31" i="1"/>
  <c r="N31" i="1" s="1"/>
  <c r="O31" i="1" s="1"/>
  <c r="O122" i="1"/>
  <c r="O114" i="1"/>
  <c r="O117" i="1" s="1"/>
  <c r="O112" i="1" l="1"/>
</calcChain>
</file>

<file path=xl/comments1.xml><?xml version="1.0" encoding="utf-8"?>
<comments xmlns="http://schemas.openxmlformats.org/spreadsheetml/2006/main">
  <authors>
    <author>Usuario</author>
  </authors>
  <commentList>
    <comment ref="B121" authorId="0" shapeId="0">
      <text>
        <r>
          <rPr>
            <b/>
            <sz val="9"/>
            <color indexed="81"/>
            <rFont val="Tahoma"/>
            <family val="2"/>
          </rPr>
          <t>Usuario:</t>
        </r>
        <r>
          <rPr>
            <sz val="9"/>
            <color indexed="81"/>
            <rFont val="Tahoma"/>
            <family val="2"/>
          </rPr>
          <t xml:space="preserve">
ES UN VALOR REEMBOLSABLE QUE SÓLO SE PAGARÁ DE ACUERDO AL COSTO REAL DE LAS PÓLIZAS ADQUIRIDAS</t>
        </r>
      </text>
    </comment>
  </commentList>
</comments>
</file>

<file path=xl/sharedStrings.xml><?xml version="1.0" encoding="utf-8"?>
<sst xmlns="http://schemas.openxmlformats.org/spreadsheetml/2006/main" count="427" uniqueCount="260">
  <si>
    <t>CANCHA POLIDEPORTIVA N 1 SANTA LUCIA</t>
  </si>
  <si>
    <t>CANCHA POLIDEPORTIVA N 2 SANTA LUCIA</t>
  </si>
  <si>
    <t>CANCHA DE BALONCESTO LA PRADERA PARTE BAJA</t>
  </si>
  <si>
    <t>CANCHA DE MICROFUTBOL LA PRADERA PARTE BAJA</t>
  </si>
  <si>
    <t>CANCHA DE MICROFUTBOL EL SOCORRO LOS ANGELES</t>
  </si>
  <si>
    <t>CANCHA DE MINIFUTBOL CUATRO ESQUINAS PARTE ALTA</t>
  </si>
  <si>
    <t>CANCHA POLIDEPORTIVA EL TERESIANO</t>
  </si>
  <si>
    <t>CANCHA POLIDEPORTIVA LOS ALCAZARES</t>
  </si>
  <si>
    <t>CANCHA POLIDEPORTIVA CALAZANIA</t>
  </si>
  <si>
    <t>CANCHA DE BALONCESTO LOS ALCAZARES</t>
  </si>
  <si>
    <t>CANCHA POLIDEPORTIVA SANTA ROSA DE LIMA</t>
  </si>
  <si>
    <t>OBJETO:</t>
  </si>
  <si>
    <t>ITEM</t>
  </si>
  <si>
    <t>ITEM REF</t>
  </si>
  <si>
    <t>DESCRIPCIÓN</t>
  </si>
  <si>
    <t>UND</t>
  </si>
  <si>
    <t>CANT</t>
  </si>
  <si>
    <t>COSTO UNT.</t>
  </si>
  <si>
    <t>COSTO TOTAL</t>
  </si>
  <si>
    <t>A</t>
  </si>
  <si>
    <t>I</t>
  </si>
  <si>
    <t>U</t>
  </si>
  <si>
    <t>COSTO UNT. Inc AIU</t>
  </si>
  <si>
    <t>COSTO TOTAL Inc AIU</t>
  </si>
  <si>
    <t>CANT. PARCIAL</t>
  </si>
  <si>
    <t>VALOR PARCIAL</t>
  </si>
  <si>
    <t>PRELIMINARES</t>
  </si>
  <si>
    <t>1.1</t>
  </si>
  <si>
    <t>CAMPAMENTO Y PROVISIONALES</t>
  </si>
  <si>
    <t>1.1.1</t>
  </si>
  <si>
    <t>1.1.2</t>
  </si>
  <si>
    <t>1.1.3</t>
  </si>
  <si>
    <t>1.2</t>
  </si>
  <si>
    <t>TOPOGRAFIA Y REPLANTEO</t>
  </si>
  <si>
    <t>1.2.1</t>
  </si>
  <si>
    <t>1.3</t>
  </si>
  <si>
    <t>LIMPIEZA Y ROCERIA</t>
  </si>
  <si>
    <t>1.3.1</t>
  </si>
  <si>
    <t>1.3.2</t>
  </si>
  <si>
    <t>1.3.3</t>
  </si>
  <si>
    <t>RETIROS, DESMONTES Y DEMOLICIONES</t>
  </si>
  <si>
    <t>2.1</t>
  </si>
  <si>
    <t>RETIROS</t>
  </si>
  <si>
    <t>2.1.1</t>
  </si>
  <si>
    <t>2.1.2</t>
  </si>
  <si>
    <t>2.1.3</t>
  </si>
  <si>
    <t>2.2</t>
  </si>
  <si>
    <t>DEMOLICIONES</t>
  </si>
  <si>
    <t>2.2.1</t>
  </si>
  <si>
    <t>2.2.2</t>
  </si>
  <si>
    <t>2.2.3</t>
  </si>
  <si>
    <t>2.2.4</t>
  </si>
  <si>
    <t>2.2.5</t>
  </si>
  <si>
    <t>EXCAVACIONES Y LLENOS Y FILTROS</t>
  </si>
  <si>
    <t>3.1</t>
  </si>
  <si>
    <t>EXCAVACIONES</t>
  </si>
  <si>
    <t>3.1.1</t>
  </si>
  <si>
    <t>3.1.2</t>
  </si>
  <si>
    <t>3.1.3</t>
  </si>
  <si>
    <t>3.1.4</t>
  </si>
  <si>
    <t>3.1.5</t>
  </si>
  <si>
    <t>3.1.6</t>
  </si>
  <si>
    <t>3.2</t>
  </si>
  <si>
    <t>LLENOS</t>
  </si>
  <si>
    <t>3.2.1</t>
  </si>
  <si>
    <t>3.2.2</t>
  </si>
  <si>
    <t>3.2.3</t>
  </si>
  <si>
    <t>3.3</t>
  </si>
  <si>
    <t>FILTROS</t>
  </si>
  <si>
    <t>3.3.1</t>
  </si>
  <si>
    <t>3.3.2</t>
  </si>
  <si>
    <t>3.3.3</t>
  </si>
  <si>
    <t>3.3.4</t>
  </si>
  <si>
    <t>3.4</t>
  </si>
  <si>
    <t>TRANSPORTES</t>
  </si>
  <si>
    <t>3.4.1</t>
  </si>
  <si>
    <t>CONCRETOS</t>
  </si>
  <si>
    <t>4.1</t>
  </si>
  <si>
    <t>CONCRETOS 21MPA</t>
  </si>
  <si>
    <t>4.1.1</t>
  </si>
  <si>
    <t>4.1.2</t>
  </si>
  <si>
    <t>4.1.3</t>
  </si>
  <si>
    <t>4.1.4</t>
  </si>
  <si>
    <t>4.1.5</t>
  </si>
  <si>
    <t>4.1.6</t>
  </si>
  <si>
    <t>4.1.7</t>
  </si>
  <si>
    <t>4.1.8</t>
  </si>
  <si>
    <t>4.1.9</t>
  </si>
  <si>
    <t>4.2</t>
  </si>
  <si>
    <t>CONCRETOS 17.5MPA</t>
  </si>
  <si>
    <t>4.2.1</t>
  </si>
  <si>
    <t>CARPINTERIA METÁLICA</t>
  </si>
  <si>
    <t>5.1</t>
  </si>
  <si>
    <t xml:space="preserve">CERRAMIENTOS </t>
  </si>
  <si>
    <t>5.1.1</t>
  </si>
  <si>
    <t>5.1.2</t>
  </si>
  <si>
    <t>5.1.3</t>
  </si>
  <si>
    <t>5.1.4</t>
  </si>
  <si>
    <t>5.1.5</t>
  </si>
  <si>
    <t>CARPINTERÍA MADERA</t>
  </si>
  <si>
    <t>6.1</t>
  </si>
  <si>
    <t>6.1.1</t>
  </si>
  <si>
    <t>ESCENARIO DEPORTIVO</t>
  </si>
  <si>
    <t>8.1</t>
  </si>
  <si>
    <t>SUPERFICIE DE JUEGO</t>
  </si>
  <si>
    <t>8.1.1</t>
  </si>
  <si>
    <t>8.1.2</t>
  </si>
  <si>
    <t>8.1.3</t>
  </si>
  <si>
    <t>8.1.4</t>
  </si>
  <si>
    <t>8.1.5</t>
  </si>
  <si>
    <t>8.2</t>
  </si>
  <si>
    <t>SUMINISTROS Y MANTENIMIENTOS EQUIPAMENTO DEPORTIVO</t>
  </si>
  <si>
    <t>8.2.1</t>
  </si>
  <si>
    <t>8.2.2</t>
  </si>
  <si>
    <t>8.2.3</t>
  </si>
  <si>
    <t>8.2.4</t>
  </si>
  <si>
    <t>9</t>
  </si>
  <si>
    <t>PINTURAS Y RESANES</t>
  </si>
  <si>
    <t>9.1</t>
  </si>
  <si>
    <t>RESANES</t>
  </si>
  <si>
    <t>9.1.1</t>
  </si>
  <si>
    <t>9.1.2</t>
  </si>
  <si>
    <t>9.2</t>
  </si>
  <si>
    <t>PINTURAS</t>
  </si>
  <si>
    <t>9.2.1</t>
  </si>
  <si>
    <t>9.2.2</t>
  </si>
  <si>
    <t>10</t>
  </si>
  <si>
    <t>URBANISMOS</t>
  </si>
  <si>
    <t>10.1</t>
  </si>
  <si>
    <t>COMPONENTE ARBOREO</t>
  </si>
  <si>
    <t>10.1.1</t>
  </si>
  <si>
    <t>10.1.2</t>
  </si>
  <si>
    <t>10.2</t>
  </si>
  <si>
    <t>PREFABRICADOS</t>
  </si>
  <si>
    <t>10.2.1</t>
  </si>
  <si>
    <t>10.2.2</t>
  </si>
  <si>
    <t>11</t>
  </si>
  <si>
    <t>SEÑALIZACION</t>
  </si>
  <si>
    <t>11.1</t>
  </si>
  <si>
    <t>VALLAS INSTITUCIONALES</t>
  </si>
  <si>
    <t>11.1.1</t>
  </si>
  <si>
    <t>11.1.2</t>
  </si>
  <si>
    <t>11.1.3</t>
  </si>
  <si>
    <t>11.2</t>
  </si>
  <si>
    <t>VALLA DE OBRA</t>
  </si>
  <si>
    <t>11.2.1</t>
  </si>
  <si>
    <t>REDES HUMEDAS</t>
  </si>
  <si>
    <t>12.1</t>
  </si>
  <si>
    <t>ALCANTARILLADO EXTERNO/RESIDUALES/LLUVIA</t>
  </si>
  <si>
    <t>12.1.1</t>
  </si>
  <si>
    <t>12.1.2</t>
  </si>
  <si>
    <t>12.1.3</t>
  </si>
  <si>
    <t>VARIOS</t>
  </si>
  <si>
    <t>VIG</t>
  </si>
  <si>
    <t>Total Costos Directos</t>
  </si>
  <si>
    <t>Total Costos Directos Incluido el AIU</t>
  </si>
  <si>
    <t>Total</t>
  </si>
  <si>
    <t>Administración</t>
  </si>
  <si>
    <t>Imprevistos</t>
  </si>
  <si>
    <t>Utilidad</t>
  </si>
  <si>
    <t>TOTAL AIU</t>
  </si>
  <si>
    <t>Presupuesto Ambiental</t>
  </si>
  <si>
    <t>Presupuesto de Gestión Social</t>
  </si>
  <si>
    <t>Presupuesto Seguridad y Salud en el Trabajo</t>
  </si>
  <si>
    <t>Provisión para el pago de las primas de Pólizas (Garantías)</t>
  </si>
  <si>
    <t>VALOR TOTAL DE LA OBRA</t>
  </si>
  <si>
    <t>INSTALACION DE CERRAMIENTO PROVISIONAL en tela verde polietileno de alta densidad y resistencia 65 gr/m2, con una altura de 2,10 m., estacones de madera común para fijación vertical de altura de 2,50 m puesto mínimo cada 2,0 m y para apuntalamiento mínimo cada 10 m y cada cambio de dirección, arranques y terminación, diámetro aproximado 0,10 m, elementos de fijación. Incluye suministro, transporte, instalación, excavación, concreto de fundación preparado en Obra de 17.5 Mpa - 2500 psi, diámetro aproximado 0,30 m y profundidad aproximada 0,50 m, cable o alambre tensor parte inferior y superior horizontal, mantenimiento, desmonte y todos los demás elementos necesarios para su correcta instalación y operación. Cargue, transporte y botada de material sobrante en botaderos oficiales.</t>
  </si>
  <si>
    <t>m</t>
  </si>
  <si>
    <t>Alquiler de campamento y/o bodega, debe incluir bateria sanitaria, servicio de agua, luz, linea telefonica, ventilacion e iluminacion adecuada, contar con el area adecuada de acuerdo al personal contratado. Incluye almacenista</t>
  </si>
  <si>
    <t>mes</t>
  </si>
  <si>
    <t>INSTALACION PROVISIONAL DE ENERGIA. Incluye suministro e instalacion de caja doble para contador, contador, proteccion 2x40A, linea de tierra, acometida electrica en cable antifraude, conexión a poste, tramite ante APM, declaracin de cumplimiento, matriz de riesgo y todo lo necesario para correcta puesta en marcha y servicio.</t>
  </si>
  <si>
    <t>global</t>
  </si>
  <si>
    <t>Localización, trazado y replanteo del proyecto. Se utilizará equipo de precisión, personal experto. Se hará con la frecuencia que lo indique la interventoría. Incluye demarcación con pintura, línea de trazado, corte de piso, libretas, planos.</t>
  </si>
  <si>
    <t>día</t>
  </si>
  <si>
    <t>Desmonte ,rocería y limpieza, Incluye cargue, transporte y botada de material en botaderos oficiales o donde indique la interventoría, hasta cualquier altura de la vegetación, incluye desenraice  de la grama existente  hasta la altura de la  superficie  de la cancha y de diámetro inferiores a 10 cm. La rocería se realizará a ras de piso. Se utilizará guadaña o machete.</t>
  </si>
  <si>
    <t>m2</t>
  </si>
  <si>
    <t xml:space="preserve">Limpieza de cajas y/o sumideros manualmente. Incluye acarreo interno, cargue, transporte botada de material producto de la actividad y todo lo necesario para correcta ejecución de la actividad.  </t>
  </si>
  <si>
    <t xml:space="preserve">un </t>
  </si>
  <si>
    <t xml:space="preserve">Limpieza de cunetas, incluye: Acarreo interno, cargue, transporte y botada de escombros y material producto de la actividad y todo lo necesario para la correcta ejecución de la actividad.  </t>
  </si>
  <si>
    <t xml:space="preserve">RETIRO DE VALLA INSTITUCIONAL. Incluye amarres a la malla existente y todos los demás elementos necesarios para su efectivo retiro, recuperación del material aprovechable y su transporte hasta el sitio que indique la interventoría, cargue, transporte y botada del material proveniente de la demolición y que no se pueda recuperar, en botaderos oficiales o donde indique la interventoría. </t>
  </si>
  <si>
    <t>RETIRO DE CERRAMIENTO EN MALLA ESLABONADA EXISTENTE. Altura variable. INCLUYE las siguientes actividades: - Desmonte y retiro de malla eslabonada, retiro de tubería galvanizada, postes, vientos y diagonales, retiro de platinas y ángulos existentes, demolición de concreto y pisamallas y otros, acarreo interno y externo, cargue, transporte y botada de escombros, recuperación de los materiales aprovechables o su transporte hasta el sitio que lo indique la interventoría y su disposición final en botaderos oficiales. Incluye andamio multidireccional. Donde se requiera, se debe utilizar equipo y personal certificado para trabajo en alturas.</t>
  </si>
  <si>
    <t>RETIRO DE TUBERÍA DE AGUAS RESIDUALES y/o LLUVIAS enterradas. Incluye el cargue y transporte de los materiales aprovechables hasta la bodega o donde lo indique la interventoría</t>
  </si>
  <si>
    <t>Demolición de cárcamos y cunetas en concreto, cargue, transporte y botada de escombros, manual o mecánicamente, desarrollo máximo de 0.70m. Incluye compresor neumático con martillo, retiro de refuerzo e instalaciones embebidas. Además recuperación de los materiales aprovechables o su transporte hasta el sitio que lo indique la interventoría.</t>
  </si>
  <si>
    <t>Demolición de pavimento asfaltico, cargue, transporte y botada de escombros, hasta espesores de 4". Incluye corte con máquina de disco según trazado y compresor neumático con martillo, además recuperación de los materiales aprovechables o su transporte hasta el sitio que lo indique la interventoría.</t>
  </si>
  <si>
    <t xml:space="preserve">DESTRONCADA DE SUPERFICIE PARA PULIDA DE PISO EN CONCRETO EXISTENTE. Incluye retiro  por completo de la pintura actual de la superficie incluyendo la demarcacion existente en el piso por medios mecanicos y/o quimicos, garantizar minimo un perfil de rugosidad de 3 mm CSP 5 según norma ICRI 03732, el aseo general de la superficie y el estado optimo para la aplicación del recubrimiento del piso. </t>
  </si>
  <si>
    <t>DEMOLICIÓN DE ANDENES O PISOS, cargue, transporte y botada de escombros de ESPESOR MÁXIMO DE 0.10 a 0.15m, en CONCRETO. Incluye retiro de cordones, retiro de enchape (baldosa, baldosín forros en arenón, madera, vinilo, granito esmerilado, concreto, pisos en gres, entre otros), placa de concreto si existe, entresuelo de recebo; retiro y reinstalación de tapas de medidores de acueducto en cualquier diámetro, tapas de energía y tapas cajas de teléfono. Incluye compresor neumático con martillo, además recuperación de los materiales aprovechables o su transporte hasta el sitio que lo indique la interventoría.</t>
  </si>
  <si>
    <t>DEMOLICIÓN CAJAS DE CONCRETO Y/O BLOQUE DE CONCRETO, hasta de 0.60 x 0.60m y espesor hasta 0.20 m., y una profundidad de 1,20, compresor neumático con martillo, punta y operador. Incluye cargue, transporte y botada de escombros o material proveniente de la actividad, en los sitios donde lo indique la interventoría y su disposición final en botaderos oficiales, retiro de herraje y refuerzo, paredes y piso, tapas, cordones, retiro de enchape de cualquier tipo de material, entresuelo. Recuperación de los materiales aprovechables o su transporte hasta el sitio que lo indique la interventoría.</t>
  </si>
  <si>
    <t>m3</t>
  </si>
  <si>
    <t>EXCAVACIÓN MANUAL de material heterogéneo, bajo cualquier grado de humedad. Incluye: roca descompuesta, bolas de roca de volumen inferior a 0.35 m³., cargue, transporte interno y externo, botada de material proveniente de las excavaciones en los sitios donde lo indique la interventoría  y su disposición final en botaderos oficiales.Medida será en el sitio. No incluye entibado. De 0.00 a 2.00 m.</t>
  </si>
  <si>
    <t>CORTE DE TALUD MECANICO en material heterogéneo, con una altura variable medido en sitio. Incluye cargue, transporte y botada de material en botaderos oficiales.</t>
  </si>
  <si>
    <t>EXCAVACIÓN PARA PILAS DE 0,0 a 2,0 m de profundidad con DIÁMETRO EXTERIOR DE 1,40 m, en material heterogéneo, con piedras de hasta 0.05 m³. Incluye anillos de revestimiento en concreto de 17.5 MPa. con espesor de 10 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SERÁ EN SITIO.</t>
  </si>
  <si>
    <t>EXCAVACIÓN PARA PILAS DE 2,0 a 4,0 m de profundidad con DIÁMETRO EXTERIOR DE 1,40 m, en material heterogéneo, con piedras de hasta 0.05 m³. Incluye anillos de revestimiento en concreto de 17.5 MPa. con espesor de 10 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SERÁ EN SITIO.</t>
  </si>
  <si>
    <t>EXCAVACIÓN PARA PILAS DE 4,0 a 6,0 m de profundidad con DIÁMETRO EXTERIOR DE 1,40 m, en material heterogéneo, con piedras de hasta 0.05 m³. Incluye anillos de revestimiento en concreto de 17.5 MPa. con espesor de 10 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SERÁ EN SITIO.</t>
  </si>
  <si>
    <t>EXCAVACIÓN PARA PILAS DE 6,0 a 8,0 m de profundidad con DIÁMETRO EXTERIOR DE 1,40 m, en material heterogéneo, con piedras de hasta 0.05 m³. Incluye anillos de revestimiento en concreto de 17.5 MPa. con espesor de 10 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SERÁ EN SITIO.</t>
  </si>
  <si>
    <t>Suministro, transporte y colocación de base granular de máximo Ø 1½", reacomodado con medios mecánicos y compactado al  98% mínimo del ensayo del proctor modificado, según normas para la construcción de pavimentos en el Valle de Aburrá, y todo lo necesario para su correcta construcción y funcionamiento Su medida sera tomada en sitio ya compactado, debe cumplir con los requisitos de invias 301</t>
  </si>
  <si>
    <t>LLENOS EN ARENILLA, compactados mecánicamente hasta obtener una densidad del 98% de la máxima obtenida en el ensayo del Proctor modificado. Incluye el suministro, transporte, colocación de la arenilla, la compactación de la misma y transporte interno. Y su medida será en sitio ya compactado.</t>
  </si>
  <si>
    <t>LLENOS EN MATERIAL PROVENIENTES DE LA EXCAVACIÓN, compactados mecánicamente hasta obtener una densidad del 95% de la máxima obtenida en el ensayo del Proctor modificado. Incluye transporte interno. Su medida será en sitio ya compactado.</t>
  </si>
  <si>
    <t>Instalación de GEODREN CIRCULAR TB 100 mm tipo PAVCO o equivalente, h=2 m. Incluye suministro y transporte de los materiales, tubería de filtro perforada de Ø= 100mm. tipo PAVCO o equivalente, traslapos, costuras y todos los elementos necesarios para su correcta instalación y funcionamiento. Según diseño.</t>
  </si>
  <si>
    <t>Suministro e instalación de manto permanente TRM 500 para protección de taludes.  Incluye suministro y aplicación de lodo fertilizado con semillas vegetativas y fijación e instalación del manto permanente con grapas en varilla de acero corrugado. La excavación de las zanjas de anclaje se pagará en su ítem respectivo.</t>
  </si>
  <si>
    <t xml:space="preserve">CARGUE MANUAL, TRANSPORTE Y BOTADA de  material proveniente de las EXPLANACIONES, EXCAVACIONES Y VOLADURAS DE ROCA. Incluye transportes internos, paleros, derecho de botadero. Se debe hacer en botaderos oficiales autorizados por la entidad competente o hasta el sitio que indique la interventoría. Su medida será en sitio. </t>
  </si>
  <si>
    <t>Construcción de obra civil para cerramientos, incluye: construcción de viga de fundación de 0,30x0,30m. en concreto de 21 MPA., reforzadas con 4 varillas de 1/2" y estribos de 3/8" cada 0,20 m., construcción de columnetas de 0,20m.x0,20m. en concreto de 21 MPA., reforzadas con 4 varillas de 1/2" y estribos 3/8" cada 0,20 m. acabado a la vista, muro en bloque de concreto de 0,20x0,20x0,40m. ranurado ambas caras relleno con mortero 1:5, colocación de varillas de 1/2" (pelos) , de viga de remate en concreto de 21 MPA., de 0,20x0,20-0,15m., reforzado con 3 varillas de 1/2" y estribos cada 0,20 m de 3/8". con junta entre el bloque y la viga de remate, acabado a la vista, incluye todo lo necesario para su correcta instalación y funcionamiento, según diseño.</t>
  </si>
  <si>
    <t>Construcción de CUNETA EN "V" o "U" en concreto de 21 Mpa., DESARROLLO DE 0.50 m., ESPESOR DE 0.08 m. Incluye suministro, transporte y colocación del concreto, material granular apto para filtro con un espesor de 20 cm. y todos los demás elementos necesarios para su correcta construcción. Según diseño. La excavación y llenos se pagarán en su ítem respectivo.</t>
  </si>
  <si>
    <t>Construcción de PISO EN CONCRETO DE 21 Mpa, con un ESPESOR DE 12cm. Incluye el suministro y el transporte del concreto, malla electrosoldada D-50, juntas de 5X5 mm con cortadora de disco, acabado llaneado,entresuelo en piedra (e=0,15 m.) y polietileno de baja densidad, cal. 4 y todos los demás elementos necesarios para su correcta construcción y funcionamiento.</t>
  </si>
  <si>
    <t>Suministro, transporte y colocación de concreto de 21 Mpa para cordón de confinamiento de anden o placa de concreto de 0.15 x 0.35 m. Incluye: acero de refuerzo 2 varillas de 3/8" longitudinalmente y estribos de 1/4" cada 0.20 m, formaleta para acabado a la vista tipo súper T de 19 mm donde sea necesario y todo lo necesario para su correcta construcción y funcionamiento</t>
  </si>
  <si>
    <t>Construcción de PILAS en concreto PREMEZCLADO de 21 MPa. Incluye suministro, transporte, bombeo con autobomba y colocación del concreto, mano de obra, vibrado, protección, para estructuras de acuerdo con las diferentes dimensiones establecidas en los planos y diseños y todos los demás elementos necesarios para su correcto vaciado. El acero de refuerzo se pagará en su ítem correspondiente.</t>
  </si>
  <si>
    <t>Construcción de VIGA DE FUNDACIÓN y DADOS DE FUNDACIÓN en concreto PREMEZCLADO de 21 MPa. Incluye el suministro y transporte del concreto, mano de obra, vibrado, protección y curado, para estructuras de acuerdo con las diferentes dimensiones establecidas en los planos y diseños. No incluye refuerzo.</t>
  </si>
  <si>
    <t>Construcción de CUNETA SEMICIRCULAR en concreto de 21 MPa, DIÁMETRO DE 0.30 m,  ALTURA DE 0.15 m y ESPESOR DE 0.08 m. Incluye suministro, transporte y colocación del concreto, entresuelo en piedra e=0.15 m y arenilla 0.05 m compactadas, acero de refuerzo, rejilla en polipropileno y todos los demás elementos necesarios para su correcta instalación, según diseño. La excavación se pagará en su ítem respectivo.</t>
  </si>
  <si>
    <t>Construcción de CUNETA SEMICIRCULAR en concreto de 21 MPa, DIÁMETRO DE 0.30 m,  ALTURA DE 0.15 m y ESPESOR DE 0.08 m. Incluye suministro, transporte y colocación del concreto, entresuelo en piedra e=0.15 m y arenilla 0.05 m compactadas, acero de refuerzo y todos los demás elementos necesarios para su correcta instalación, según diseño. La excavación se pagará en su ítem respectivo.</t>
  </si>
  <si>
    <t>Construcción de ANDÉN en concreto de 21 MPa, espesor de 0.10 m. Incluye suministro y transporte de los materiales, Malla electrosoldada D84; juntas para andenes de 5X5 mm con cortadora de disco, soporte fondo de junta, sellante de juntas elastomérico de poliuretano, acabado escobillado y llaneado 0.10m en los bordes, entresuelo en piedra (e=0,15 m.), arenilla compactada (e=0,05 m) y polietileno y todos los demás elementos necesarios para su correcta construcción. Se ejecutarán los rebajes que sean necesarios para garantizar el acceso de los discapacitados y hasta una huellas y una contrahuella necesarias en los lugares que indique la interventoría. Las excavaciones o descapotes se pagarán en su ítem respectivo.</t>
  </si>
  <si>
    <t>Colocación de concreto de 17.5 MPa para SOLADO, con un espesor DE 0.05 m. Incluye el suministro y el transporte del concreto y todos los demás elementos necesarios para su correcta construcción, incluye acarreo interno.</t>
  </si>
  <si>
    <t>Mantenimiento de Puerta-Malla peatonal  Incluye: cambio de los materiales que se encuentran en mal estado asì :tubería galvanizada en caliente de 2", calibre 14, ángulo ¾"x¾"⅛", platina de 5/8"x⅛", malla galvanizada ojo N°4 calibre 10.5, picaporte, pasadores, candado uso pesado, aplicación de soldadura 6011 en cordones completos no en puntos, retiro de escorias, lijada, aplicación de anticorrosivo cromato de zinc verde pintuco o similar y aplicación de pintura a base de aceite (2 manos),  según diseño.</t>
  </si>
  <si>
    <t>Mantenimiento de cerramiento en malla eslabonada,  alturas diferentes a h=3,00 m, h=5,00 y h=7,00 m, incluye las siguientes actividades:
- Demolición de pisamalla,  incluye cargue, transporte y botada de escombros, recuperación de los materiales aprovechables o su transporte hasta el sitio que lo indique la interventoría.
- Retiro de tuberia en mal estado y/o solicitada por la supervision, varilla Nº3, malla galvanizada y varilla Nº2, incluye cargue, transporte y botada de escombros, recuperación de los materiales aprovechables o su transporte hasta el sitio que lo indique la interventoría.
Incluye el suministro, transporte e instalación de:
- Malla galvanizada cal. 10 ojo N°5 y/o N°4, amarres con alambre galvanizado calibre 12, del cual sus puntas deben quedar paralelas a la malla, cada 30 cm.
- Varilla Nº2 para coser la malla.
- Tuberia galvanizada en caliente Ø 2", calibre 14, para reposición de tuberia en mal estado y/o faltantes (inferior, intermedio, superior, postes, diagonales y vientos); según indicaciones de la interventoría.
- Tuberia galvanizada de 1  1/4" para almas de 0,20 cm                                                                                                                                                                                                                                                        - Platina de 1½"x⅛".
- Soldadura 6011 en cordones completos tope a tope y no en puntos, retiro de escorias.
- Alerta con pintura amarilla en vientos que dan a espacios de circulacion
-  Preparación de las superficies a intervenir (tubos y platinas), lijada, aplicación de desoxidante, de anticorrosivo y acabado en pintura esmalte para exteriores (2 manos), gris plata o aluminio a satisfacción de la interventoría, incluye andamio multidireccional y todo lo necesario para el desarrollo de la actividad, según indicaciones de interventoría, de acuerdo con los diseño.</t>
  </si>
  <si>
    <t>Realce de cerramiento en malla eslabonada altura 2,0m., incluye el suministro, transporte e instalación de: - Malla galvanizada cal. 10 ojo N°5. para el tramo a realzar. - Varilla Nº2 para coser la malla. - Tubería galvanizada en caliente Ø 2", calibre 14, inferior doble, superior, postes, vientos y diagonales formando rombos según diseño, (si es necesario se corregirá la modulación existente para cumplir con el diseño) todo los cortes de la tubería deben realizarse en boca de pescado, rectos o chaflaneados, los empates de la tubería deberá realizarse traslapando la tubería colocando un alma en tubería de menor diámetro y aplicando las soldaduras como se indica. - Alambre galvanizado calibre 12 para amarres de la malla a la tubería, del cual sus puntas deben quedar paralelo a la malla, cada 30 cm. - Soldadura 6011 en cordones completos tope a tope y no en puntos, retiro de escorias. - Anticorrosivo y de pintura a base de aceite (2 manos) en los nudos (sitios donde se aplica soldadura). - El anclaje de los vientos debe realizarse así: sobre pisos duros con platinas de 15cmx15cmx⅛", anclada con 4 pernos de 5/8"  y sobre terreno con un dado en concreto 21 Mpa, alerta con pintura amarilla en vientos que dan a espacios de circulacion. Incluye andamio multidireccinal en zona urbana, todo lo necesario para su correcta instalación, funcionamiento y estabilidad, según diseño.</t>
  </si>
  <si>
    <t>Construcción de cerramiento en malla eslabonada h=7,0 m, efectivos medidos a partir de la viga de remate, incluye el suministro, transporte e instalación de: - Malla galvanizada cal. 10.5 ojo N°5. Para el tramo superior - Malla galvanizada cal. 10.5 ojo N°4. Para el tramo inferior - Tubería galvanizada en caliente Ø 2" calibre 14, tuberia de 1 1/4" para almas de 0,20 mts, refuerzo: inferior, intermedio, superior, postes, vientos y diagonales en rombo (cada 2 módulos), la tubería vertical debe ir embebida en las columnetas mínimo 60 cm., todo los cortes de la tubería deben realizarse en boca de pescado, rectos o chaflaneados, los empates de la tubería deberá realizarse traslapando la tubería colocando un alma en tubería de menor diámetro y aplicando las soldaduras como se indica. - Platina de 1½"x⅛". - Alambre galvanizado calibre 12 para amarres de la malla a la tubería, del cual sus puntas deben quedar paralelo a la malla, cada 30 cm. - Varilla Nº2 para coser la malla. - Soldadura 6011 en cordones completos tope a tope y no en puntos, retiro de escorias. - Tapones plásticos. - Anticorrosivo verde y de pintura a base de aceite (2 manos) en los nudos (sitios donde se aplica soldadura). - El anclaje de los vientos debe realizarse así: sobre pisos con platinas de 15cmx15cmx⅛", anclada con 4 pernos de 5/8"  y sobre terreno con un dado en concreto 21 MPA, alerta con pintura amarilla en vientos que dan a espacios de circulacion. - Incluye andamio multidireccional en zona urbana,  todo lo necesario para su correcta instalación, funcionamiento y estabilidad, según diseño.</t>
  </si>
  <si>
    <t>Instalación de pasamanos metálico con una altura de 1,15 m, tubería superior de 2", baranda en barrotes verticales de 1 1/2" cada 10 cm, ángulo superior e inferior de 2" x 3/16", platina de anclaje con un espesor de 1/4" cada 2,5m y pernos expansivos de 3/8", pintura anticorrosiva y pintura poliuretano. Incluye cortes, soldaduras, fijaciones y todos los elementos necesarios para su correcta instalación y funcionamiento.</t>
  </si>
  <si>
    <t>Construcción de ENTIBADO TEMPORAL en tablón de madera (máximo 2 días). Bajo cualquier altura y grado de humedad. Incluye suministro, transporte y colocación de elementos en madera, el cargue, transporte interno y externo y botada de material sobrantes en los sitios donde lo indique la interventoría y su medida será en el sitio, su forma de pago se hará por el área que se encuentra en contacto con la tierra.</t>
  </si>
  <si>
    <t xml:space="preserve">Suministro, transporte e instalación de cerramiento en malla de nylon impermeabilizada y con protección a rayos UV, a 5,00 mts ; calibre 210/90, ojo de 10x10 cms. para techo y laterales. Incluye guaya encauchetada de 1/8", grilletes de 3/16", tensores de 1/2" y todo lo necesario para su correcta instalación. Incluye andamio multidireccional y retiro de la malla existente. </t>
  </si>
  <si>
    <t>MORTERO ESTRUCTURAL DE REPARACION Y NIVELACIÓN DE PLACAS DE CONCRETO para espesores superiores entre 5-10mm, con tixotrópico tipo R3 que cumple norma EN 1504-3, fibrorreforzado, de granulometría fina y fraguado normal, de retracción compensada, con resistencia a la compresión superior a 4000PSI. Incluye corte de piso y/o pavimento, suministro, transporte y mano de obra requerida para la adecuada ejecución de la actividad.</t>
  </si>
  <si>
    <t>Sellos de juntas en placa de piso. Incluye: Suministro, transporte y aplicación de sellante poliuretano, monocomponente de alto desempeño y movimiento, que permita la aplicación con humedad, conservando factor de forma 1:1, incluye corte de ser necesario, pistola calafateo y todo lo necesario para su correcta acplicación y funcionamiento.</t>
  </si>
  <si>
    <t>MORTERO ESTRUCTURAL PARA REPARACION DE BORDE DE PLACAS DE CONCRETO para espesores superiores entre 5-10mm y anchos de 10 cm, con tixotrópico tipo R3 que cumple norma EN 1504-3, fibrorreforzado, de granulometría fina y fraguado normal, de retracción compensada, con resistencia a la compresión superior a 4000PSI. Incluye adecuación del area a intervenir, corte de piso y/o pavimento, suministro, transporte y mano de obra requerida para la adecuada ejecución de la actividad.</t>
  </si>
  <si>
    <t>TRATAMIENTO DE SUPERFICIE DE JUEGO CON PAVIMENTO DEPORTIVO SINTETICO TIPO REVESTIMIENTO ACRILICO ANTIDESLIZANTE PARA PLACAS DEPORTIVAS MULTIPROPOSITO  EN CONCRETO O ASFALTO. Incluye imprimación epóxica bi-componente (barrera vapor) aplicado en espesores variables de 60 a 100 micras para superficies cementosas, preparación de superficie de soporte con fondo de relleno semi-elástico, revestimiento de acabado antideslizante en resina para exteriores como capa de acabado antideslizante para el sistema, acabo final y de protección, con alta resistencia a la abrasión, agentes atmosféricos, larga durabilidad en superficies de uso frecuente y bajo mantenimiento. El sistema completo de revestimiento acrilico no debe ser inferior a 2,5 kg/m². Incluye marcacion de disciplinas deportivas del escenario (polideportivo) de conformidad con la ficha tecnica del proveedor del sistema. El sistema es en dispersión acuosa y cargas seleccionadas de acuerdo con las fichas tecnicas del proveedor en pistas en superficie dura (tenis, placas polideportivas, baloncesto, voleibol, microfutbol). Colores, diseños y logos personalizados definidos por el INDER. El (los) producto(s) deberá(n) ser aprobado(s) de manera previa por interventoria e INDER. La aplicacion debe ser realizada por personal avalado por el proveedor del material instalado.</t>
  </si>
  <si>
    <t>Mantenimiento de portería integrada. incluye:
Retiro de:
- Tubería en mal estado (portería y soporte de tablero), Varilla Nº2 y malla de portería, incluye cargue, transporte y botada de escombros, recuperación de los materiales aprovechables o su transporte hasta el sitio que lo indique la interventoría.
Suministro, transporte e instalación de:
- Tuberías (Portería y soporte de tablero) según diseño, para reposición de tubería en mal estado y/o faltantes; según indicaciones de la interventoría.
- Malla eslabonada Ojo Nº 4 Calibre 10.
- Varilla N°2, para coser la malla en todo su perímetro.
- Soldadura 6011 en cordones completos tope a tope y no en puntos, retiro de escorias.
-  Preparación de las superficies a intervenir para portería:
(tubería y malla), lijada, aplicación de desoxidante (pintoxido), de wash primer, de anticorrosivo y acabado en pintura  poliuretano blanco mate  (2 manos), blanco a satisfacción de la interventoría.
-  Preparación de las superficies a intervenir para Soporte de tablero de baloncesto:
(estructura), lijada, aplicación de desoxidante (pintoxido), de wash primer, de anticorrosivo y acabado en pintura poliuretano blanco mate (2 manos), verde a satisfacción de la interventoría.
Reemplazo de tablero para mayores 1,05 x 1,80 m en fibra de vidrio, acabado en pintura poliuretano blanco mate (2 manos), verde a satisfaccion de la interventoria. suministro de aro metálico con platina de 1½"x⅛" para la protección de las argollas y refuerzo de varilla, anclada con pernos  de 1 1/2" x 3/8" al tablero, suministro de malla en nylon para el aro. Estructura de soporte en angulos (1 1/4" x 1/8", 1 1/2 x 1/8" y 1" x 1/8"), anclados al tablero con tornillo goloso de 8 x 1/2" y tornillos de 3/4" x 3/8" y logos institucional, segun diseño</t>
  </si>
  <si>
    <t>par</t>
  </si>
  <si>
    <t>Suministro, transporte e instalación de malla de voleybol;  incluye parales de soportes en tubería  metálica D=2½" con acabado final en pintura esmalte; malla de nylon con ojo N° 3 de 9,5 x 1 mt, anclajes, el cable tensor normal,  malacate y todo lo necesario para su correcta instalación y funcionamiento para ser ancladas a piso en tuberia de 3".</t>
  </si>
  <si>
    <t>Suministro de Porteria Integrada: Incluye : Tuberia de 3" Cal 3,2 mm para marcos de frontal , Tuberia de 1, 1/2"  Cal 14" para cabañas y arañas, segun diseño. Malla eslabonada Ojo Nº 4 Calibre 10,  Varilla N°2, para coser la malla en todo su perimetro. - Soldadura 6011 en cordones completos tope a tope y no en puntos, retiro de escorias. -  Preparacion de las superficies a intervenir para porteria:
(tuberia y malla), lijada, aplicacion de anticorrosivo y acabado en pintura poliuretano blanco mate (2 manos). -  Suministro de tablero para mayores 1,05 x 1,80 m en fibra de vidrio, acabado en pintura poliuretano blanco mate (2 manos), verde a satisfaccion de la interventoria. suministro de aro metálico con platina de 1½"x⅛" para la protección de las argollas y refuerzo de varilla, anclada con pernos  de 1 1/2" x 3/8" al tablero, suministro de malla en nylon para el aro. Estructura de soporte en angulos (1 1/4" x 1/8", 1 1/2 x 1/8" y 1" x 1/8"), anclados al tablero con tornillo goloso de 8 x 1/2" y tornillos de 3/4" x 3/8" y logos institucional, segun diseño</t>
  </si>
  <si>
    <t>Suministro, transporte e instalación de porterías para Fútbol tipo banquita de 0,90 mts de ancho x 0,90 mts de alto, incluye: Tuberia de 2" Cal 2,5 mm para marcos de frontal y tuberia de 1 1/2" Cal 14 para cabaña, segun diseño. Malla eslabonada Ojo Nº 4 Calibre 10,  Varilla N°2, para coser la malla en todo su perimetro. - Soldadura 6011 en cordones completos tope a tope y no en puntos, retiro de escorias. -  Preparacion de las superficies a intervenir para porteria:
(tuberia y malla), lijada, aplicacion de anticorrosivo y acabado en pintura poliuretano blanco mate (2 manos). Segun diseño.</t>
  </si>
  <si>
    <t>Lavada de: muros exteriores, pisos y graderias, con hidrolavadora. Incluye: todos los elementos y herramientas necesarias para su correcta aplicación.</t>
  </si>
  <si>
    <t>Revoque con mortero 1:4 Impermeabilizado, en muros. Incluye: preparacion de la superficie, suministro y transporte de los materiales, fajas, ranuras, filetes, impermeabilizante y todos los demás elementos necesarios para su correcta construcción, acabado a la vista con llana de madera.</t>
  </si>
  <si>
    <t>Suministro y aplicación de pintura acrilica para exteriores (hidrorrepelente) de primera calidad que cumpla con la Norma NTC 1335, con sellante para poros tipo Sellamax . Incluye pulida de superficie con grata, resane de grietas y adecuación de la superficie a intervenir a satisfacción de la interventoria. Color a definir aprobado por la interventoria. Minimo 3 manos o las que sean necesarias para obtener una superficie pareja y homogenea.</t>
  </si>
  <si>
    <t>Pintura para pasamanos. Incluye: limpieza y retiro de la pintura existente con medio mecanico y grata, aplicación de agua con detergente, una mano de base wash primer, utilizacion de cepillo de cerdas duras y/o papel de liga, anticorrosivo epoxi poliamida a 3 manos de primera calidad, recubrimiento final con esmalte poliuretano a 3 manos. El metro lineal incluye parales verticales y los horizontales que haya, color a definir aprobado por la interventoria</t>
  </si>
  <si>
    <t>PODA, TALA  Y TRATAMIENTO INTEGRAL DE ÁRBOLES: Cuadrilla para intervención integral de árboles de acuerdo con inventario forestal entregado por la Interventoría. Incluye, chipiado (actividad que deberá realizarse con el material vegetal resultante de las podas y talas. El  deberá reutilizarse durante la ejecución del contrato), equipo de trabajo en altura, elementos de protección personal, equipo de primeros auxilios, elementos para señalización de obra. Incluye informe técnico con el desarrollo de las actividades</t>
  </si>
  <si>
    <t>hora</t>
  </si>
  <si>
    <t>Extracción de tocon y raices de arbol, cargue, transporte y botada de materiales sobrantes en botaderos oficiales o donde lo indique la interventoría.</t>
  </si>
  <si>
    <t>un</t>
  </si>
  <si>
    <t>Suministro, transporte y colocación de PUNTO ECOLOGICO DE TRES CONTENEDORES anclado a superficie de concreto. Incluye base metálica con techo en material metálico así: - Contenedor color verde con palabras "residuos orgánicos aprovechables: restos de comida, desechos agrícolas" en la cara frontal - Contenedor color blanco con palabras "residuos aprovechables como plástico, vidrio, metales, multicapa, papel y cartón" en la cara frontal - Contenedor color negro con las palabaras "residuos no aprovechables: papel higiénico, servilletas, papeles y cartones contaminados con comida, papeles metalizados" en la cara frontal - Capacidad mínima de 50 litros para cada contenedor - Contenedores elaborados en plástico. - Debe cumplir con lo estipualdo en el artíuclo 4° de la Resolución 2184 del 26 de diciembre de 2019.</t>
  </si>
  <si>
    <t>Suministro, transporte e instalación de Acero de refuerzo figurado FY= 420 Mpa., 60000 PSI, corrugado. Incluye transporte con descarga, transporte interno, alambre de amarre, certificados y todos los elementos necesarios para su correcta instalación, según diseño y recomendaciones estructurales.</t>
  </si>
  <si>
    <t>kg</t>
  </si>
  <si>
    <t>Suministro e instalación de vallas institucional y/o de valla informativa de normas de uso, de 2m.x0,50m (sin canto), en lámina galvanizada  calibre 24 con impresión 1440 DPI forrada en vinilo laminado, con  puntas redondeadas en extremos, con dobleces arriba y abajo, para ser instalada con alambre galvanizado o perno cada 20 cm;  Según diseño.</t>
  </si>
  <si>
    <t>Suministro e instalación de vallas institucional y/o de valla informativa de normas de uso, de 2m.x1m (sin canto), en lámina galvanizada  calibre 24 con impresión 1440 DPI forrada en vinilo laminado, con  puntas redondeadas en extremos, con dobleces arriba y abajo, para ser instalada con alambre galvanizado o perno cada 20 cm;  Según diseño.</t>
  </si>
  <si>
    <t>Suministro, transporte e instalación de vallas institucional de 2.0x2.0 m, en lona banner de 13 onz full color, con reverso negro, doblada con bolsillos. Incluye varilla perimetral y su instalación sera en el sitio que lo indique la supervisión y/o interventoria.</t>
  </si>
  <si>
    <t>Suministro, transporte e instalación de valla de obra de 3x1.5 m. Incluye torre en ángulo de 2x1/8, pintada con anticorrosivo gris, lona impresa injekt con ojaletes metálicos resistentes a la intemperie y templada con amarres metálicos, para el templado de la lona incluye varilla de hierro de 6 mm, alambre galvanizado calibre 16 y todos los demas elementos necesarios para la correcta ejecución de la actividad.</t>
  </si>
  <si>
    <t>Suministro, transporte e instalación de TUBERÍA POLIETILENO PE 100 PN 6, con diámetro de 250 mm. Incluye cinta de señalización, suministro y transporte de materiales, y uniones entre tubos por termofusión. Excavaciones y llenos se pagarán en su ítem correspondiente.</t>
  </si>
  <si>
    <t>Construcción de CAJA DE INSPECCIÓN Y/O EMPALME TIPO 2 de 80x80x180 cm medidas internas, en concreto de 28 MPa. Incluye suministro, transporte e instalación de los materiales, tapa, herraje, formaleta, vibrado, malla electrosoldada y todos los elementos necesarios para su correcta construcción y funcionamiento. Según diseño y norma técnica de EPM. La excavación se pagará en su ítem respectivo.</t>
  </si>
  <si>
    <t>Construcción de CAJA DE INSPECCIÓN Y/O EMPALME TIPO 2 de 80x80x130 cm medidas internas, en concreto de 28 MPa. Incluye suministro, transporte e instalación de los materiales, tapa, herraje, formaleta, vibrado, malla electrosoldada y todos los elementos necesarios para su correcta construcción y funcionamiento. Según diseño y norma técnica de EPM. La excavación se pagará en su ítem respectivo.</t>
  </si>
  <si>
    <t>Actividades de vigilancia y seguridad privada de personal especializado, sin arma; incluye obligaciones laborales y costos operativos.</t>
  </si>
  <si>
    <t>7.1</t>
  </si>
  <si>
    <t>7.1.1</t>
  </si>
  <si>
    <t>7.1.2</t>
  </si>
  <si>
    <t>7.1.3</t>
  </si>
  <si>
    <t>7.1.4</t>
  </si>
  <si>
    <t>7.1.5</t>
  </si>
  <si>
    <t>7.2</t>
  </si>
  <si>
    <t>7.2.1</t>
  </si>
  <si>
    <t>7.2.2</t>
  </si>
  <si>
    <t>7.2.3</t>
  </si>
  <si>
    <t>7.2.4</t>
  </si>
  <si>
    <t>10.1.3</t>
  </si>
  <si>
    <t>Suministro e instalación de geotextil de refuerzo tipo TR3000 o similar para terraplenes reforzados con geosintéticos. Incluye todos los elementos necesarios para correcta instalación.</t>
  </si>
  <si>
    <t>Suministro, transporte e instalación de geotextil estructural tejido T2400 sobre resante para piso duros según diseño de suelos y norma INVIAS. Incluye todos los elementos necesarios para correcta instalación.</t>
  </si>
  <si>
    <t>EJECUCIÓN DE ACTIVIDADES ORIENTADAS AL MEJORAMIENTO, CONSERVACIÓN Y/O ADECUACIÓN FÍSICA DE CANCHAS, ESPACIOS DEPORTIVOS Y RECREATIVOS, ASÍ COMO DE LAS ÁREAS COMPLEMENTARIAS VINCULADAS, BAJO LA ADMINISTRACIÓN DEL INDER MEDELLÍN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</si>
</sst>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4">
    <numFmt numFmtId="44" formatCode="_-&quot;$&quot;\ * #,##0.00_-;\-&quot;$&quot;\ * #,##0.00_-;_-&quot;$&quot;\ * &quot;-&quot;??_-;_-@_-"/>
    <numFmt numFmtId="164" formatCode="_-&quot;$&quot;* #,##0.00_-;\-&quot;$&quot;* #,##0.00_-;_-&quot;$&quot;* &quot;-&quot;??_-;_-@_-"/>
    <numFmt numFmtId="165" formatCode="_(&quot;$&quot;* #,##0.00_);_(&quot;$&quot;* \(#,##0.00\);_(&quot;$&quot;* &quot;-&quot;??_);_(@_)"/>
    <numFmt numFmtId="166" formatCode="_-&quot;$&quot;\ * #,##0.000_-;\-&quot;$&quot;\ * #,##0.000_-;_-&quot;$&quot;\ * &quot;-&quot;??_-;_-@_-"/>
    <numFmt numFmtId="167" formatCode="_(&quot;$&quot;* #,##0_);_(&quot;$&quot;* \(#,##0\);_(&quot;$&quot;* &quot;-&quot;??_);_(@_)"/>
    <numFmt numFmtId="168" formatCode="0.0000%"/>
    <numFmt numFmtId="169" formatCode="0.0"/>
    <numFmt numFmtId="170" formatCode="_-&quot;$&quot;\ * #,##0_-;\-&quot;$&quot;\ * #,##0_-;_-&quot;$&quot;\ * &quot;-&quot;??_-;_-@_-"/>
    <numFmt numFmtId="171" formatCode="0.000000000000%"/>
    <numFmt numFmtId="172" formatCode="&quot;$&quot;\ #,##0"/>
    <numFmt numFmtId="173" formatCode="_-&quot;$&quot;\ * #,##0.00000_-;\-&quot;$&quot;\ * #,##0.00000_-;_-&quot;$&quot;\ * &quot;-&quot;??_-;_-@_-"/>
    <numFmt numFmtId="174" formatCode="0.0000"/>
    <numFmt numFmtId="175" formatCode="0.000"/>
    <numFmt numFmtId="176" formatCode="0.0000000000000%"/>
  </numFmts>
  <fonts count="20">
    <font>
      <sz val="11"/>
      <color theme="1"/>
      <name val="Aptos Narrow"/>
      <family val="2"/>
      <scheme val="minor"/>
    </font>
    <font>
      <sz val="11"/>
      <color theme="1"/>
      <name val="Aptos Narrow"/>
      <family val="2"/>
      <scheme val="minor"/>
    </font>
    <font>
      <sz val="10"/>
      <name val="Arial"/>
      <family val="2"/>
    </font>
    <font>
      <b/>
      <sz val="10"/>
      <name val="Arial"/>
      <family val="2"/>
    </font>
    <font>
      <sz val="11"/>
      <name val="Arial"/>
      <family val="2"/>
    </font>
    <font>
      <b/>
      <sz val="11"/>
      <name val="Arial"/>
      <family val="2"/>
    </font>
    <font>
      <b/>
      <sz val="8"/>
      <name val="Arial"/>
      <family val="2"/>
    </font>
    <font>
      <b/>
      <sz val="10"/>
      <color rgb="FF000000"/>
      <name val="Arial"/>
      <family val="2"/>
    </font>
    <font>
      <sz val="10"/>
      <color theme="2" tint="-0.749992370372631"/>
      <name val="Arial"/>
      <family val="2"/>
    </font>
    <font>
      <sz val="10"/>
      <color rgb="FF000000"/>
      <name val="Arial"/>
      <family val="2"/>
    </font>
    <font>
      <b/>
      <sz val="11"/>
      <color theme="2" tint="-0.749992370372631"/>
      <name val="Arial"/>
      <family val="2"/>
    </font>
    <font>
      <b/>
      <sz val="10"/>
      <color theme="2" tint="-0.749992370372631"/>
      <name val="Arial"/>
      <family val="2"/>
    </font>
    <font>
      <sz val="11"/>
      <color theme="2" tint="-0.749992370372631"/>
      <name val="Arial"/>
      <family val="2"/>
    </font>
    <font>
      <sz val="10"/>
      <color rgb="FFFF0000"/>
      <name val="Arial"/>
      <family val="2"/>
    </font>
    <font>
      <b/>
      <sz val="12"/>
      <color theme="0"/>
      <name val="Arial"/>
      <family val="2"/>
    </font>
    <font>
      <b/>
      <sz val="12"/>
      <color theme="2" tint="-0.749992370372631"/>
      <name val="Arial"/>
      <family val="2"/>
    </font>
    <font>
      <b/>
      <sz val="8"/>
      <color theme="2" tint="-0.749992370372631"/>
      <name val="Arial"/>
      <family val="2"/>
    </font>
    <font>
      <b/>
      <sz val="9"/>
      <color indexed="81"/>
      <name val="Tahoma"/>
      <family val="2"/>
    </font>
    <font>
      <sz val="9"/>
      <color indexed="81"/>
      <name val="Tahoma"/>
      <family val="2"/>
    </font>
    <font>
      <sz val="8"/>
      <name val="Aptos Narrow"/>
      <family val="2"/>
      <scheme val="minor"/>
    </font>
  </fonts>
  <fills count="8">
    <fill>
      <patternFill patternType="none"/>
    </fill>
    <fill>
      <patternFill patternType="gray125"/>
    </fill>
    <fill>
      <patternFill patternType="solid">
        <fgColor theme="4" tint="-0.499984740745262"/>
        <bgColor indexed="64"/>
      </patternFill>
    </fill>
    <fill>
      <patternFill patternType="solid">
        <fgColor rgb="FF33CCCC"/>
        <bgColor indexed="64"/>
      </patternFill>
    </fill>
    <fill>
      <patternFill patternType="solid">
        <fgColor theme="0"/>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rgb="FFD0CECE"/>
        <bgColor rgb="FF000000"/>
      </patternFill>
    </fill>
  </fills>
  <borders count="2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bottom/>
      <diagonal/>
    </border>
    <border>
      <left/>
      <right style="thin">
        <color indexed="64"/>
      </right>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s>
  <cellStyleXfs count="8">
    <xf numFmtId="0" fontId="0" fillId="0" borderId="0"/>
    <xf numFmtId="164" fontId="1" fillId="0" borderId="0" applyFont="0" applyFill="0" applyBorder="0" applyAlignment="0" applyProtection="0"/>
    <xf numFmtId="9" fontId="1" fillId="0" borderId="0" applyFont="0" applyFill="0" applyBorder="0" applyAlignment="0" applyProtection="0"/>
    <xf numFmtId="0" fontId="2" fillId="0" borderId="0"/>
    <xf numFmtId="165" fontId="2" fillId="0" borderId="0" applyFont="0" applyFill="0" applyBorder="0" applyAlignment="0" applyProtection="0"/>
    <xf numFmtId="0" fontId="2" fillId="0" borderId="0"/>
    <xf numFmtId="0" fontId="1" fillId="0" borderId="0"/>
    <xf numFmtId="0" fontId="2" fillId="0" borderId="0"/>
  </cellStyleXfs>
  <cellXfs count="160">
    <xf numFmtId="0" fontId="0" fillId="0" borderId="0" xfId="0"/>
    <xf numFmtId="1" fontId="2" fillId="0" borderId="0" xfId="3" applyNumberFormat="1" applyAlignment="1">
      <alignment horizontal="center" vertical="center"/>
    </xf>
    <xf numFmtId="1" fontId="2" fillId="0" borderId="0" xfId="3" applyNumberFormat="1" applyAlignment="1">
      <alignment horizontal="justify" vertical="center"/>
    </xf>
    <xf numFmtId="2" fontId="2" fillId="0" borderId="0" xfId="3" applyNumberFormat="1" applyAlignment="1">
      <alignment horizontal="center" vertical="center"/>
    </xf>
    <xf numFmtId="166" fontId="2" fillId="0" borderId="0" xfId="4" applyNumberFormat="1" applyFont="1" applyFill="1" applyBorder="1" applyAlignment="1">
      <alignment vertical="center"/>
    </xf>
    <xf numFmtId="167" fontId="2" fillId="0" borderId="0" xfId="4" applyNumberFormat="1" applyFont="1" applyFill="1" applyBorder="1" applyAlignment="1">
      <alignment vertical="center"/>
    </xf>
    <xf numFmtId="0" fontId="2" fillId="0" borderId="0" xfId="3"/>
    <xf numFmtId="0" fontId="2" fillId="0" borderId="0" xfId="3" applyAlignment="1">
      <alignment horizontal="center"/>
    </xf>
    <xf numFmtId="167" fontId="2" fillId="0" borderId="0" xfId="3" applyNumberFormat="1" applyAlignment="1">
      <alignment horizontal="center"/>
    </xf>
    <xf numFmtId="0" fontId="3" fillId="0" borderId="0" xfId="3" applyFont="1" applyAlignment="1">
      <alignment horizontal="center" vertical="center"/>
    </xf>
    <xf numFmtId="0" fontId="3" fillId="0" borderId="0" xfId="3" applyFont="1" applyAlignment="1">
      <alignment wrapText="1"/>
    </xf>
    <xf numFmtId="0" fontId="4" fillId="4" borderId="0" xfId="0" applyFont="1" applyFill="1" applyAlignment="1">
      <alignment horizontal="center" vertical="center" wrapText="1"/>
    </xf>
    <xf numFmtId="167" fontId="5" fillId="5" borderId="4" xfId="4" applyNumberFormat="1" applyFont="1" applyFill="1" applyBorder="1" applyAlignment="1">
      <alignment horizontal="center" vertical="center"/>
    </xf>
    <xf numFmtId="167" fontId="5" fillId="5" borderId="13" xfId="4" applyNumberFormat="1" applyFont="1" applyFill="1" applyBorder="1" applyAlignment="1">
      <alignment horizontal="center" vertical="center"/>
    </xf>
    <xf numFmtId="167" fontId="5" fillId="5" borderId="14" xfId="4" applyNumberFormat="1" applyFont="1" applyFill="1" applyBorder="1" applyAlignment="1">
      <alignment horizontal="center" vertical="center"/>
    </xf>
    <xf numFmtId="167" fontId="5" fillId="0" borderId="0" xfId="3" applyNumberFormat="1" applyFont="1" applyAlignment="1">
      <alignment horizontal="center"/>
    </xf>
    <xf numFmtId="168" fontId="5" fillId="0" borderId="8" xfId="2" applyNumberFormat="1" applyFont="1" applyFill="1" applyBorder="1" applyAlignment="1">
      <alignment horizontal="center" vertical="center"/>
    </xf>
    <xf numFmtId="10" fontId="5" fillId="0" borderId="16" xfId="2" applyNumberFormat="1" applyFont="1" applyFill="1" applyBorder="1" applyAlignment="1">
      <alignment horizontal="center" vertical="center"/>
    </xf>
    <xf numFmtId="10" fontId="5" fillId="0" borderId="9" xfId="2" applyNumberFormat="1" applyFont="1" applyFill="1" applyBorder="1" applyAlignment="1">
      <alignment horizontal="center" vertical="center"/>
    </xf>
    <xf numFmtId="1" fontId="3" fillId="6" borderId="18" xfId="0" applyNumberFormat="1" applyFont="1" applyFill="1" applyBorder="1" applyAlignment="1">
      <alignment horizontal="center" vertical="center"/>
    </xf>
    <xf numFmtId="49" fontId="7" fillId="6" borderId="18" xfId="0" applyNumberFormat="1" applyFont="1" applyFill="1" applyBorder="1" applyAlignment="1">
      <alignment horizontal="center" vertical="center" readingOrder="1"/>
    </xf>
    <xf numFmtId="164" fontId="8" fillId="0" borderId="0" xfId="1" applyFont="1" applyFill="1" applyBorder="1" applyAlignment="1">
      <alignment horizontal="center" vertical="center"/>
    </xf>
    <xf numFmtId="167" fontId="8" fillId="0" borderId="18" xfId="1" applyNumberFormat="1" applyFont="1" applyFill="1" applyBorder="1" applyAlignment="1">
      <alignment horizontal="center" vertical="center"/>
    </xf>
    <xf numFmtId="167" fontId="2" fillId="0" borderId="0" xfId="1" applyNumberFormat="1" applyFont="1" applyAlignment="1">
      <alignment horizontal="center"/>
    </xf>
    <xf numFmtId="164" fontId="2" fillId="0" borderId="18" xfId="1" applyFont="1" applyBorder="1" applyAlignment="1">
      <alignment horizontal="center" vertical="center"/>
    </xf>
    <xf numFmtId="0" fontId="2" fillId="0" borderId="0" xfId="0" applyFont="1"/>
    <xf numFmtId="0" fontId="2" fillId="0" borderId="0" xfId="0" applyFont="1" applyAlignment="1">
      <alignment horizontal="center" vertical="center"/>
    </xf>
    <xf numFmtId="164" fontId="2" fillId="0" borderId="0" xfId="1" applyFont="1" applyFill="1" applyBorder="1" applyAlignment="1">
      <alignment horizontal="center" vertical="center"/>
    </xf>
    <xf numFmtId="1" fontId="2" fillId="3" borderId="18" xfId="0" applyNumberFormat="1" applyFont="1" applyFill="1" applyBorder="1" applyAlignment="1">
      <alignment horizontal="center" vertical="center"/>
    </xf>
    <xf numFmtId="49" fontId="9" fillId="3" borderId="18" xfId="0" applyNumberFormat="1" applyFont="1" applyFill="1" applyBorder="1" applyAlignment="1">
      <alignment horizontal="center" vertical="center" readingOrder="1"/>
    </xf>
    <xf numFmtId="0" fontId="8" fillId="0" borderId="18" xfId="5" applyFont="1" applyBorder="1" applyAlignment="1">
      <alignment horizontal="justify" vertical="center" wrapText="1"/>
    </xf>
    <xf numFmtId="0" fontId="8" fillId="0" borderId="18" xfId="5" applyFont="1" applyBorder="1" applyAlignment="1">
      <alignment horizontal="center" vertical="center"/>
    </xf>
    <xf numFmtId="0" fontId="8" fillId="0" borderId="18" xfId="5" applyFont="1" applyBorder="1" applyAlignment="1">
      <alignment horizontal="center" vertical="center" wrapText="1"/>
    </xf>
    <xf numFmtId="164" fontId="8" fillId="0" borderId="18" xfId="1" applyFont="1" applyBorder="1" applyAlignment="1">
      <alignment horizontal="center" vertical="center"/>
    </xf>
    <xf numFmtId="165" fontId="8" fillId="0" borderId="18" xfId="1" applyNumberFormat="1" applyFont="1" applyFill="1" applyBorder="1" applyAlignment="1">
      <alignment horizontal="center" vertical="center"/>
    </xf>
    <xf numFmtId="0" fontId="7" fillId="6" borderId="18" xfId="0" applyFont="1" applyFill="1" applyBorder="1" applyAlignment="1">
      <alignment horizontal="center" vertical="center" readingOrder="1"/>
    </xf>
    <xf numFmtId="169" fontId="3" fillId="6" borderId="18" xfId="0" applyNumberFormat="1" applyFont="1" applyFill="1" applyBorder="1" applyAlignment="1">
      <alignment horizontal="center" vertical="center"/>
    </xf>
    <xf numFmtId="0" fontId="3" fillId="7" borderId="18" xfId="0" applyFont="1" applyFill="1" applyBorder="1" applyAlignment="1">
      <alignment horizontal="center" vertical="center"/>
    </xf>
    <xf numFmtId="0" fontId="7" fillId="7" borderId="18" xfId="0" applyFont="1" applyFill="1" applyBorder="1" applyAlignment="1">
      <alignment horizontal="center" vertical="center" readingOrder="1"/>
    </xf>
    <xf numFmtId="1" fontId="2" fillId="0" borderId="0" xfId="0" applyNumberFormat="1" applyFont="1" applyAlignment="1">
      <alignment horizontal="center" vertical="center"/>
    </xf>
    <xf numFmtId="1" fontId="2" fillId="0" borderId="0" xfId="0" applyNumberFormat="1" applyFont="1" applyAlignment="1">
      <alignment horizontal="justify" vertical="center" wrapText="1"/>
    </xf>
    <xf numFmtId="2" fontId="2" fillId="0" borderId="0" xfId="0" applyNumberFormat="1" applyFont="1" applyAlignment="1">
      <alignment horizontal="center" vertical="center"/>
    </xf>
    <xf numFmtId="166" fontId="2" fillId="0" borderId="0" xfId="1" applyNumberFormat="1" applyFont="1" applyFill="1" applyBorder="1" applyAlignment="1">
      <alignment horizontal="left" vertical="center"/>
    </xf>
    <xf numFmtId="167" fontId="2" fillId="0" borderId="0" xfId="1" applyNumberFormat="1" applyFont="1" applyFill="1" applyBorder="1" applyAlignment="1">
      <alignment horizontal="left" vertical="center"/>
    </xf>
    <xf numFmtId="165" fontId="3" fillId="0" borderId="20" xfId="4" applyFont="1" applyFill="1" applyBorder="1" applyAlignment="1">
      <alignment vertical="center"/>
    </xf>
    <xf numFmtId="167" fontId="3" fillId="0" borderId="0" xfId="4" applyNumberFormat="1" applyFont="1" applyFill="1" applyBorder="1" applyAlignment="1">
      <alignment vertical="center"/>
    </xf>
    <xf numFmtId="167" fontId="11" fillId="0" borderId="20" xfId="1" applyNumberFormat="1" applyFont="1" applyFill="1" applyBorder="1" applyAlignment="1">
      <alignment vertical="center"/>
    </xf>
    <xf numFmtId="0" fontId="3" fillId="0" borderId="18" xfId="3" applyFont="1" applyBorder="1" applyAlignment="1">
      <alignment horizontal="right"/>
    </xf>
    <xf numFmtId="0" fontId="3" fillId="0" borderId="0" xfId="3" applyFont="1" applyAlignment="1">
      <alignment horizontal="right"/>
    </xf>
    <xf numFmtId="170" fontId="2" fillId="0" borderId="0" xfId="3" applyNumberFormat="1"/>
    <xf numFmtId="0" fontId="3" fillId="0" borderId="21" xfId="3" applyFont="1" applyBorder="1" applyAlignment="1">
      <alignment vertical="center"/>
    </xf>
    <xf numFmtId="0" fontId="3" fillId="0" borderId="0" xfId="3" applyFont="1" applyAlignment="1">
      <alignment vertical="center"/>
    </xf>
    <xf numFmtId="0" fontId="3" fillId="0" borderId="22" xfId="3" applyFont="1" applyBorder="1" applyAlignment="1">
      <alignment vertical="center"/>
    </xf>
    <xf numFmtId="167" fontId="10" fillId="0" borderId="0" xfId="3" applyNumberFormat="1" applyFont="1" applyAlignment="1">
      <alignment horizontal="center" vertical="center"/>
    </xf>
    <xf numFmtId="167" fontId="12" fillId="0" borderId="0" xfId="3" applyNumberFormat="1" applyFont="1" applyAlignment="1">
      <alignment horizontal="center"/>
    </xf>
    <xf numFmtId="167" fontId="11" fillId="0" borderId="0" xfId="3" applyNumberFormat="1" applyFont="1" applyAlignment="1">
      <alignment horizontal="center" vertical="center"/>
    </xf>
    <xf numFmtId="171" fontId="10" fillId="0" borderId="24" xfId="2" applyNumberFormat="1" applyFont="1" applyBorder="1" applyAlignment="1">
      <alignment horizontal="center" vertical="center"/>
    </xf>
    <xf numFmtId="164" fontId="8" fillId="0" borderId="0" xfId="1" applyFont="1" applyFill="1" applyBorder="1" applyAlignment="1">
      <alignment horizontal="right" vertical="center"/>
    </xf>
    <xf numFmtId="10" fontId="11" fillId="0" borderId="14" xfId="2" applyNumberFormat="1" applyFont="1" applyBorder="1" applyAlignment="1">
      <alignment horizontal="center" vertical="center"/>
    </xf>
    <xf numFmtId="172" fontId="2" fillId="0" borderId="0" xfId="2" applyNumberFormat="1" applyFont="1" applyFill="1" applyBorder="1" applyAlignment="1">
      <alignment horizontal="right" vertical="center"/>
    </xf>
    <xf numFmtId="164" fontId="2" fillId="0" borderId="0" xfId="1" applyFont="1" applyFill="1" applyAlignment="1">
      <alignment horizontal="center" vertical="center"/>
    </xf>
    <xf numFmtId="169" fontId="2" fillId="0" borderId="0" xfId="3" applyNumberFormat="1" applyAlignment="1">
      <alignment horizontal="center" vertical="center"/>
    </xf>
    <xf numFmtId="10" fontId="10" fillId="0" borderId="24" xfId="2" applyNumberFormat="1" applyFont="1" applyBorder="1" applyAlignment="1">
      <alignment horizontal="center" vertical="center"/>
    </xf>
    <xf numFmtId="10" fontId="11" fillId="0" borderId="26" xfId="2" applyNumberFormat="1" applyFont="1" applyBorder="1" applyAlignment="1">
      <alignment horizontal="center" vertical="center"/>
    </xf>
    <xf numFmtId="164" fontId="2" fillId="0" borderId="0" xfId="1" applyFont="1" applyAlignment="1">
      <alignment horizontal="center" vertical="center"/>
    </xf>
    <xf numFmtId="10" fontId="11" fillId="0" borderId="9" xfId="2" applyNumberFormat="1" applyFont="1" applyBorder="1" applyAlignment="1">
      <alignment horizontal="center" vertical="center"/>
    </xf>
    <xf numFmtId="173" fontId="2" fillId="0" borderId="0" xfId="1" applyNumberFormat="1" applyFont="1" applyAlignment="1">
      <alignment horizontal="center" vertical="center"/>
    </xf>
    <xf numFmtId="174" fontId="2" fillId="0" borderId="0" xfId="3" applyNumberFormat="1" applyAlignment="1">
      <alignment horizontal="center" vertical="center"/>
    </xf>
    <xf numFmtId="164" fontId="8" fillId="0" borderId="21" xfId="1" applyFont="1" applyFill="1" applyBorder="1" applyAlignment="1">
      <alignment vertical="center"/>
    </xf>
    <xf numFmtId="164" fontId="8" fillId="0" borderId="0" xfId="1" applyFont="1" applyFill="1" applyBorder="1" applyAlignment="1">
      <alignment vertical="center"/>
    </xf>
    <xf numFmtId="167" fontId="8" fillId="0" borderId="0" xfId="4" applyNumberFormat="1" applyFont="1" applyFill="1" applyBorder="1" applyAlignment="1">
      <alignment vertical="center"/>
    </xf>
    <xf numFmtId="167" fontId="8" fillId="0" borderId="14" xfId="1" applyNumberFormat="1" applyFont="1" applyFill="1" applyBorder="1" applyAlignment="1">
      <alignment vertical="center"/>
    </xf>
    <xf numFmtId="167" fontId="8" fillId="0" borderId="26" xfId="1" applyNumberFormat="1" applyFont="1" applyFill="1" applyBorder="1" applyAlignment="1">
      <alignment vertical="center"/>
    </xf>
    <xf numFmtId="0" fontId="13" fillId="0" borderId="0" xfId="6" applyFont="1" applyAlignment="1">
      <alignment vertical="center"/>
    </xf>
    <xf numFmtId="0" fontId="5" fillId="0" borderId="0" xfId="3" applyFont="1" applyAlignment="1">
      <alignment horizontal="right" vertical="center"/>
    </xf>
    <xf numFmtId="0" fontId="5" fillId="0" borderId="0" xfId="3" applyFont="1" applyAlignment="1">
      <alignment horizontal="justify" vertical="center"/>
    </xf>
    <xf numFmtId="166" fontId="4" fillId="0" borderId="0" xfId="2" applyNumberFormat="1" applyFont="1" applyBorder="1" applyAlignment="1">
      <alignment horizontal="center" vertical="center"/>
    </xf>
    <xf numFmtId="167" fontId="8" fillId="0" borderId="9" xfId="1" applyNumberFormat="1" applyFont="1" applyFill="1" applyBorder="1" applyAlignment="1">
      <alignment vertical="center"/>
    </xf>
    <xf numFmtId="164" fontId="15" fillId="0" borderId="0" xfId="1" applyFont="1" applyBorder="1" applyAlignment="1">
      <alignment vertical="center"/>
    </xf>
    <xf numFmtId="167" fontId="11" fillId="0" borderId="0" xfId="4" applyNumberFormat="1" applyFont="1" applyFill="1" applyBorder="1" applyAlignment="1">
      <alignment vertical="center"/>
    </xf>
    <xf numFmtId="172" fontId="3" fillId="0" borderId="0" xfId="7" applyNumberFormat="1" applyFont="1" applyAlignment="1">
      <alignment vertical="center"/>
    </xf>
    <xf numFmtId="175" fontId="2" fillId="0" borderId="0" xfId="3" applyNumberFormat="1" applyAlignment="1">
      <alignment horizontal="center" vertical="center"/>
    </xf>
    <xf numFmtId="169" fontId="2" fillId="0" borderId="0" xfId="3" applyNumberFormat="1" applyAlignment="1">
      <alignment horizontal="justify" vertical="center"/>
    </xf>
    <xf numFmtId="166" fontId="2" fillId="0" borderId="0" xfId="3" applyNumberFormat="1" applyAlignment="1">
      <alignment horizontal="center" vertical="center"/>
    </xf>
    <xf numFmtId="167" fontId="2" fillId="0" borderId="0" xfId="3" applyNumberFormat="1" applyAlignment="1">
      <alignment horizontal="center" vertical="center"/>
    </xf>
    <xf numFmtId="0" fontId="3" fillId="0" borderId="0" xfId="3" applyFont="1" applyAlignment="1">
      <alignment horizontal="justify" vertical="center"/>
    </xf>
    <xf numFmtId="2" fontId="3" fillId="0" borderId="0" xfId="3" applyNumberFormat="1" applyFont="1" applyAlignment="1">
      <alignment horizontal="center" vertical="center"/>
    </xf>
    <xf numFmtId="166" fontId="3" fillId="0" borderId="0" xfId="4" applyNumberFormat="1" applyFont="1" applyFill="1" applyBorder="1" applyAlignment="1">
      <alignment vertical="center"/>
    </xf>
    <xf numFmtId="0" fontId="2" fillId="0" borderId="0" xfId="3" applyAlignment="1">
      <alignment horizontal="center" vertical="center"/>
    </xf>
    <xf numFmtId="0" fontId="2" fillId="0" borderId="0" xfId="3" applyAlignment="1">
      <alignment horizontal="justify" vertical="center"/>
    </xf>
    <xf numFmtId="176" fontId="2" fillId="0" borderId="0" xfId="2" applyNumberFormat="1" applyFont="1" applyFill="1" applyBorder="1" applyAlignment="1">
      <alignment vertical="center"/>
    </xf>
    <xf numFmtId="44" fontId="2" fillId="0" borderId="18" xfId="3" applyNumberFormat="1" applyBorder="1"/>
    <xf numFmtId="44" fontId="2" fillId="0" borderId="0" xfId="3" applyNumberFormat="1"/>
    <xf numFmtId="44" fontId="3" fillId="0" borderId="18" xfId="3" applyNumberFormat="1" applyFont="1" applyBorder="1" applyAlignment="1">
      <alignment horizontal="right"/>
    </xf>
    <xf numFmtId="165" fontId="8" fillId="0" borderId="25" xfId="1" applyNumberFormat="1" applyFont="1" applyFill="1" applyBorder="1" applyAlignment="1">
      <alignment horizontal="right" vertical="center"/>
    </xf>
    <xf numFmtId="165" fontId="8" fillId="0" borderId="22" xfId="1" applyNumberFormat="1" applyFont="1" applyFill="1" applyBorder="1" applyAlignment="1">
      <alignment vertical="center"/>
    </xf>
    <xf numFmtId="165" fontId="8" fillId="0" borderId="25" xfId="1" applyNumberFormat="1" applyFont="1" applyFill="1" applyBorder="1" applyAlignment="1">
      <alignment vertical="center"/>
    </xf>
    <xf numFmtId="165" fontId="3" fillId="0" borderId="0" xfId="4" applyNumberFormat="1" applyFont="1" applyFill="1" applyBorder="1" applyAlignment="1">
      <alignment vertical="center"/>
    </xf>
    <xf numFmtId="1" fontId="3" fillId="0" borderId="18" xfId="5" applyNumberFormat="1" applyFont="1" applyFill="1" applyBorder="1" applyAlignment="1">
      <alignment horizontal="left" vertical="center"/>
    </xf>
    <xf numFmtId="0" fontId="3" fillId="6" borderId="6" xfId="5" applyFont="1" applyFill="1" applyBorder="1" applyAlignment="1">
      <alignment vertical="center" wrapText="1"/>
    </xf>
    <xf numFmtId="0" fontId="3" fillId="6" borderId="7" xfId="5" applyFont="1" applyFill="1" applyBorder="1" applyAlignment="1">
      <alignment vertical="center" wrapText="1"/>
    </xf>
    <xf numFmtId="0" fontId="3" fillId="6" borderId="19" xfId="5" applyFont="1" applyFill="1" applyBorder="1" applyAlignment="1">
      <alignment vertical="center" wrapText="1"/>
    </xf>
    <xf numFmtId="0" fontId="3" fillId="7" borderId="6" xfId="0" applyFont="1" applyFill="1" applyBorder="1" applyAlignment="1">
      <alignment vertical="center" wrapText="1"/>
    </xf>
    <xf numFmtId="0" fontId="3" fillId="7" borderId="7" xfId="0" applyFont="1" applyFill="1" applyBorder="1" applyAlignment="1">
      <alignment vertical="center" wrapText="1"/>
    </xf>
    <xf numFmtId="0" fontId="2" fillId="0" borderId="18" xfId="0" applyFont="1" applyFill="1" applyBorder="1" applyAlignment="1">
      <alignment horizontal="center" vertical="center"/>
    </xf>
    <xf numFmtId="164" fontId="2" fillId="0" borderId="18" xfId="1" applyFont="1" applyFill="1" applyBorder="1" applyAlignment="1">
      <alignment horizontal="center" vertical="center"/>
    </xf>
    <xf numFmtId="0" fontId="2" fillId="0" borderId="0" xfId="3" applyFill="1"/>
    <xf numFmtId="0" fontId="2" fillId="0" borderId="0" xfId="0" applyFont="1" applyFill="1"/>
    <xf numFmtId="164" fontId="2" fillId="0" borderId="19" xfId="1" applyFont="1" applyFill="1" applyBorder="1" applyAlignment="1">
      <alignment horizontal="center" vertical="center"/>
    </xf>
    <xf numFmtId="1" fontId="2" fillId="0" borderId="18" xfId="0" applyNumberFormat="1" applyFont="1" applyFill="1" applyBorder="1" applyAlignment="1">
      <alignment horizontal="center" vertical="center"/>
    </xf>
    <xf numFmtId="49" fontId="9" fillId="0" borderId="18" xfId="0" applyNumberFormat="1" applyFont="1" applyFill="1" applyBorder="1" applyAlignment="1">
      <alignment horizontal="center" vertical="center" readingOrder="1"/>
    </xf>
    <xf numFmtId="165" fontId="15" fillId="0" borderId="20" xfId="1" applyNumberFormat="1" applyFont="1" applyBorder="1" applyAlignment="1">
      <alignment vertical="center"/>
    </xf>
    <xf numFmtId="165" fontId="2" fillId="0" borderId="0" xfId="4" applyNumberFormat="1" applyFont="1" applyFill="1" applyBorder="1" applyAlignment="1">
      <alignment vertical="center"/>
    </xf>
    <xf numFmtId="167" fontId="10" fillId="0" borderId="8" xfId="1" applyNumberFormat="1" applyFont="1" applyFill="1" applyBorder="1" applyAlignment="1">
      <alignment horizontal="right" vertical="center"/>
    </xf>
    <xf numFmtId="167" fontId="10" fillId="0" borderId="16" xfId="1" applyNumberFormat="1" applyFont="1" applyFill="1" applyBorder="1" applyAlignment="1">
      <alignment horizontal="right" vertical="center"/>
    </xf>
    <xf numFmtId="0" fontId="14" fillId="2" borderId="1" xfId="7" applyFont="1" applyFill="1" applyBorder="1" applyAlignment="1">
      <alignment horizontal="right" vertical="center"/>
    </xf>
    <xf numFmtId="0" fontId="14" fillId="2" borderId="2" xfId="7" applyFont="1" applyFill="1" applyBorder="1" applyAlignment="1">
      <alignment horizontal="right" vertical="center"/>
    </xf>
    <xf numFmtId="167" fontId="16" fillId="0" borderId="1" xfId="3" applyNumberFormat="1" applyFont="1" applyBorder="1" applyAlignment="1">
      <alignment horizontal="center" vertical="center"/>
    </xf>
    <xf numFmtId="167" fontId="16" fillId="0" borderId="2" xfId="3" applyNumberFormat="1" applyFont="1" applyBorder="1" applyAlignment="1">
      <alignment horizontal="center" vertical="center"/>
    </xf>
    <xf numFmtId="167" fontId="16" fillId="0" borderId="3" xfId="3" applyNumberFormat="1" applyFont="1" applyBorder="1" applyAlignment="1">
      <alignment horizontal="center" vertical="center"/>
    </xf>
    <xf numFmtId="0" fontId="10" fillId="0" borderId="10" xfId="3" applyFont="1" applyBorder="1" applyAlignment="1">
      <alignment horizontal="right" vertical="center"/>
    </xf>
    <xf numFmtId="0" fontId="10" fillId="0" borderId="11" xfId="3" applyFont="1" applyBorder="1" applyAlignment="1">
      <alignment horizontal="right" vertical="center"/>
    </xf>
    <xf numFmtId="0" fontId="10" fillId="0" borderId="23" xfId="3" applyFont="1" applyBorder="1" applyAlignment="1">
      <alignment horizontal="right" vertical="center"/>
    </xf>
    <xf numFmtId="167" fontId="10" fillId="0" borderId="5" xfId="1" applyNumberFormat="1" applyFont="1" applyFill="1" applyBorder="1" applyAlignment="1">
      <alignment horizontal="right" vertical="center"/>
    </xf>
    <xf numFmtId="167" fontId="10" fillId="0" borderId="18" xfId="1" applyNumberFormat="1" applyFont="1" applyFill="1" applyBorder="1" applyAlignment="1">
      <alignment horizontal="right" vertical="center"/>
    </xf>
    <xf numFmtId="0" fontId="5" fillId="0" borderId="10" xfId="3" applyFont="1" applyBorder="1" applyAlignment="1">
      <alignment horizontal="right" vertical="center"/>
    </xf>
    <xf numFmtId="0" fontId="5" fillId="0" borderId="11" xfId="3" applyFont="1" applyBorder="1" applyAlignment="1">
      <alignment horizontal="right" vertical="center"/>
    </xf>
    <xf numFmtId="0" fontId="5" fillId="0" borderId="12" xfId="3" applyFont="1" applyBorder="1" applyAlignment="1">
      <alignment horizontal="right" vertical="center"/>
    </xf>
    <xf numFmtId="167" fontId="10" fillId="0" borderId="10" xfId="4" applyNumberFormat="1" applyFont="1" applyFill="1" applyBorder="1" applyAlignment="1">
      <alignment horizontal="right" vertical="center"/>
    </xf>
    <xf numFmtId="167" fontId="10" fillId="0" borderId="11" xfId="4" applyNumberFormat="1" applyFont="1" applyFill="1" applyBorder="1" applyAlignment="1">
      <alignment horizontal="right" vertical="center"/>
    </xf>
    <xf numFmtId="167" fontId="10" fillId="0" borderId="12" xfId="4" applyNumberFormat="1" applyFont="1" applyFill="1" applyBorder="1" applyAlignment="1">
      <alignment horizontal="right" vertical="center"/>
    </xf>
    <xf numFmtId="167" fontId="10" fillId="0" borderId="4" xfId="1" applyNumberFormat="1" applyFont="1" applyFill="1" applyBorder="1" applyAlignment="1">
      <alignment horizontal="right" vertical="center"/>
    </xf>
    <xf numFmtId="167" fontId="10" fillId="0" borderId="13" xfId="1" applyNumberFormat="1" applyFont="1" applyFill="1" applyBorder="1" applyAlignment="1">
      <alignment horizontal="right" vertical="center"/>
    </xf>
    <xf numFmtId="0" fontId="6" fillId="0" borderId="0" xfId="3" applyFont="1" applyAlignment="1">
      <alignment horizontal="center" vertical="center"/>
    </xf>
    <xf numFmtId="1" fontId="2" fillId="0" borderId="0" xfId="3" applyNumberFormat="1" applyAlignment="1">
      <alignment horizontal="center"/>
    </xf>
    <xf numFmtId="0" fontId="6" fillId="5" borderId="15" xfId="3" applyFont="1" applyFill="1" applyBorder="1" applyAlignment="1">
      <alignment horizontal="center" vertical="center"/>
    </xf>
    <xf numFmtId="0" fontId="6" fillId="5" borderId="17" xfId="3" applyFont="1" applyFill="1" applyBorder="1" applyAlignment="1">
      <alignment horizontal="center" vertical="center"/>
    </xf>
    <xf numFmtId="0" fontId="6" fillId="0" borderId="0" xfId="3" applyFont="1" applyAlignment="1">
      <alignment horizontal="center" vertical="center" wrapText="1"/>
    </xf>
    <xf numFmtId="0" fontId="6" fillId="5" borderId="15" xfId="3" applyFont="1" applyFill="1" applyBorder="1" applyAlignment="1">
      <alignment horizontal="center" vertical="center" wrapText="1"/>
    </xf>
    <xf numFmtId="0" fontId="6" fillId="5" borderId="17" xfId="3" applyFont="1" applyFill="1" applyBorder="1" applyAlignment="1">
      <alignment horizontal="center" vertical="center" wrapText="1"/>
    </xf>
    <xf numFmtId="0" fontId="3" fillId="3" borderId="8" xfId="3" applyFont="1" applyFill="1" applyBorder="1" applyAlignment="1">
      <alignment horizontal="center" vertical="center" wrapText="1"/>
    </xf>
    <xf numFmtId="0" fontId="3" fillId="3" borderId="9" xfId="3" applyFont="1" applyFill="1" applyBorder="1" applyAlignment="1">
      <alignment horizontal="center" vertical="center" wrapText="1"/>
    </xf>
    <xf numFmtId="1" fontId="3" fillId="5" borderId="4" xfId="3" applyNumberFormat="1" applyFont="1" applyFill="1" applyBorder="1" applyAlignment="1">
      <alignment horizontal="center" vertical="center"/>
    </xf>
    <xf numFmtId="1" fontId="3" fillId="5" borderId="8" xfId="3" applyNumberFormat="1" applyFont="1" applyFill="1" applyBorder="1" applyAlignment="1">
      <alignment horizontal="center" vertical="center"/>
    </xf>
    <xf numFmtId="1" fontId="3" fillId="5" borderId="13" xfId="3" applyNumberFormat="1" applyFont="1" applyFill="1" applyBorder="1" applyAlignment="1">
      <alignment horizontal="center" vertical="center" wrapText="1"/>
    </xf>
    <xf numFmtId="1" fontId="3" fillId="5" borderId="16" xfId="3" applyNumberFormat="1" applyFont="1" applyFill="1" applyBorder="1" applyAlignment="1">
      <alignment horizontal="center" vertical="center" wrapText="1"/>
    </xf>
    <xf numFmtId="1" fontId="3" fillId="5" borderId="13" xfId="3" applyNumberFormat="1" applyFont="1" applyFill="1" applyBorder="1" applyAlignment="1">
      <alignment horizontal="center" vertical="center"/>
    </xf>
    <xf numFmtId="1" fontId="3" fillId="5" borderId="16" xfId="3" applyNumberFormat="1" applyFont="1" applyFill="1" applyBorder="1" applyAlignment="1">
      <alignment horizontal="center" vertical="center"/>
    </xf>
    <xf numFmtId="2" fontId="3" fillId="5" borderId="13" xfId="3" applyNumberFormat="1" applyFont="1" applyFill="1" applyBorder="1" applyAlignment="1">
      <alignment horizontal="center" vertical="center" wrapText="1"/>
    </xf>
    <xf numFmtId="2" fontId="3" fillId="5" borderId="16" xfId="3" applyNumberFormat="1" applyFont="1" applyFill="1" applyBorder="1" applyAlignment="1">
      <alignment horizontal="center" vertical="center" wrapText="1"/>
    </xf>
    <xf numFmtId="166" fontId="3" fillId="5" borderId="13" xfId="3" applyNumberFormat="1" applyFont="1" applyFill="1" applyBorder="1" applyAlignment="1">
      <alignment horizontal="center" vertical="center"/>
    </xf>
    <xf numFmtId="166" fontId="3" fillId="5" borderId="16" xfId="3" applyNumberFormat="1" applyFont="1" applyFill="1" applyBorder="1" applyAlignment="1">
      <alignment horizontal="center" vertical="center"/>
    </xf>
    <xf numFmtId="167" fontId="3" fillId="5" borderId="14" xfId="4" applyNumberFormat="1" applyFont="1" applyFill="1" applyBorder="1" applyAlignment="1">
      <alignment horizontal="center" vertical="center"/>
    </xf>
    <xf numFmtId="167" fontId="3" fillId="5" borderId="9" xfId="4" applyNumberFormat="1" applyFont="1" applyFill="1" applyBorder="1" applyAlignment="1">
      <alignment horizontal="center" vertical="center"/>
    </xf>
    <xf numFmtId="167" fontId="3" fillId="5" borderId="4" xfId="3" applyNumberFormat="1" applyFont="1" applyFill="1" applyBorder="1" applyAlignment="1">
      <alignment horizontal="center" vertical="center" wrapText="1"/>
    </xf>
    <xf numFmtId="167" fontId="3" fillId="5" borderId="8" xfId="3" applyNumberFormat="1" applyFont="1" applyFill="1" applyBorder="1" applyAlignment="1">
      <alignment horizontal="center" vertical="center" wrapText="1"/>
    </xf>
    <xf numFmtId="167" fontId="3" fillId="5" borderId="14" xfId="3" applyNumberFormat="1" applyFont="1" applyFill="1" applyBorder="1" applyAlignment="1">
      <alignment horizontal="center" vertical="center" wrapText="1"/>
    </xf>
    <xf numFmtId="167" fontId="3" fillId="5" borderId="9" xfId="3" applyNumberFormat="1" applyFont="1" applyFill="1" applyBorder="1" applyAlignment="1">
      <alignment horizontal="center" vertical="center" wrapText="1"/>
    </xf>
    <xf numFmtId="0" fontId="3" fillId="0" borderId="0" xfId="3" applyFont="1" applyAlignment="1">
      <alignment horizontal="center" vertical="center" wrapText="1"/>
    </xf>
    <xf numFmtId="1" fontId="3" fillId="0" borderId="18" xfId="5" applyNumberFormat="1" applyFont="1" applyFill="1" applyBorder="1" applyAlignment="1">
      <alignment horizontal="center" vertical="center" wrapText="1"/>
    </xf>
  </cellXfs>
  <cellStyles count="8">
    <cellStyle name="Moneda" xfId="1" builtinId="4"/>
    <cellStyle name="Moneda 4" xfId="4"/>
    <cellStyle name="Normal" xfId="0" builtinId="0"/>
    <cellStyle name="Normal 13 2" xfId="7"/>
    <cellStyle name="Normal 2 10 2 2" xfId="5"/>
    <cellStyle name="Normal 5" xfId="3"/>
    <cellStyle name="Normal 6 2" xfId="6"/>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forma/OneDrive/Documentos/SINTETICAS/placas/(CONTRATO%202)%20PRESUPUESTO%20ORGANIZADO%20PLACAS%20POLIDEPORTIVA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ú Principal"/>
      <sheetName val="Manual de Instrucciones"/>
      <sheetName val="Datos de Entrada"/>
      <sheetName val="Base de referencia INDER"/>
      <sheetName val="APU Base de referencia Inder"/>
      <sheetName val="Memoría Cantidades"/>
      <sheetName val="Presupuesto de Obra"/>
      <sheetName val="Analisis de Precios Unitarios"/>
      <sheetName val="AIU"/>
      <sheetName val="Presupuesto Ambiental"/>
      <sheetName val="Presupuesto de Gestión Social"/>
      <sheetName val="Presupuesto SST"/>
      <sheetName val="Impuestos Obra"/>
      <sheetName val="Pólizas Obra"/>
      <sheetName val="Factor Multiplicador Int"/>
      <sheetName val="Presupuesto Interventoría"/>
      <sheetName val="Impuestos Interventoría"/>
      <sheetName val="Pólizas Interventoría"/>
      <sheetName val="Factor Prestacional"/>
      <sheetName val="Insumos Mano de Obra"/>
      <sheetName val="Lista Escenarios"/>
    </sheetNames>
    <sheetDataSet>
      <sheetData sheetId="0">
        <row r="3">
          <cell r="B3" t="str">
            <v>INSTITUTO DE DEPORTES Y RECREACION</v>
          </cell>
        </row>
      </sheetData>
      <sheetData sheetId="1"/>
      <sheetData sheetId="2">
        <row r="6">
          <cell r="C6" t="str">
            <v xml:space="preserve">PLACAS POLIDEPORTIVAS </v>
          </cell>
        </row>
      </sheetData>
      <sheetData sheetId="3"/>
      <sheetData sheetId="4"/>
      <sheetData sheetId="5"/>
      <sheetData sheetId="6"/>
      <sheetData sheetId="7">
        <row r="1">
          <cell r="B1" t="str">
            <v xml:space="preserve"> </v>
          </cell>
        </row>
      </sheetData>
      <sheetData sheetId="8">
        <row r="99">
          <cell r="H99">
            <v>0.20260968427744</v>
          </cell>
        </row>
      </sheetData>
      <sheetData sheetId="9">
        <row r="113">
          <cell r="G113">
            <v>23804072</v>
          </cell>
        </row>
      </sheetData>
      <sheetData sheetId="10">
        <row r="37">
          <cell r="G37">
            <v>6930000</v>
          </cell>
        </row>
      </sheetData>
      <sheetData sheetId="11">
        <row r="47">
          <cell r="G47">
            <v>39471300</v>
          </cell>
        </row>
      </sheetData>
      <sheetData sheetId="12"/>
      <sheetData sheetId="13">
        <row r="25">
          <cell r="H25">
            <v>23931547</v>
          </cell>
        </row>
      </sheetData>
      <sheetData sheetId="14"/>
      <sheetData sheetId="15">
        <row r="57">
          <cell r="I57">
            <v>395211224.82619375</v>
          </cell>
        </row>
      </sheetData>
      <sheetData sheetId="16"/>
      <sheetData sheetId="17"/>
      <sheetData sheetId="18"/>
      <sheetData sheetId="19"/>
      <sheetData sheetId="2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Z162"/>
  <sheetViews>
    <sheetView tabSelected="1" zoomScale="60" zoomScaleNormal="60" workbookViewId="0">
      <selection activeCell="G9" sqref="G9"/>
    </sheetView>
  </sheetViews>
  <sheetFormatPr baseColWidth="10" defaultRowHeight="12.75"/>
  <cols>
    <col min="1" max="1" width="2.375" style="6" customWidth="1"/>
    <col min="2" max="2" width="14.375" style="1" customWidth="1"/>
    <col min="3" max="3" width="14.375" style="1" hidden="1" customWidth="1"/>
    <col min="4" max="4" width="72.125" style="2" customWidth="1"/>
    <col min="5" max="5" width="8.5" style="1" customWidth="1"/>
    <col min="6" max="6" width="13.375" style="3" customWidth="1"/>
    <col min="7" max="7" width="26" style="4" customWidth="1"/>
    <col min="8" max="8" width="26" style="5" customWidth="1"/>
    <col min="9" max="9" width="2.125" style="5" customWidth="1"/>
    <col min="10" max="12" width="19.625" style="5" hidden="1" customWidth="1"/>
    <col min="13" max="13" width="2.125" style="5" hidden="1" customWidth="1"/>
    <col min="14" max="14" width="19.625" style="5" hidden="1" customWidth="1"/>
    <col min="15" max="15" width="27.625" style="5" hidden="1" customWidth="1"/>
    <col min="16" max="16" width="2.125" style="5" hidden="1" customWidth="1"/>
    <col min="17" max="17" width="13.625" style="6" customWidth="1"/>
    <col min="18" max="18" width="19.875" style="6" customWidth="1"/>
    <col min="19" max="19" width="1.875" style="6" customWidth="1"/>
    <col min="20" max="20" width="7.875" style="6" customWidth="1"/>
    <col min="21" max="21" width="19.875" style="6" customWidth="1"/>
    <col min="22" max="22" width="2.125" style="6" customWidth="1"/>
    <col min="23" max="23" width="7.875" style="6" customWidth="1"/>
    <col min="24" max="24" width="19.875" style="6" customWidth="1"/>
    <col min="25" max="25" width="2.125" style="6" customWidth="1"/>
    <col min="26" max="26" width="7.875" style="6" customWidth="1"/>
    <col min="27" max="27" width="19.875" style="6" customWidth="1"/>
    <col min="28" max="28" width="2.125" style="6" customWidth="1"/>
    <col min="29" max="29" width="7.875" style="6" customWidth="1"/>
    <col min="30" max="30" width="19.875" style="6" customWidth="1"/>
    <col min="31" max="31" width="2.125" style="6" customWidth="1"/>
    <col min="32" max="32" width="7.875" style="6" customWidth="1"/>
    <col min="33" max="33" width="19.875" style="6" customWidth="1"/>
    <col min="34" max="34" width="2.125" style="6" customWidth="1"/>
    <col min="35" max="35" width="7.875" style="6" customWidth="1"/>
    <col min="36" max="36" width="19.875" style="6" customWidth="1"/>
    <col min="37" max="37" width="2.125" style="6" customWidth="1"/>
    <col min="38" max="38" width="7.875" style="6" customWidth="1"/>
    <col min="39" max="39" width="19.875" style="6" customWidth="1"/>
    <col min="40" max="40" width="2.125" style="6" customWidth="1"/>
    <col min="41" max="41" width="7.875" style="6" customWidth="1"/>
    <col min="42" max="42" width="19.875" style="6" customWidth="1"/>
    <col min="43" max="43" width="2.125" style="6" customWidth="1"/>
    <col min="44" max="44" width="7.875" style="6" customWidth="1"/>
    <col min="45" max="45" width="19.875" style="6" customWidth="1"/>
    <col min="46" max="46" width="2.125" style="6" customWidth="1"/>
    <col min="47" max="47" width="11.5" style="6"/>
    <col min="48" max="48" width="23" style="6" customWidth="1"/>
    <col min="49" max="49" width="2.875" style="6" customWidth="1"/>
    <col min="50" max="50" width="11.5" style="6"/>
    <col min="51" max="51" width="21.625" style="6" customWidth="1"/>
    <col min="52" max="52" width="2.875" style="6" customWidth="1"/>
    <col min="53" max="53" width="11.5" style="6"/>
    <col min="54" max="54" width="17.125" style="6" customWidth="1"/>
    <col min="55" max="55" width="3.375" style="6" customWidth="1"/>
    <col min="56" max="56" width="11.5" style="6"/>
    <col min="57" max="57" width="21" style="6" customWidth="1"/>
    <col min="58" max="58" width="3.375" style="6" customWidth="1"/>
    <col min="59" max="59" width="11.5" style="6"/>
    <col min="60" max="60" width="20.5" style="6" customWidth="1"/>
    <col min="61" max="61" width="2.875" style="6" customWidth="1"/>
    <col min="62" max="62" width="11.5" style="6"/>
    <col min="63" max="63" width="23.5" style="6" customWidth="1"/>
    <col min="64" max="64" width="2.625" style="6" customWidth="1"/>
    <col min="65" max="65" width="11.5" style="6"/>
    <col min="66" max="66" width="22.875" style="6" customWidth="1"/>
    <col min="67" max="67" width="3.125" style="6" customWidth="1"/>
    <col min="68" max="68" width="11.5" style="6"/>
    <col min="69" max="69" width="17.5" style="6" customWidth="1"/>
    <col min="70" max="70" width="3.375" style="6" customWidth="1"/>
    <col min="71" max="71" width="11.5" style="6"/>
    <col min="72" max="72" width="19.375" style="6" customWidth="1"/>
    <col min="73" max="73" width="3.625" style="6" customWidth="1"/>
    <col min="74" max="74" width="11.5" style="6"/>
    <col min="75" max="75" width="22.875" style="6" customWidth="1"/>
    <col min="76" max="76" width="2.5" style="6" customWidth="1"/>
    <col min="77" max="77" width="11.5" style="6"/>
    <col min="78" max="78" width="17.5" style="6" customWidth="1"/>
    <col min="79" max="242" width="11.5" style="6"/>
    <col min="243" max="243" width="7.125" style="6" customWidth="1"/>
    <col min="244" max="244" width="17.875" style="6" customWidth="1"/>
    <col min="245" max="245" width="39.5" style="6" customWidth="1"/>
    <col min="246" max="247" width="6.5" style="6" customWidth="1"/>
    <col min="248" max="248" width="12.625" style="6" customWidth="1"/>
    <col min="249" max="249" width="15" style="6" customWidth="1"/>
    <col min="250" max="498" width="11.5" style="6"/>
    <col min="499" max="499" width="7.125" style="6" customWidth="1"/>
    <col min="500" max="500" width="17.875" style="6" customWidth="1"/>
    <col min="501" max="501" width="39.5" style="6" customWidth="1"/>
    <col min="502" max="503" width="6.5" style="6" customWidth="1"/>
    <col min="504" max="504" width="12.625" style="6" customWidth="1"/>
    <col min="505" max="505" width="15" style="6" customWidth="1"/>
    <col min="506" max="754" width="11.5" style="6"/>
    <col min="755" max="755" width="7.125" style="6" customWidth="1"/>
    <col min="756" max="756" width="17.875" style="6" customWidth="1"/>
    <col min="757" max="757" width="39.5" style="6" customWidth="1"/>
    <col min="758" max="759" width="6.5" style="6" customWidth="1"/>
    <col min="760" max="760" width="12.625" style="6" customWidth="1"/>
    <col min="761" max="761" width="15" style="6" customWidth="1"/>
    <col min="762" max="1010" width="11.5" style="6"/>
    <col min="1011" max="1011" width="7.125" style="6" customWidth="1"/>
    <col min="1012" max="1012" width="17.875" style="6" customWidth="1"/>
    <col min="1013" max="1013" width="39.5" style="6" customWidth="1"/>
    <col min="1014" max="1015" width="6.5" style="6" customWidth="1"/>
    <col min="1016" max="1016" width="12.625" style="6" customWidth="1"/>
    <col min="1017" max="1017" width="15" style="6" customWidth="1"/>
    <col min="1018" max="1266" width="11.5" style="6"/>
    <col min="1267" max="1267" width="7.125" style="6" customWidth="1"/>
    <col min="1268" max="1268" width="17.875" style="6" customWidth="1"/>
    <col min="1269" max="1269" width="39.5" style="6" customWidth="1"/>
    <col min="1270" max="1271" width="6.5" style="6" customWidth="1"/>
    <col min="1272" max="1272" width="12.625" style="6" customWidth="1"/>
    <col min="1273" max="1273" width="15" style="6" customWidth="1"/>
    <col min="1274" max="1522" width="11.5" style="6"/>
    <col min="1523" max="1523" width="7.125" style="6" customWidth="1"/>
    <col min="1524" max="1524" width="17.875" style="6" customWidth="1"/>
    <col min="1525" max="1525" width="39.5" style="6" customWidth="1"/>
    <col min="1526" max="1527" width="6.5" style="6" customWidth="1"/>
    <col min="1528" max="1528" width="12.625" style="6" customWidth="1"/>
    <col min="1529" max="1529" width="15" style="6" customWidth="1"/>
    <col min="1530" max="1778" width="11.5" style="6"/>
    <col min="1779" max="1779" width="7.125" style="6" customWidth="1"/>
    <col min="1780" max="1780" width="17.875" style="6" customWidth="1"/>
    <col min="1781" max="1781" width="39.5" style="6" customWidth="1"/>
    <col min="1782" max="1783" width="6.5" style="6" customWidth="1"/>
    <col min="1784" max="1784" width="12.625" style="6" customWidth="1"/>
    <col min="1785" max="1785" width="15" style="6" customWidth="1"/>
    <col min="1786" max="2034" width="11.5" style="6"/>
    <col min="2035" max="2035" width="7.125" style="6" customWidth="1"/>
    <col min="2036" max="2036" width="17.875" style="6" customWidth="1"/>
    <col min="2037" max="2037" width="39.5" style="6" customWidth="1"/>
    <col min="2038" max="2039" width="6.5" style="6" customWidth="1"/>
    <col min="2040" max="2040" width="12.625" style="6" customWidth="1"/>
    <col min="2041" max="2041" width="15" style="6" customWidth="1"/>
    <col min="2042" max="2290" width="11.5" style="6"/>
    <col min="2291" max="2291" width="7.125" style="6" customWidth="1"/>
    <col min="2292" max="2292" width="17.875" style="6" customWidth="1"/>
    <col min="2293" max="2293" width="39.5" style="6" customWidth="1"/>
    <col min="2294" max="2295" width="6.5" style="6" customWidth="1"/>
    <col min="2296" max="2296" width="12.625" style="6" customWidth="1"/>
    <col min="2297" max="2297" width="15" style="6" customWidth="1"/>
    <col min="2298" max="2546" width="11.5" style="6"/>
    <col min="2547" max="2547" width="7.125" style="6" customWidth="1"/>
    <col min="2548" max="2548" width="17.875" style="6" customWidth="1"/>
    <col min="2549" max="2549" width="39.5" style="6" customWidth="1"/>
    <col min="2550" max="2551" width="6.5" style="6" customWidth="1"/>
    <col min="2552" max="2552" width="12.625" style="6" customWidth="1"/>
    <col min="2553" max="2553" width="15" style="6" customWidth="1"/>
    <col min="2554" max="2802" width="11.5" style="6"/>
    <col min="2803" max="2803" width="7.125" style="6" customWidth="1"/>
    <col min="2804" max="2804" width="17.875" style="6" customWidth="1"/>
    <col min="2805" max="2805" width="39.5" style="6" customWidth="1"/>
    <col min="2806" max="2807" width="6.5" style="6" customWidth="1"/>
    <col min="2808" max="2808" width="12.625" style="6" customWidth="1"/>
    <col min="2809" max="2809" width="15" style="6" customWidth="1"/>
    <col min="2810" max="3058" width="11.5" style="6"/>
    <col min="3059" max="3059" width="7.125" style="6" customWidth="1"/>
    <col min="3060" max="3060" width="17.875" style="6" customWidth="1"/>
    <col min="3061" max="3061" width="39.5" style="6" customWidth="1"/>
    <col min="3062" max="3063" width="6.5" style="6" customWidth="1"/>
    <col min="3064" max="3064" width="12.625" style="6" customWidth="1"/>
    <col min="3065" max="3065" width="15" style="6" customWidth="1"/>
    <col min="3066" max="3314" width="11.5" style="6"/>
    <col min="3315" max="3315" width="7.125" style="6" customWidth="1"/>
    <col min="3316" max="3316" width="17.875" style="6" customWidth="1"/>
    <col min="3317" max="3317" width="39.5" style="6" customWidth="1"/>
    <col min="3318" max="3319" width="6.5" style="6" customWidth="1"/>
    <col min="3320" max="3320" width="12.625" style="6" customWidth="1"/>
    <col min="3321" max="3321" width="15" style="6" customWidth="1"/>
    <col min="3322" max="3570" width="11.5" style="6"/>
    <col min="3571" max="3571" width="7.125" style="6" customWidth="1"/>
    <col min="3572" max="3572" width="17.875" style="6" customWidth="1"/>
    <col min="3573" max="3573" width="39.5" style="6" customWidth="1"/>
    <col min="3574" max="3575" width="6.5" style="6" customWidth="1"/>
    <col min="3576" max="3576" width="12.625" style="6" customWidth="1"/>
    <col min="3577" max="3577" width="15" style="6" customWidth="1"/>
    <col min="3578" max="3826" width="11.5" style="6"/>
    <col min="3827" max="3827" width="7.125" style="6" customWidth="1"/>
    <col min="3828" max="3828" width="17.875" style="6" customWidth="1"/>
    <col min="3829" max="3829" width="39.5" style="6" customWidth="1"/>
    <col min="3830" max="3831" width="6.5" style="6" customWidth="1"/>
    <col min="3832" max="3832" width="12.625" style="6" customWidth="1"/>
    <col min="3833" max="3833" width="15" style="6" customWidth="1"/>
    <col min="3834" max="4082" width="11.5" style="6"/>
    <col min="4083" max="4083" width="7.125" style="6" customWidth="1"/>
    <col min="4084" max="4084" width="17.875" style="6" customWidth="1"/>
    <col min="4085" max="4085" width="39.5" style="6" customWidth="1"/>
    <col min="4086" max="4087" width="6.5" style="6" customWidth="1"/>
    <col min="4088" max="4088" width="12.625" style="6" customWidth="1"/>
    <col min="4089" max="4089" width="15" style="6" customWidth="1"/>
    <col min="4090" max="4338" width="11.5" style="6"/>
    <col min="4339" max="4339" width="7.125" style="6" customWidth="1"/>
    <col min="4340" max="4340" width="17.875" style="6" customWidth="1"/>
    <col min="4341" max="4341" width="39.5" style="6" customWidth="1"/>
    <col min="4342" max="4343" width="6.5" style="6" customWidth="1"/>
    <col min="4344" max="4344" width="12.625" style="6" customWidth="1"/>
    <col min="4345" max="4345" width="15" style="6" customWidth="1"/>
    <col min="4346" max="4594" width="11.5" style="6"/>
    <col min="4595" max="4595" width="7.125" style="6" customWidth="1"/>
    <col min="4596" max="4596" width="17.875" style="6" customWidth="1"/>
    <col min="4597" max="4597" width="39.5" style="6" customWidth="1"/>
    <col min="4598" max="4599" width="6.5" style="6" customWidth="1"/>
    <col min="4600" max="4600" width="12.625" style="6" customWidth="1"/>
    <col min="4601" max="4601" width="15" style="6" customWidth="1"/>
    <col min="4602" max="4850" width="11.5" style="6"/>
    <col min="4851" max="4851" width="7.125" style="6" customWidth="1"/>
    <col min="4852" max="4852" width="17.875" style="6" customWidth="1"/>
    <col min="4853" max="4853" width="39.5" style="6" customWidth="1"/>
    <col min="4854" max="4855" width="6.5" style="6" customWidth="1"/>
    <col min="4856" max="4856" width="12.625" style="6" customWidth="1"/>
    <col min="4857" max="4857" width="15" style="6" customWidth="1"/>
    <col min="4858" max="5106" width="11.5" style="6"/>
    <col min="5107" max="5107" width="7.125" style="6" customWidth="1"/>
    <col min="5108" max="5108" width="17.875" style="6" customWidth="1"/>
    <col min="5109" max="5109" width="39.5" style="6" customWidth="1"/>
    <col min="5110" max="5111" width="6.5" style="6" customWidth="1"/>
    <col min="5112" max="5112" width="12.625" style="6" customWidth="1"/>
    <col min="5113" max="5113" width="15" style="6" customWidth="1"/>
    <col min="5114" max="5362" width="11.5" style="6"/>
    <col min="5363" max="5363" width="7.125" style="6" customWidth="1"/>
    <col min="5364" max="5364" width="17.875" style="6" customWidth="1"/>
    <col min="5365" max="5365" width="39.5" style="6" customWidth="1"/>
    <col min="5366" max="5367" width="6.5" style="6" customWidth="1"/>
    <col min="5368" max="5368" width="12.625" style="6" customWidth="1"/>
    <col min="5369" max="5369" width="15" style="6" customWidth="1"/>
    <col min="5370" max="5618" width="11.5" style="6"/>
    <col min="5619" max="5619" width="7.125" style="6" customWidth="1"/>
    <col min="5620" max="5620" width="17.875" style="6" customWidth="1"/>
    <col min="5621" max="5621" width="39.5" style="6" customWidth="1"/>
    <col min="5622" max="5623" width="6.5" style="6" customWidth="1"/>
    <col min="5624" max="5624" width="12.625" style="6" customWidth="1"/>
    <col min="5625" max="5625" width="15" style="6" customWidth="1"/>
    <col min="5626" max="5874" width="11.5" style="6"/>
    <col min="5875" max="5875" width="7.125" style="6" customWidth="1"/>
    <col min="5876" max="5876" width="17.875" style="6" customWidth="1"/>
    <col min="5877" max="5877" width="39.5" style="6" customWidth="1"/>
    <col min="5878" max="5879" width="6.5" style="6" customWidth="1"/>
    <col min="5880" max="5880" width="12.625" style="6" customWidth="1"/>
    <col min="5881" max="5881" width="15" style="6" customWidth="1"/>
    <col min="5882" max="6130" width="11.5" style="6"/>
    <col min="6131" max="6131" width="7.125" style="6" customWidth="1"/>
    <col min="6132" max="6132" width="17.875" style="6" customWidth="1"/>
    <col min="6133" max="6133" width="39.5" style="6" customWidth="1"/>
    <col min="6134" max="6135" width="6.5" style="6" customWidth="1"/>
    <col min="6136" max="6136" width="12.625" style="6" customWidth="1"/>
    <col min="6137" max="6137" width="15" style="6" customWidth="1"/>
    <col min="6138" max="6386" width="11.5" style="6"/>
    <col min="6387" max="6387" width="7.125" style="6" customWidth="1"/>
    <col min="6388" max="6388" width="17.875" style="6" customWidth="1"/>
    <col min="6389" max="6389" width="39.5" style="6" customWidth="1"/>
    <col min="6390" max="6391" width="6.5" style="6" customWidth="1"/>
    <col min="6392" max="6392" width="12.625" style="6" customWidth="1"/>
    <col min="6393" max="6393" width="15" style="6" customWidth="1"/>
    <col min="6394" max="6642" width="11.5" style="6"/>
    <col min="6643" max="6643" width="7.125" style="6" customWidth="1"/>
    <col min="6644" max="6644" width="17.875" style="6" customWidth="1"/>
    <col min="6645" max="6645" width="39.5" style="6" customWidth="1"/>
    <col min="6646" max="6647" width="6.5" style="6" customWidth="1"/>
    <col min="6648" max="6648" width="12.625" style="6" customWidth="1"/>
    <col min="6649" max="6649" width="15" style="6" customWidth="1"/>
    <col min="6650" max="6898" width="11.5" style="6"/>
    <col min="6899" max="6899" width="7.125" style="6" customWidth="1"/>
    <col min="6900" max="6900" width="17.875" style="6" customWidth="1"/>
    <col min="6901" max="6901" width="39.5" style="6" customWidth="1"/>
    <col min="6902" max="6903" width="6.5" style="6" customWidth="1"/>
    <col min="6904" max="6904" width="12.625" style="6" customWidth="1"/>
    <col min="6905" max="6905" width="15" style="6" customWidth="1"/>
    <col min="6906" max="7154" width="11.5" style="6"/>
    <col min="7155" max="7155" width="7.125" style="6" customWidth="1"/>
    <col min="7156" max="7156" width="17.875" style="6" customWidth="1"/>
    <col min="7157" max="7157" width="39.5" style="6" customWidth="1"/>
    <col min="7158" max="7159" width="6.5" style="6" customWidth="1"/>
    <col min="7160" max="7160" width="12.625" style="6" customWidth="1"/>
    <col min="7161" max="7161" width="15" style="6" customWidth="1"/>
    <col min="7162" max="7410" width="11.5" style="6"/>
    <col min="7411" max="7411" width="7.125" style="6" customWidth="1"/>
    <col min="7412" max="7412" width="17.875" style="6" customWidth="1"/>
    <col min="7413" max="7413" width="39.5" style="6" customWidth="1"/>
    <col min="7414" max="7415" width="6.5" style="6" customWidth="1"/>
    <col min="7416" max="7416" width="12.625" style="6" customWidth="1"/>
    <col min="7417" max="7417" width="15" style="6" customWidth="1"/>
    <col min="7418" max="7666" width="11.5" style="6"/>
    <col min="7667" max="7667" width="7.125" style="6" customWidth="1"/>
    <col min="7668" max="7668" width="17.875" style="6" customWidth="1"/>
    <col min="7669" max="7669" width="39.5" style="6" customWidth="1"/>
    <col min="7670" max="7671" width="6.5" style="6" customWidth="1"/>
    <col min="7672" max="7672" width="12.625" style="6" customWidth="1"/>
    <col min="7673" max="7673" width="15" style="6" customWidth="1"/>
    <col min="7674" max="7922" width="11.5" style="6"/>
    <col min="7923" max="7923" width="7.125" style="6" customWidth="1"/>
    <col min="7924" max="7924" width="17.875" style="6" customWidth="1"/>
    <col min="7925" max="7925" width="39.5" style="6" customWidth="1"/>
    <col min="7926" max="7927" width="6.5" style="6" customWidth="1"/>
    <col min="7928" max="7928" width="12.625" style="6" customWidth="1"/>
    <col min="7929" max="7929" width="15" style="6" customWidth="1"/>
    <col min="7930" max="8178" width="11.5" style="6"/>
    <col min="8179" max="8179" width="7.125" style="6" customWidth="1"/>
    <col min="8180" max="8180" width="17.875" style="6" customWidth="1"/>
    <col min="8181" max="8181" width="39.5" style="6" customWidth="1"/>
    <col min="8182" max="8183" width="6.5" style="6" customWidth="1"/>
    <col min="8184" max="8184" width="12.625" style="6" customWidth="1"/>
    <col min="8185" max="8185" width="15" style="6" customWidth="1"/>
    <col min="8186" max="8434" width="11.5" style="6"/>
    <col min="8435" max="8435" width="7.125" style="6" customWidth="1"/>
    <col min="8436" max="8436" width="17.875" style="6" customWidth="1"/>
    <col min="8437" max="8437" width="39.5" style="6" customWidth="1"/>
    <col min="8438" max="8439" width="6.5" style="6" customWidth="1"/>
    <col min="8440" max="8440" width="12.625" style="6" customWidth="1"/>
    <col min="8441" max="8441" width="15" style="6" customWidth="1"/>
    <col min="8442" max="8690" width="11.5" style="6"/>
    <col min="8691" max="8691" width="7.125" style="6" customWidth="1"/>
    <col min="8692" max="8692" width="17.875" style="6" customWidth="1"/>
    <col min="8693" max="8693" width="39.5" style="6" customWidth="1"/>
    <col min="8694" max="8695" width="6.5" style="6" customWidth="1"/>
    <col min="8696" max="8696" width="12.625" style="6" customWidth="1"/>
    <col min="8697" max="8697" width="15" style="6" customWidth="1"/>
    <col min="8698" max="8946" width="11.5" style="6"/>
    <col min="8947" max="8947" width="7.125" style="6" customWidth="1"/>
    <col min="8948" max="8948" width="17.875" style="6" customWidth="1"/>
    <col min="8949" max="8949" width="39.5" style="6" customWidth="1"/>
    <col min="8950" max="8951" width="6.5" style="6" customWidth="1"/>
    <col min="8952" max="8952" width="12.625" style="6" customWidth="1"/>
    <col min="8953" max="8953" width="15" style="6" customWidth="1"/>
    <col min="8954" max="9202" width="11.5" style="6"/>
    <col min="9203" max="9203" width="7.125" style="6" customWidth="1"/>
    <col min="9204" max="9204" width="17.875" style="6" customWidth="1"/>
    <col min="9205" max="9205" width="39.5" style="6" customWidth="1"/>
    <col min="9206" max="9207" width="6.5" style="6" customWidth="1"/>
    <col min="9208" max="9208" width="12.625" style="6" customWidth="1"/>
    <col min="9209" max="9209" width="15" style="6" customWidth="1"/>
    <col min="9210" max="9458" width="11.5" style="6"/>
    <col min="9459" max="9459" width="7.125" style="6" customWidth="1"/>
    <col min="9460" max="9460" width="17.875" style="6" customWidth="1"/>
    <col min="9461" max="9461" width="39.5" style="6" customWidth="1"/>
    <col min="9462" max="9463" width="6.5" style="6" customWidth="1"/>
    <col min="9464" max="9464" width="12.625" style="6" customWidth="1"/>
    <col min="9465" max="9465" width="15" style="6" customWidth="1"/>
    <col min="9466" max="9714" width="11.5" style="6"/>
    <col min="9715" max="9715" width="7.125" style="6" customWidth="1"/>
    <col min="9716" max="9716" width="17.875" style="6" customWidth="1"/>
    <col min="9717" max="9717" width="39.5" style="6" customWidth="1"/>
    <col min="9718" max="9719" width="6.5" style="6" customWidth="1"/>
    <col min="9720" max="9720" width="12.625" style="6" customWidth="1"/>
    <col min="9721" max="9721" width="15" style="6" customWidth="1"/>
    <col min="9722" max="9970" width="11.5" style="6"/>
    <col min="9971" max="9971" width="7.125" style="6" customWidth="1"/>
    <col min="9972" max="9972" width="17.875" style="6" customWidth="1"/>
    <col min="9973" max="9973" width="39.5" style="6" customWidth="1"/>
    <col min="9974" max="9975" width="6.5" style="6" customWidth="1"/>
    <col min="9976" max="9976" width="12.625" style="6" customWidth="1"/>
    <col min="9977" max="9977" width="15" style="6" customWidth="1"/>
    <col min="9978" max="10226" width="11.5" style="6"/>
    <col min="10227" max="10227" width="7.125" style="6" customWidth="1"/>
    <col min="10228" max="10228" width="17.875" style="6" customWidth="1"/>
    <col min="10229" max="10229" width="39.5" style="6" customWidth="1"/>
    <col min="10230" max="10231" width="6.5" style="6" customWidth="1"/>
    <col min="10232" max="10232" width="12.625" style="6" customWidth="1"/>
    <col min="10233" max="10233" width="15" style="6" customWidth="1"/>
    <col min="10234" max="10482" width="11.5" style="6"/>
    <col min="10483" max="10483" width="7.125" style="6" customWidth="1"/>
    <col min="10484" max="10484" width="17.875" style="6" customWidth="1"/>
    <col min="10485" max="10485" width="39.5" style="6" customWidth="1"/>
    <col min="10486" max="10487" width="6.5" style="6" customWidth="1"/>
    <col min="10488" max="10488" width="12.625" style="6" customWidth="1"/>
    <col min="10489" max="10489" width="15" style="6" customWidth="1"/>
    <col min="10490" max="10738" width="11.5" style="6"/>
    <col min="10739" max="10739" width="7.125" style="6" customWidth="1"/>
    <col min="10740" max="10740" width="17.875" style="6" customWidth="1"/>
    <col min="10741" max="10741" width="39.5" style="6" customWidth="1"/>
    <col min="10742" max="10743" width="6.5" style="6" customWidth="1"/>
    <col min="10744" max="10744" width="12.625" style="6" customWidth="1"/>
    <col min="10745" max="10745" width="15" style="6" customWidth="1"/>
    <col min="10746" max="10994" width="11.5" style="6"/>
    <col min="10995" max="10995" width="7.125" style="6" customWidth="1"/>
    <col min="10996" max="10996" width="17.875" style="6" customWidth="1"/>
    <col min="10997" max="10997" width="39.5" style="6" customWidth="1"/>
    <col min="10998" max="10999" width="6.5" style="6" customWidth="1"/>
    <col min="11000" max="11000" width="12.625" style="6" customWidth="1"/>
    <col min="11001" max="11001" width="15" style="6" customWidth="1"/>
    <col min="11002" max="11250" width="11.5" style="6"/>
    <col min="11251" max="11251" width="7.125" style="6" customWidth="1"/>
    <col min="11252" max="11252" width="17.875" style="6" customWidth="1"/>
    <col min="11253" max="11253" width="39.5" style="6" customWidth="1"/>
    <col min="11254" max="11255" width="6.5" style="6" customWidth="1"/>
    <col min="11256" max="11256" width="12.625" style="6" customWidth="1"/>
    <col min="11257" max="11257" width="15" style="6" customWidth="1"/>
    <col min="11258" max="11506" width="11.5" style="6"/>
    <col min="11507" max="11507" width="7.125" style="6" customWidth="1"/>
    <col min="11508" max="11508" width="17.875" style="6" customWidth="1"/>
    <col min="11509" max="11509" width="39.5" style="6" customWidth="1"/>
    <col min="11510" max="11511" width="6.5" style="6" customWidth="1"/>
    <col min="11512" max="11512" width="12.625" style="6" customWidth="1"/>
    <col min="11513" max="11513" width="15" style="6" customWidth="1"/>
    <col min="11514" max="11762" width="11.5" style="6"/>
    <col min="11763" max="11763" width="7.125" style="6" customWidth="1"/>
    <col min="11764" max="11764" width="17.875" style="6" customWidth="1"/>
    <col min="11765" max="11765" width="39.5" style="6" customWidth="1"/>
    <col min="11766" max="11767" width="6.5" style="6" customWidth="1"/>
    <col min="11768" max="11768" width="12.625" style="6" customWidth="1"/>
    <col min="11769" max="11769" width="15" style="6" customWidth="1"/>
    <col min="11770" max="12018" width="11.5" style="6"/>
    <col min="12019" max="12019" width="7.125" style="6" customWidth="1"/>
    <col min="12020" max="12020" width="17.875" style="6" customWidth="1"/>
    <col min="12021" max="12021" width="39.5" style="6" customWidth="1"/>
    <col min="12022" max="12023" width="6.5" style="6" customWidth="1"/>
    <col min="12024" max="12024" width="12.625" style="6" customWidth="1"/>
    <col min="12025" max="12025" width="15" style="6" customWidth="1"/>
    <col min="12026" max="12274" width="11.5" style="6"/>
    <col min="12275" max="12275" width="7.125" style="6" customWidth="1"/>
    <col min="12276" max="12276" width="17.875" style="6" customWidth="1"/>
    <col min="12277" max="12277" width="39.5" style="6" customWidth="1"/>
    <col min="12278" max="12279" width="6.5" style="6" customWidth="1"/>
    <col min="12280" max="12280" width="12.625" style="6" customWidth="1"/>
    <col min="12281" max="12281" width="15" style="6" customWidth="1"/>
    <col min="12282" max="12530" width="11.5" style="6"/>
    <col min="12531" max="12531" width="7.125" style="6" customWidth="1"/>
    <col min="12532" max="12532" width="17.875" style="6" customWidth="1"/>
    <col min="12533" max="12533" width="39.5" style="6" customWidth="1"/>
    <col min="12534" max="12535" width="6.5" style="6" customWidth="1"/>
    <col min="12536" max="12536" width="12.625" style="6" customWidth="1"/>
    <col min="12537" max="12537" width="15" style="6" customWidth="1"/>
    <col min="12538" max="12786" width="11.5" style="6"/>
    <col min="12787" max="12787" width="7.125" style="6" customWidth="1"/>
    <col min="12788" max="12788" width="17.875" style="6" customWidth="1"/>
    <col min="12789" max="12789" width="39.5" style="6" customWidth="1"/>
    <col min="12790" max="12791" width="6.5" style="6" customWidth="1"/>
    <col min="12792" max="12792" width="12.625" style="6" customWidth="1"/>
    <col min="12793" max="12793" width="15" style="6" customWidth="1"/>
    <col min="12794" max="13042" width="11.5" style="6"/>
    <col min="13043" max="13043" width="7.125" style="6" customWidth="1"/>
    <col min="13044" max="13044" width="17.875" style="6" customWidth="1"/>
    <col min="13045" max="13045" width="39.5" style="6" customWidth="1"/>
    <col min="13046" max="13047" width="6.5" style="6" customWidth="1"/>
    <col min="13048" max="13048" width="12.625" style="6" customWidth="1"/>
    <col min="13049" max="13049" width="15" style="6" customWidth="1"/>
    <col min="13050" max="13298" width="11.5" style="6"/>
    <col min="13299" max="13299" width="7.125" style="6" customWidth="1"/>
    <col min="13300" max="13300" width="17.875" style="6" customWidth="1"/>
    <col min="13301" max="13301" width="39.5" style="6" customWidth="1"/>
    <col min="13302" max="13303" width="6.5" style="6" customWidth="1"/>
    <col min="13304" max="13304" width="12.625" style="6" customWidth="1"/>
    <col min="13305" max="13305" width="15" style="6" customWidth="1"/>
    <col min="13306" max="13554" width="11.5" style="6"/>
    <col min="13555" max="13555" width="7.125" style="6" customWidth="1"/>
    <col min="13556" max="13556" width="17.875" style="6" customWidth="1"/>
    <col min="13557" max="13557" width="39.5" style="6" customWidth="1"/>
    <col min="13558" max="13559" width="6.5" style="6" customWidth="1"/>
    <col min="13560" max="13560" width="12.625" style="6" customWidth="1"/>
    <col min="13561" max="13561" width="15" style="6" customWidth="1"/>
    <col min="13562" max="13810" width="11.5" style="6"/>
    <col min="13811" max="13811" width="7.125" style="6" customWidth="1"/>
    <col min="13812" max="13812" width="17.875" style="6" customWidth="1"/>
    <col min="13813" max="13813" width="39.5" style="6" customWidth="1"/>
    <col min="13814" max="13815" width="6.5" style="6" customWidth="1"/>
    <col min="13816" max="13816" width="12.625" style="6" customWidth="1"/>
    <col min="13817" max="13817" width="15" style="6" customWidth="1"/>
    <col min="13818" max="14066" width="11.5" style="6"/>
    <col min="14067" max="14067" width="7.125" style="6" customWidth="1"/>
    <col min="14068" max="14068" width="17.875" style="6" customWidth="1"/>
    <col min="14069" max="14069" width="39.5" style="6" customWidth="1"/>
    <col min="14070" max="14071" width="6.5" style="6" customWidth="1"/>
    <col min="14072" max="14072" width="12.625" style="6" customWidth="1"/>
    <col min="14073" max="14073" width="15" style="6" customWidth="1"/>
    <col min="14074" max="14322" width="11.5" style="6"/>
    <col min="14323" max="14323" width="7.125" style="6" customWidth="1"/>
    <col min="14324" max="14324" width="17.875" style="6" customWidth="1"/>
    <col min="14325" max="14325" width="39.5" style="6" customWidth="1"/>
    <col min="14326" max="14327" width="6.5" style="6" customWidth="1"/>
    <col min="14328" max="14328" width="12.625" style="6" customWidth="1"/>
    <col min="14329" max="14329" width="15" style="6" customWidth="1"/>
    <col min="14330" max="14578" width="11.5" style="6"/>
    <col min="14579" max="14579" width="7.125" style="6" customWidth="1"/>
    <col min="14580" max="14580" width="17.875" style="6" customWidth="1"/>
    <col min="14581" max="14581" width="39.5" style="6" customWidth="1"/>
    <col min="14582" max="14583" width="6.5" style="6" customWidth="1"/>
    <col min="14584" max="14584" width="12.625" style="6" customWidth="1"/>
    <col min="14585" max="14585" width="15" style="6" customWidth="1"/>
    <col min="14586" max="14834" width="11.5" style="6"/>
    <col min="14835" max="14835" width="7.125" style="6" customWidth="1"/>
    <col min="14836" max="14836" width="17.875" style="6" customWidth="1"/>
    <col min="14837" max="14837" width="39.5" style="6" customWidth="1"/>
    <col min="14838" max="14839" width="6.5" style="6" customWidth="1"/>
    <col min="14840" max="14840" width="12.625" style="6" customWidth="1"/>
    <col min="14841" max="14841" width="15" style="6" customWidth="1"/>
    <col min="14842" max="15090" width="11.5" style="6"/>
    <col min="15091" max="15091" width="7.125" style="6" customWidth="1"/>
    <col min="15092" max="15092" width="17.875" style="6" customWidth="1"/>
    <col min="15093" max="15093" width="39.5" style="6" customWidth="1"/>
    <col min="15094" max="15095" width="6.5" style="6" customWidth="1"/>
    <col min="15096" max="15096" width="12.625" style="6" customWidth="1"/>
    <col min="15097" max="15097" width="15" style="6" customWidth="1"/>
    <col min="15098" max="15346" width="11.5" style="6"/>
    <col min="15347" max="15347" width="7.125" style="6" customWidth="1"/>
    <col min="15348" max="15348" width="17.875" style="6" customWidth="1"/>
    <col min="15349" max="15349" width="39.5" style="6" customWidth="1"/>
    <col min="15350" max="15351" width="6.5" style="6" customWidth="1"/>
    <col min="15352" max="15352" width="12.625" style="6" customWidth="1"/>
    <col min="15353" max="15353" width="15" style="6" customWidth="1"/>
    <col min="15354" max="15602" width="11.5" style="6"/>
    <col min="15603" max="15603" width="7.125" style="6" customWidth="1"/>
    <col min="15604" max="15604" width="17.875" style="6" customWidth="1"/>
    <col min="15605" max="15605" width="39.5" style="6" customWidth="1"/>
    <col min="15606" max="15607" width="6.5" style="6" customWidth="1"/>
    <col min="15608" max="15608" width="12.625" style="6" customWidth="1"/>
    <col min="15609" max="15609" width="15" style="6" customWidth="1"/>
    <col min="15610" max="15858" width="11.5" style="6"/>
    <col min="15859" max="15859" width="7.125" style="6" customWidth="1"/>
    <col min="15860" max="15860" width="17.875" style="6" customWidth="1"/>
    <col min="15861" max="15861" width="39.5" style="6" customWidth="1"/>
    <col min="15862" max="15863" width="6.5" style="6" customWidth="1"/>
    <col min="15864" max="15864" width="12.625" style="6" customWidth="1"/>
    <col min="15865" max="15865" width="15" style="6" customWidth="1"/>
    <col min="15866" max="16384" width="11.5" style="6"/>
  </cols>
  <sheetData>
    <row r="1" spans="2:78">
      <c r="P1" s="6"/>
    </row>
    <row r="2" spans="2:78" ht="71.45" customHeight="1" thickBot="1">
      <c r="B2" s="98" t="s">
        <v>11</v>
      </c>
      <c r="C2" s="159" t="s">
        <v>259</v>
      </c>
      <c r="D2" s="159"/>
      <c r="E2" s="159"/>
      <c r="F2" s="159"/>
      <c r="G2" s="159"/>
      <c r="H2" s="159"/>
      <c r="I2" s="7"/>
      <c r="J2" s="8"/>
      <c r="K2" s="8"/>
      <c r="L2" s="8"/>
      <c r="M2" s="8"/>
      <c r="N2" s="8"/>
      <c r="O2" s="8"/>
      <c r="P2" s="6"/>
      <c r="Q2" s="140" t="s">
        <v>0</v>
      </c>
      <c r="R2" s="141"/>
      <c r="S2" s="10"/>
      <c r="T2" s="140" t="s">
        <v>1</v>
      </c>
      <c r="U2" s="141"/>
      <c r="V2" s="10"/>
      <c r="W2" s="140" t="s">
        <v>2</v>
      </c>
      <c r="X2" s="141"/>
      <c r="Y2" s="10"/>
      <c r="Z2" s="140" t="s">
        <v>3</v>
      </c>
      <c r="AA2" s="141"/>
      <c r="AB2" s="10"/>
      <c r="AC2" s="140" t="s">
        <v>4</v>
      </c>
      <c r="AD2" s="141"/>
      <c r="AF2" s="140" t="s">
        <v>5</v>
      </c>
      <c r="AG2" s="141"/>
      <c r="AH2" s="10"/>
      <c r="AI2" s="140" t="s">
        <v>6</v>
      </c>
      <c r="AJ2" s="141"/>
      <c r="AL2" s="140" t="s">
        <v>7</v>
      </c>
      <c r="AM2" s="141"/>
      <c r="AO2" s="140" t="s">
        <v>8</v>
      </c>
      <c r="AP2" s="141"/>
      <c r="AR2" s="140" t="s">
        <v>9</v>
      </c>
      <c r="AS2" s="141"/>
      <c r="AU2" s="140" t="s">
        <v>10</v>
      </c>
      <c r="AV2" s="141"/>
      <c r="BA2" s="158"/>
      <c r="BB2" s="158"/>
      <c r="BM2" s="158"/>
      <c r="BN2" s="158"/>
      <c r="BP2" s="158"/>
      <c r="BQ2" s="158"/>
      <c r="BY2" s="158"/>
      <c r="BZ2" s="158"/>
    </row>
    <row r="3" spans="2:78" ht="6.75" customHeight="1" thickBot="1">
      <c r="I3" s="7"/>
      <c r="J3" s="8"/>
      <c r="K3" s="8"/>
      <c r="L3" s="8"/>
      <c r="M3" s="8"/>
      <c r="N3" s="8"/>
      <c r="O3" s="8"/>
      <c r="P3" s="6"/>
      <c r="S3" s="11"/>
      <c r="V3" s="11"/>
      <c r="Y3" s="11"/>
      <c r="AB3" s="11"/>
      <c r="AH3" s="11"/>
    </row>
    <row r="4" spans="2:78" ht="18" customHeight="1">
      <c r="B4" s="142" t="s">
        <v>12</v>
      </c>
      <c r="C4" s="144" t="s">
        <v>13</v>
      </c>
      <c r="D4" s="146" t="s">
        <v>14</v>
      </c>
      <c r="E4" s="146" t="s">
        <v>15</v>
      </c>
      <c r="F4" s="148" t="s">
        <v>16</v>
      </c>
      <c r="G4" s="150" t="s">
        <v>17</v>
      </c>
      <c r="H4" s="152" t="s">
        <v>18</v>
      </c>
      <c r="I4" s="7"/>
      <c r="J4" s="12" t="s">
        <v>19</v>
      </c>
      <c r="K4" s="13" t="s">
        <v>20</v>
      </c>
      <c r="L4" s="14" t="s">
        <v>21</v>
      </c>
      <c r="M4" s="15"/>
      <c r="N4" s="154" t="s">
        <v>22</v>
      </c>
      <c r="O4" s="156" t="s">
        <v>23</v>
      </c>
      <c r="P4" s="6"/>
      <c r="Q4" s="138" t="s">
        <v>24</v>
      </c>
      <c r="R4" s="135" t="s">
        <v>25</v>
      </c>
      <c r="T4" s="138" t="s">
        <v>24</v>
      </c>
      <c r="U4" s="135" t="s">
        <v>25</v>
      </c>
      <c r="W4" s="138" t="s">
        <v>24</v>
      </c>
      <c r="X4" s="135" t="s">
        <v>25</v>
      </c>
      <c r="Z4" s="138" t="s">
        <v>24</v>
      </c>
      <c r="AA4" s="135" t="s">
        <v>25</v>
      </c>
      <c r="AC4" s="138" t="s">
        <v>24</v>
      </c>
      <c r="AD4" s="135" t="s">
        <v>25</v>
      </c>
      <c r="AF4" s="138" t="s">
        <v>24</v>
      </c>
      <c r="AG4" s="135" t="s">
        <v>25</v>
      </c>
      <c r="AI4" s="138" t="s">
        <v>24</v>
      </c>
      <c r="AJ4" s="135" t="s">
        <v>25</v>
      </c>
      <c r="AL4" s="138" t="s">
        <v>24</v>
      </c>
      <c r="AM4" s="135" t="s">
        <v>25</v>
      </c>
      <c r="AO4" s="138" t="s">
        <v>24</v>
      </c>
      <c r="AP4" s="135" t="s">
        <v>25</v>
      </c>
      <c r="AR4" s="138" t="s">
        <v>24</v>
      </c>
      <c r="AS4" s="135" t="s">
        <v>25</v>
      </c>
      <c r="AU4" s="138" t="s">
        <v>24</v>
      </c>
      <c r="AV4" s="135" t="s">
        <v>25</v>
      </c>
      <c r="BA4" s="137"/>
      <c r="BB4" s="133"/>
      <c r="BM4" s="137"/>
      <c r="BN4" s="133"/>
      <c r="BP4" s="137"/>
      <c r="BQ4" s="133"/>
      <c r="BY4" s="137"/>
      <c r="BZ4" s="133"/>
    </row>
    <row r="5" spans="2:78" ht="18" customHeight="1" thickBot="1">
      <c r="B5" s="143"/>
      <c r="C5" s="145"/>
      <c r="D5" s="147"/>
      <c r="E5" s="147"/>
      <c r="F5" s="149"/>
      <c r="G5" s="151"/>
      <c r="H5" s="153"/>
      <c r="I5" s="7"/>
      <c r="J5" s="16">
        <f>IFERROR($G$114,0)</f>
        <v>0.19909511800886001</v>
      </c>
      <c r="K5" s="17">
        <f>IFERROR($G$115,0)</f>
        <v>0.01</v>
      </c>
      <c r="L5" s="18">
        <f>IFERROR($G$116,0)</f>
        <v>0.04</v>
      </c>
      <c r="M5" s="15"/>
      <c r="N5" s="155"/>
      <c r="O5" s="157"/>
      <c r="P5" s="6"/>
      <c r="Q5" s="139"/>
      <c r="R5" s="136"/>
      <c r="T5" s="139"/>
      <c r="U5" s="136"/>
      <c r="W5" s="139"/>
      <c r="X5" s="136"/>
      <c r="Z5" s="139"/>
      <c r="AA5" s="136"/>
      <c r="AC5" s="139"/>
      <c r="AD5" s="136"/>
      <c r="AF5" s="139"/>
      <c r="AG5" s="136"/>
      <c r="AI5" s="139"/>
      <c r="AJ5" s="136"/>
      <c r="AL5" s="139"/>
      <c r="AM5" s="136"/>
      <c r="AO5" s="139"/>
      <c r="AP5" s="136"/>
      <c r="AR5" s="139"/>
      <c r="AS5" s="136"/>
      <c r="AU5" s="139"/>
      <c r="AV5" s="136"/>
      <c r="BA5" s="137"/>
      <c r="BB5" s="133"/>
      <c r="BM5" s="137"/>
      <c r="BN5" s="133"/>
      <c r="BP5" s="137"/>
      <c r="BQ5" s="133"/>
      <c r="BY5" s="137"/>
      <c r="BZ5" s="133"/>
    </row>
    <row r="6" spans="2:78" ht="14.25">
      <c r="B6" s="134"/>
      <c r="C6" s="134"/>
      <c r="D6" s="134"/>
      <c r="E6" s="134"/>
      <c r="F6" s="134"/>
      <c r="G6" s="134"/>
      <c r="H6" s="134"/>
      <c r="I6" s="7"/>
      <c r="J6" s="8"/>
      <c r="K6" s="8"/>
      <c r="L6" s="8"/>
      <c r="M6" s="8"/>
      <c r="N6" s="8"/>
      <c r="O6" s="8"/>
      <c r="P6" s="6"/>
      <c r="S6" s="11"/>
      <c r="V6" s="11"/>
      <c r="Y6" s="11"/>
      <c r="AB6" s="11"/>
      <c r="AH6" s="11"/>
    </row>
    <row r="7" spans="2:78" s="25" customFormat="1">
      <c r="B7" s="19">
        <v>1</v>
      </c>
      <c r="C7" s="20">
        <v>1</v>
      </c>
      <c r="D7" s="99" t="s">
        <v>26</v>
      </c>
      <c r="E7" s="100"/>
      <c r="F7" s="100"/>
      <c r="G7" s="100"/>
      <c r="H7" s="101"/>
      <c r="I7" s="21"/>
      <c r="J7" s="22" t="str">
        <f>+IF(F7=0,"",IFERROR($J$5*G7,""))</f>
        <v/>
      </c>
      <c r="K7" s="22" t="str">
        <f>+IF(F7=0,"",IFERROR($K$5*G7,""))</f>
        <v/>
      </c>
      <c r="L7" s="22" t="str">
        <f t="shared" ref="L7:L11" si="0">+IF(F7=0,"",IFERROR($L$5*G7,""))</f>
        <v/>
      </c>
      <c r="M7" s="23"/>
      <c r="N7" s="22" t="str">
        <f t="shared" ref="N7:N47" si="1">+IF(F7=0,"",IFERROR(L7+K7+J7+G7,""))</f>
        <v/>
      </c>
      <c r="O7" s="22" t="str">
        <f t="shared" ref="O7:O47" si="2">+IF(F7=0,"",IFERROR(F7*N7,""))</f>
        <v/>
      </c>
      <c r="P7" s="6"/>
      <c r="Q7" s="104"/>
      <c r="R7" s="105"/>
      <c r="S7" s="106"/>
      <c r="T7" s="104"/>
      <c r="U7" s="105"/>
      <c r="V7" s="106"/>
      <c r="W7" s="104"/>
      <c r="X7" s="105"/>
      <c r="Y7" s="106"/>
      <c r="Z7" s="104"/>
      <c r="AA7" s="105"/>
      <c r="AB7" s="106"/>
      <c r="AC7" s="104"/>
      <c r="AD7" s="105"/>
      <c r="AE7" s="107"/>
      <c r="AF7" s="104"/>
      <c r="AG7" s="105"/>
      <c r="AH7" s="106"/>
      <c r="AI7" s="104"/>
      <c r="AJ7" s="105"/>
      <c r="AK7" s="107"/>
      <c r="AL7" s="104"/>
      <c r="AM7" s="105"/>
      <c r="AN7" s="107"/>
      <c r="AO7" s="104"/>
      <c r="AP7" s="105"/>
      <c r="AQ7" s="107"/>
      <c r="AR7" s="104"/>
      <c r="AS7" s="105"/>
      <c r="AT7" s="107"/>
      <c r="AU7" s="104"/>
      <c r="AV7" s="24"/>
      <c r="BA7" s="26"/>
      <c r="BB7" s="27"/>
      <c r="BM7" s="26"/>
      <c r="BN7" s="27"/>
      <c r="BP7" s="26"/>
      <c r="BQ7" s="27"/>
      <c r="BY7" s="26"/>
      <c r="BZ7" s="27"/>
    </row>
    <row r="8" spans="2:78" s="25" customFormat="1">
      <c r="B8" s="19" t="s">
        <v>27</v>
      </c>
      <c r="C8" s="20" t="s">
        <v>27</v>
      </c>
      <c r="D8" s="99" t="s">
        <v>28</v>
      </c>
      <c r="E8" s="100"/>
      <c r="F8" s="100"/>
      <c r="G8" s="100"/>
      <c r="H8" s="101"/>
      <c r="I8" s="21"/>
      <c r="J8" s="22" t="str">
        <f t="shared" ref="J8" si="3">+IF(F8=0,"",IFERROR($J$5*G8,""))</f>
        <v/>
      </c>
      <c r="K8" s="22" t="str">
        <f>+IF(F8=0,"",IFERROR($K$5*G8,""))</f>
        <v/>
      </c>
      <c r="L8" s="22" t="str">
        <f t="shared" si="0"/>
        <v/>
      </c>
      <c r="M8" s="23"/>
      <c r="N8" s="22" t="str">
        <f t="shared" si="1"/>
        <v/>
      </c>
      <c r="O8" s="22" t="str">
        <f t="shared" si="2"/>
        <v/>
      </c>
      <c r="P8" s="6"/>
      <c r="Q8" s="104"/>
      <c r="R8" s="105"/>
      <c r="S8" s="106"/>
      <c r="T8" s="104"/>
      <c r="U8" s="105"/>
      <c r="V8" s="106"/>
      <c r="W8" s="104"/>
      <c r="X8" s="105"/>
      <c r="Y8" s="106"/>
      <c r="Z8" s="104"/>
      <c r="AA8" s="105"/>
      <c r="AB8" s="106"/>
      <c r="AC8" s="104"/>
      <c r="AD8" s="105"/>
      <c r="AE8" s="107"/>
      <c r="AF8" s="104"/>
      <c r="AG8" s="105"/>
      <c r="AH8" s="106"/>
      <c r="AI8" s="104"/>
      <c r="AJ8" s="105"/>
      <c r="AK8" s="107"/>
      <c r="AL8" s="104"/>
      <c r="AM8" s="105"/>
      <c r="AN8" s="107"/>
      <c r="AO8" s="104"/>
      <c r="AP8" s="105"/>
      <c r="AQ8" s="107"/>
      <c r="AR8" s="104"/>
      <c r="AS8" s="105"/>
      <c r="AT8" s="107"/>
      <c r="AU8" s="104"/>
      <c r="AV8" s="24"/>
      <c r="BA8" s="26"/>
      <c r="BB8" s="27"/>
      <c r="BM8" s="26"/>
      <c r="BN8" s="27"/>
      <c r="BP8" s="26"/>
      <c r="BQ8" s="27"/>
      <c r="BY8" s="26"/>
      <c r="BZ8" s="27"/>
    </row>
    <row r="9" spans="2:78" s="25" customFormat="1" ht="196.9" customHeight="1">
      <c r="B9" s="109" t="s">
        <v>29</v>
      </c>
      <c r="C9" s="29" t="s">
        <v>29</v>
      </c>
      <c r="D9" s="30" t="s">
        <v>166</v>
      </c>
      <c r="E9" s="31" t="s">
        <v>167</v>
      </c>
      <c r="F9" s="32">
        <f>+Q9+T9+W9+Z9+AC9+AF9+AI9+AL9+AO9+AR9+AU9</f>
        <v>1166</v>
      </c>
      <c r="G9" s="33">
        <v>40584</v>
      </c>
      <c r="H9" s="22">
        <f>+IF(F9=0,"",IFERROR(F9*G9,""))</f>
        <v>47320944</v>
      </c>
      <c r="I9" s="21"/>
      <c r="J9" s="22">
        <f>+IF(F9=0,"",IFERROR($J$5*G9,""))</f>
        <v>8080.0762692715743</v>
      </c>
      <c r="K9" s="22">
        <f>+IF(F9=0,"",IFERROR($K$5*G9,""))</f>
        <v>405.84000000000003</v>
      </c>
      <c r="L9" s="22">
        <f t="shared" si="0"/>
        <v>1623.3600000000001</v>
      </c>
      <c r="M9" s="23"/>
      <c r="N9" s="34">
        <f t="shared" si="1"/>
        <v>50693.276269271577</v>
      </c>
      <c r="O9" s="22">
        <f t="shared" si="2"/>
        <v>59108360.129970662</v>
      </c>
      <c r="P9" s="6"/>
      <c r="Q9" s="104">
        <f>36+36+22</f>
        <v>94</v>
      </c>
      <c r="R9" s="105">
        <f t="shared" ref="R9:R70" si="4">+IF(Q9=0,"",IFERROR(Q9*$G9,""))</f>
        <v>3814896</v>
      </c>
      <c r="S9" s="106"/>
      <c r="T9" s="104">
        <f>28+28+21+21</f>
        <v>98</v>
      </c>
      <c r="U9" s="105">
        <f t="shared" ref="U9:U70" si="5">+IF(T9=0,"",IFERROR(T9*$G9,""))</f>
        <v>3977232</v>
      </c>
      <c r="V9" s="106"/>
      <c r="W9" s="104">
        <f>19+27+27+19+10</f>
        <v>102</v>
      </c>
      <c r="X9" s="105">
        <f>+IF(W9=0,"",IFERROR(W9*$G9,""))</f>
        <v>4139568</v>
      </c>
      <c r="Y9" s="106"/>
      <c r="Z9" s="104">
        <f>24+24+40+40+10</f>
        <v>138</v>
      </c>
      <c r="AA9" s="105">
        <f>+IF(Z9=0,"",IFERROR(Z9*$G9,""))</f>
        <v>5600592</v>
      </c>
      <c r="AB9" s="106"/>
      <c r="AC9" s="104">
        <f>31+12+31+12+10</f>
        <v>96</v>
      </c>
      <c r="AD9" s="105">
        <f t="shared" ref="AD9:AD70" si="6">+IF(AC9=0,"",IFERROR(AC9*$G9,""))</f>
        <v>3896064</v>
      </c>
      <c r="AE9" s="107"/>
      <c r="AF9" s="104">
        <f>9+9+22+10</f>
        <v>50</v>
      </c>
      <c r="AG9" s="105">
        <f t="shared" ref="AG9:AG70" si="7">+IF(AF9=0,"",IFERROR(AF9*$G9,""))</f>
        <v>2029200</v>
      </c>
      <c r="AH9" s="106"/>
      <c r="AI9" s="104">
        <f>34+20+20+34+10</f>
        <v>118</v>
      </c>
      <c r="AJ9" s="105">
        <f t="shared" ref="AJ9:AJ70" si="8">+IF(AI9=0,"",IFERROR(AI9*$G9,""))</f>
        <v>4788912</v>
      </c>
      <c r="AK9" s="107"/>
      <c r="AL9" s="104">
        <f>36+36+20+20+10</f>
        <v>122</v>
      </c>
      <c r="AM9" s="105">
        <f>+IF(AL9=0,"",IFERROR(AL9*$G9,""))</f>
        <v>4951248</v>
      </c>
      <c r="AN9" s="107"/>
      <c r="AO9" s="104">
        <f>90+34</f>
        <v>124</v>
      </c>
      <c r="AP9" s="105">
        <f t="shared" ref="AP9:AP70" si="9">+IF(AO9=0,"",IFERROR(AO9*$G9,""))</f>
        <v>5032416</v>
      </c>
      <c r="AQ9" s="107"/>
      <c r="AR9" s="104">
        <f>30+20+20+30+10</f>
        <v>110</v>
      </c>
      <c r="AS9" s="105">
        <f>+IF(AR9=0,"",IFERROR(AR9*$G9,""))</f>
        <v>4464240</v>
      </c>
      <c r="AT9" s="107"/>
      <c r="AU9" s="104">
        <f>20+32+32+20+10</f>
        <v>114</v>
      </c>
      <c r="AV9" s="24">
        <f>+IF(AU9=0,"",IFERROR(AU9*$G9,""))</f>
        <v>4626576</v>
      </c>
      <c r="BA9" s="26"/>
      <c r="BB9" s="27"/>
      <c r="BM9" s="26"/>
      <c r="BN9" s="27"/>
      <c r="BP9" s="26"/>
      <c r="BQ9" s="27"/>
      <c r="BY9" s="26"/>
      <c r="BZ9" s="27"/>
    </row>
    <row r="10" spans="2:78" s="25" customFormat="1" ht="63" customHeight="1">
      <c r="B10" s="109" t="s">
        <v>30</v>
      </c>
      <c r="C10" s="29" t="s">
        <v>30</v>
      </c>
      <c r="D10" s="30" t="s">
        <v>168</v>
      </c>
      <c r="E10" s="31" t="s">
        <v>169</v>
      </c>
      <c r="F10" s="32">
        <f>+Q10+T10+W10+Z10+AC10+AF10+AI10+AL10+AO10+AR10+AU10</f>
        <v>44</v>
      </c>
      <c r="G10" s="33">
        <v>4489739</v>
      </c>
      <c r="H10" s="22">
        <f>+IF(F10=0,"",IFERROR(F10*G10,""))</f>
        <v>197548516</v>
      </c>
      <c r="I10" s="21"/>
      <c r="J10" s="22">
        <f t="shared" ref="J10:J96" si="10">+IF(F10=0,"",IFERROR($J$5*G10,""))</f>
        <v>893885.11603398109</v>
      </c>
      <c r="K10" s="22">
        <f t="shared" ref="K10:K96" si="11">+IF(F10=0,"",IFERROR($K$5*G10,""))</f>
        <v>44897.39</v>
      </c>
      <c r="L10" s="22">
        <f t="shared" si="0"/>
        <v>179589.56</v>
      </c>
      <c r="M10" s="23"/>
      <c r="N10" s="34">
        <f t="shared" si="1"/>
        <v>5608111.0660339808</v>
      </c>
      <c r="O10" s="22">
        <f t="shared" si="2"/>
        <v>246756886.90549517</v>
      </c>
      <c r="P10" s="6"/>
      <c r="Q10" s="104">
        <v>4</v>
      </c>
      <c r="R10" s="105">
        <f t="shared" si="4"/>
        <v>17958956</v>
      </c>
      <c r="S10" s="106"/>
      <c r="T10" s="104">
        <v>4</v>
      </c>
      <c r="U10" s="105">
        <f t="shared" si="5"/>
        <v>17958956</v>
      </c>
      <c r="V10" s="106"/>
      <c r="W10" s="104">
        <v>4</v>
      </c>
      <c r="X10" s="105">
        <f>+IF(W10=0,"",IFERROR(W10*$G10,""))</f>
        <v>17958956</v>
      </c>
      <c r="Y10" s="106"/>
      <c r="Z10" s="104">
        <v>4</v>
      </c>
      <c r="AA10" s="105">
        <f t="shared" ref="AA10:AA73" si="12">+IF(Z10=0,"",IFERROR(Z10*$G10,""))</f>
        <v>17958956</v>
      </c>
      <c r="AB10" s="106"/>
      <c r="AC10" s="104">
        <v>4</v>
      </c>
      <c r="AD10" s="105">
        <f t="shared" si="6"/>
        <v>17958956</v>
      </c>
      <c r="AE10" s="107"/>
      <c r="AF10" s="104">
        <v>4</v>
      </c>
      <c r="AG10" s="105">
        <f t="shared" si="7"/>
        <v>17958956</v>
      </c>
      <c r="AH10" s="106"/>
      <c r="AI10" s="104">
        <v>4</v>
      </c>
      <c r="AJ10" s="105">
        <f t="shared" si="8"/>
        <v>17958956</v>
      </c>
      <c r="AK10" s="107"/>
      <c r="AL10" s="104">
        <v>4</v>
      </c>
      <c r="AM10" s="105">
        <f t="shared" ref="AM10:AM73" si="13">+IF(AL10=0,"",IFERROR(AL10*$G10,""))</f>
        <v>17958956</v>
      </c>
      <c r="AN10" s="107"/>
      <c r="AO10" s="104">
        <v>4</v>
      </c>
      <c r="AP10" s="105">
        <f t="shared" si="9"/>
        <v>17958956</v>
      </c>
      <c r="AQ10" s="107"/>
      <c r="AR10" s="104">
        <v>4</v>
      </c>
      <c r="AS10" s="105">
        <f t="shared" ref="AS10:AS73" si="14">+IF(AR10=0,"",IFERROR(AR10*$G10,""))</f>
        <v>17958956</v>
      </c>
      <c r="AT10" s="107"/>
      <c r="AU10" s="104">
        <v>4</v>
      </c>
      <c r="AV10" s="24">
        <f t="shared" ref="AV10:AV73" si="15">+IF(AU10=0,"",IFERROR(AU10*$G10,""))</f>
        <v>17958956</v>
      </c>
      <c r="BA10" s="26"/>
      <c r="BB10" s="27"/>
      <c r="BM10" s="26"/>
      <c r="BN10" s="27"/>
      <c r="BP10" s="26"/>
      <c r="BQ10" s="27"/>
      <c r="BY10" s="26"/>
      <c r="BZ10" s="27"/>
    </row>
    <row r="11" spans="2:78" s="25" customFormat="1" ht="92.45" customHeight="1">
      <c r="B11" s="109" t="s">
        <v>31</v>
      </c>
      <c r="C11" s="29" t="s">
        <v>31</v>
      </c>
      <c r="D11" s="30" t="s">
        <v>170</v>
      </c>
      <c r="E11" s="31" t="s">
        <v>171</v>
      </c>
      <c r="F11" s="32">
        <f>+Q11+T11+W11+Z11+AC11+AF11+AI11+AL11+AO11+AR11+AU11</f>
        <v>11</v>
      </c>
      <c r="G11" s="33">
        <v>1971290</v>
      </c>
      <c r="H11" s="22">
        <f>+IF(F11=0,"",IFERROR(F11*G11,""))</f>
        <v>21684190</v>
      </c>
      <c r="I11" s="21"/>
      <c r="J11" s="22">
        <f t="shared" si="10"/>
        <v>392474.21517968568</v>
      </c>
      <c r="K11" s="22">
        <f t="shared" si="11"/>
        <v>19712.900000000001</v>
      </c>
      <c r="L11" s="22">
        <f t="shared" si="0"/>
        <v>78851.600000000006</v>
      </c>
      <c r="M11" s="23"/>
      <c r="N11" s="34">
        <f t="shared" si="1"/>
        <v>2462328.7151796855</v>
      </c>
      <c r="O11" s="22">
        <f t="shared" si="2"/>
        <v>27085615.866976541</v>
      </c>
      <c r="P11" s="6"/>
      <c r="Q11" s="104">
        <v>1</v>
      </c>
      <c r="R11" s="105">
        <f t="shared" si="4"/>
        <v>1971290</v>
      </c>
      <c r="S11" s="106"/>
      <c r="T11" s="104">
        <v>1</v>
      </c>
      <c r="U11" s="105">
        <f t="shared" si="5"/>
        <v>1971290</v>
      </c>
      <c r="V11" s="106"/>
      <c r="W11" s="104">
        <v>1</v>
      </c>
      <c r="X11" s="105">
        <f t="shared" ref="X11:X74" si="16">+IF(W11=0,"",IFERROR(W11*$G11,""))</f>
        <v>1971290</v>
      </c>
      <c r="Y11" s="106"/>
      <c r="Z11" s="104">
        <v>1</v>
      </c>
      <c r="AA11" s="105">
        <f t="shared" si="12"/>
        <v>1971290</v>
      </c>
      <c r="AB11" s="106"/>
      <c r="AC11" s="104">
        <v>1</v>
      </c>
      <c r="AD11" s="105">
        <f t="shared" si="6"/>
        <v>1971290</v>
      </c>
      <c r="AE11" s="107"/>
      <c r="AF11" s="104">
        <v>1</v>
      </c>
      <c r="AG11" s="105">
        <f t="shared" si="7"/>
        <v>1971290</v>
      </c>
      <c r="AH11" s="106"/>
      <c r="AI11" s="104">
        <v>1</v>
      </c>
      <c r="AJ11" s="105">
        <f t="shared" si="8"/>
        <v>1971290</v>
      </c>
      <c r="AK11" s="107"/>
      <c r="AL11" s="104">
        <v>1</v>
      </c>
      <c r="AM11" s="105">
        <f t="shared" si="13"/>
        <v>1971290</v>
      </c>
      <c r="AN11" s="107"/>
      <c r="AO11" s="104">
        <v>1</v>
      </c>
      <c r="AP11" s="105">
        <f t="shared" si="9"/>
        <v>1971290</v>
      </c>
      <c r="AQ11" s="107"/>
      <c r="AR11" s="104">
        <v>1</v>
      </c>
      <c r="AS11" s="105">
        <f t="shared" si="14"/>
        <v>1971290</v>
      </c>
      <c r="AT11" s="107"/>
      <c r="AU11" s="104">
        <v>1</v>
      </c>
      <c r="AV11" s="24">
        <f t="shared" si="15"/>
        <v>1971290</v>
      </c>
      <c r="BA11" s="26"/>
      <c r="BB11" s="27"/>
      <c r="BM11" s="26"/>
      <c r="BN11" s="27"/>
      <c r="BP11" s="26"/>
      <c r="BQ11" s="27"/>
      <c r="BY11" s="26"/>
      <c r="BZ11" s="27"/>
    </row>
    <row r="12" spans="2:78" s="25" customFormat="1">
      <c r="B12" s="19" t="s">
        <v>32</v>
      </c>
      <c r="C12" s="20" t="s">
        <v>32</v>
      </c>
      <c r="D12" s="99" t="s">
        <v>33</v>
      </c>
      <c r="E12" s="100"/>
      <c r="F12" s="100"/>
      <c r="G12" s="100"/>
      <c r="H12" s="101"/>
      <c r="I12" s="21"/>
      <c r="J12" s="22"/>
      <c r="K12" s="22"/>
      <c r="L12" s="22"/>
      <c r="M12" s="23"/>
      <c r="N12" s="34"/>
      <c r="O12" s="22"/>
      <c r="P12" s="6"/>
      <c r="Q12" s="104"/>
      <c r="R12" s="105"/>
      <c r="S12" s="106"/>
      <c r="T12" s="104"/>
      <c r="U12" s="105"/>
      <c r="V12" s="106"/>
      <c r="W12" s="104"/>
      <c r="X12" s="105"/>
      <c r="Y12" s="106"/>
      <c r="Z12" s="104"/>
      <c r="AA12" s="105"/>
      <c r="AB12" s="106"/>
      <c r="AC12" s="104"/>
      <c r="AD12" s="105"/>
      <c r="AE12" s="107"/>
      <c r="AF12" s="104"/>
      <c r="AG12" s="105"/>
      <c r="AH12" s="106"/>
      <c r="AI12" s="104"/>
      <c r="AJ12" s="105"/>
      <c r="AK12" s="107"/>
      <c r="AL12" s="104"/>
      <c r="AM12" s="105"/>
      <c r="AN12" s="107"/>
      <c r="AO12" s="104"/>
      <c r="AP12" s="105"/>
      <c r="AQ12" s="107"/>
      <c r="AR12" s="104"/>
      <c r="AS12" s="105"/>
      <c r="AT12" s="107"/>
      <c r="AU12" s="104"/>
      <c r="AV12" s="24"/>
      <c r="BA12" s="26"/>
      <c r="BB12" s="27"/>
      <c r="BM12" s="26"/>
      <c r="BN12" s="27"/>
      <c r="BP12" s="26"/>
      <c r="BQ12" s="27"/>
      <c r="BY12" s="26"/>
      <c r="BZ12" s="27"/>
    </row>
    <row r="13" spans="2:78" s="25" customFormat="1" ht="75.599999999999994" customHeight="1">
      <c r="B13" s="109" t="s">
        <v>34</v>
      </c>
      <c r="C13" s="29" t="s">
        <v>34</v>
      </c>
      <c r="D13" s="30" t="s">
        <v>172</v>
      </c>
      <c r="E13" s="31" t="s">
        <v>173</v>
      </c>
      <c r="F13" s="32">
        <f>+Q13+T13+W13+Z13+AC13+AF13+AI13+AL13+AO13+AR13+AU13</f>
        <v>29</v>
      </c>
      <c r="G13" s="33">
        <v>947132</v>
      </c>
      <c r="H13" s="22">
        <f t="shared" ref="H13:H77" si="17">+IF(F13=0,"",IFERROR(F13*G13,""))</f>
        <v>27466828</v>
      </c>
      <c r="I13" s="21"/>
      <c r="J13" s="22">
        <f t="shared" si="10"/>
        <v>188569.3573099676</v>
      </c>
      <c r="K13" s="22">
        <f t="shared" si="11"/>
        <v>9471.32</v>
      </c>
      <c r="L13" s="22">
        <f>+IF(F13=0,"",IFERROR($L$5*G13,""))</f>
        <v>37885.279999999999</v>
      </c>
      <c r="M13" s="23"/>
      <c r="N13" s="34">
        <f t="shared" si="1"/>
        <v>1183057.9573099676</v>
      </c>
      <c r="O13" s="22">
        <f t="shared" si="2"/>
        <v>34308680.761989057</v>
      </c>
      <c r="P13" s="6"/>
      <c r="Q13" s="104">
        <v>2</v>
      </c>
      <c r="R13" s="105">
        <f t="shared" si="4"/>
        <v>1894264</v>
      </c>
      <c r="S13" s="106"/>
      <c r="T13" s="104">
        <v>2</v>
      </c>
      <c r="U13" s="105">
        <f t="shared" si="5"/>
        <v>1894264</v>
      </c>
      <c r="V13" s="106"/>
      <c r="W13" s="104">
        <v>2</v>
      </c>
      <c r="X13" s="105">
        <f t="shared" si="16"/>
        <v>1894264</v>
      </c>
      <c r="Y13" s="106"/>
      <c r="Z13" s="104">
        <v>2</v>
      </c>
      <c r="AA13" s="105">
        <f t="shared" si="12"/>
        <v>1894264</v>
      </c>
      <c r="AB13" s="106"/>
      <c r="AC13" s="104">
        <v>2</v>
      </c>
      <c r="AD13" s="105">
        <f t="shared" si="6"/>
        <v>1894264</v>
      </c>
      <c r="AE13" s="107"/>
      <c r="AF13" s="104">
        <v>2</v>
      </c>
      <c r="AG13" s="105">
        <f t="shared" si="7"/>
        <v>1894264</v>
      </c>
      <c r="AH13" s="106"/>
      <c r="AI13" s="104">
        <v>2</v>
      </c>
      <c r="AJ13" s="105">
        <f t="shared" si="8"/>
        <v>1894264</v>
      </c>
      <c r="AK13" s="107"/>
      <c r="AL13" s="104">
        <v>2</v>
      </c>
      <c r="AM13" s="105">
        <f t="shared" si="13"/>
        <v>1894264</v>
      </c>
      <c r="AN13" s="107"/>
      <c r="AO13" s="104">
        <f>2+7</f>
        <v>9</v>
      </c>
      <c r="AP13" s="105">
        <f t="shared" si="9"/>
        <v>8524188</v>
      </c>
      <c r="AQ13" s="107"/>
      <c r="AR13" s="104">
        <v>2</v>
      </c>
      <c r="AS13" s="105">
        <f t="shared" si="14"/>
        <v>1894264</v>
      </c>
      <c r="AT13" s="107"/>
      <c r="AU13" s="104">
        <v>2</v>
      </c>
      <c r="AV13" s="24">
        <f t="shared" si="15"/>
        <v>1894264</v>
      </c>
      <c r="BA13" s="26"/>
      <c r="BB13" s="27"/>
      <c r="BM13" s="26"/>
      <c r="BN13" s="27"/>
      <c r="BP13" s="26"/>
      <c r="BQ13" s="27"/>
      <c r="BY13" s="26"/>
      <c r="BZ13" s="27"/>
    </row>
    <row r="14" spans="2:78" s="25" customFormat="1">
      <c r="B14" s="19" t="s">
        <v>35</v>
      </c>
      <c r="C14" s="20" t="s">
        <v>35</v>
      </c>
      <c r="D14" s="99" t="s">
        <v>36</v>
      </c>
      <c r="E14" s="100"/>
      <c r="F14" s="100"/>
      <c r="G14" s="100"/>
      <c r="H14" s="101"/>
      <c r="I14" s="21"/>
      <c r="J14" s="22"/>
      <c r="K14" s="22"/>
      <c r="L14" s="22"/>
      <c r="M14" s="23"/>
      <c r="N14" s="34"/>
      <c r="O14" s="22"/>
      <c r="P14" s="6"/>
      <c r="Q14" s="104"/>
      <c r="R14" s="105"/>
      <c r="S14" s="106"/>
      <c r="T14" s="104"/>
      <c r="U14" s="105"/>
      <c r="V14" s="106"/>
      <c r="W14" s="104"/>
      <c r="X14" s="105"/>
      <c r="Y14" s="106"/>
      <c r="Z14" s="104"/>
      <c r="AA14" s="105"/>
      <c r="AB14" s="106"/>
      <c r="AC14" s="104"/>
      <c r="AD14" s="105"/>
      <c r="AE14" s="107"/>
      <c r="AF14" s="104"/>
      <c r="AG14" s="105"/>
      <c r="AH14" s="106"/>
      <c r="AI14" s="104"/>
      <c r="AJ14" s="105"/>
      <c r="AK14" s="107"/>
      <c r="AL14" s="104"/>
      <c r="AM14" s="105"/>
      <c r="AN14" s="107"/>
      <c r="AO14" s="104"/>
      <c r="AP14" s="105"/>
      <c r="AQ14" s="107"/>
      <c r="AR14" s="104"/>
      <c r="AS14" s="105"/>
      <c r="AT14" s="107"/>
      <c r="AU14" s="104"/>
      <c r="AV14" s="24"/>
      <c r="BA14" s="26"/>
      <c r="BB14" s="27"/>
      <c r="BM14" s="26"/>
      <c r="BN14" s="27"/>
      <c r="BP14" s="26"/>
      <c r="BQ14" s="27"/>
      <c r="BY14" s="26"/>
      <c r="BZ14" s="27"/>
    </row>
    <row r="15" spans="2:78" s="25" customFormat="1" ht="93.6" customHeight="1">
      <c r="B15" s="109" t="s">
        <v>37</v>
      </c>
      <c r="C15" s="29" t="s">
        <v>37</v>
      </c>
      <c r="D15" s="30" t="s">
        <v>174</v>
      </c>
      <c r="E15" s="31" t="s">
        <v>175</v>
      </c>
      <c r="F15" s="32">
        <f>+Q15+T15+W15+Z15+AC15+AF15+AI15+AL15+AO15+AR15+AU15</f>
        <v>989</v>
      </c>
      <c r="G15" s="33">
        <v>4768</v>
      </c>
      <c r="H15" s="22">
        <f t="shared" si="17"/>
        <v>4715552</v>
      </c>
      <c r="I15" s="21"/>
      <c r="J15" s="22">
        <f t="shared" si="10"/>
        <v>949.28552266624456</v>
      </c>
      <c r="K15" s="22">
        <f t="shared" si="11"/>
        <v>47.68</v>
      </c>
      <c r="L15" s="22">
        <f>+IF(F15=0,"",IFERROR($L$5*G15,""))</f>
        <v>190.72</v>
      </c>
      <c r="M15" s="23"/>
      <c r="N15" s="34">
        <f t="shared" si="1"/>
        <v>5955.6855226662447</v>
      </c>
      <c r="O15" s="22">
        <f t="shared" si="2"/>
        <v>5890172.9819169156</v>
      </c>
      <c r="P15" s="6"/>
      <c r="Q15" s="104">
        <v>35</v>
      </c>
      <c r="R15" s="105">
        <f t="shared" si="4"/>
        <v>166880</v>
      </c>
      <c r="S15" s="106"/>
      <c r="T15" s="104">
        <v>80</v>
      </c>
      <c r="U15" s="105">
        <f t="shared" si="5"/>
        <v>381440</v>
      </c>
      <c r="V15" s="106"/>
      <c r="W15" s="104">
        <v>30</v>
      </c>
      <c r="X15" s="105">
        <f t="shared" si="16"/>
        <v>143040</v>
      </c>
      <c r="Y15" s="106"/>
      <c r="Z15" s="104">
        <v>25</v>
      </c>
      <c r="AA15" s="105">
        <f t="shared" si="12"/>
        <v>119200</v>
      </c>
      <c r="AB15" s="106"/>
      <c r="AC15" s="104"/>
      <c r="AD15" s="105" t="str">
        <f t="shared" si="6"/>
        <v/>
      </c>
      <c r="AE15" s="107"/>
      <c r="AF15" s="104">
        <v>100</v>
      </c>
      <c r="AG15" s="105">
        <f t="shared" si="7"/>
        <v>476800</v>
      </c>
      <c r="AH15" s="106"/>
      <c r="AI15" s="104">
        <v>150</v>
      </c>
      <c r="AJ15" s="105">
        <f t="shared" si="8"/>
        <v>715200</v>
      </c>
      <c r="AK15" s="107"/>
      <c r="AL15" s="104">
        <v>200</v>
      </c>
      <c r="AM15" s="105">
        <f t="shared" si="13"/>
        <v>953600</v>
      </c>
      <c r="AN15" s="107"/>
      <c r="AO15" s="104">
        <f>200+54</f>
        <v>254</v>
      </c>
      <c r="AP15" s="105">
        <f t="shared" si="9"/>
        <v>1211072</v>
      </c>
      <c r="AQ15" s="107"/>
      <c r="AR15" s="104">
        <v>60</v>
      </c>
      <c r="AS15" s="105">
        <f t="shared" si="14"/>
        <v>286080</v>
      </c>
      <c r="AT15" s="107"/>
      <c r="AU15" s="104">
        <v>55</v>
      </c>
      <c r="AV15" s="24">
        <f t="shared" si="15"/>
        <v>262240</v>
      </c>
      <c r="BA15" s="26"/>
      <c r="BB15" s="27"/>
      <c r="BM15" s="26"/>
      <c r="BN15" s="27"/>
      <c r="BP15" s="26"/>
      <c r="BQ15" s="27"/>
      <c r="BY15" s="26"/>
      <c r="BZ15" s="27"/>
    </row>
    <row r="16" spans="2:78" s="25" customFormat="1" ht="72.599999999999994" customHeight="1">
      <c r="B16" s="109" t="s">
        <v>38</v>
      </c>
      <c r="C16" s="29" t="s">
        <v>38</v>
      </c>
      <c r="D16" s="30" t="s">
        <v>176</v>
      </c>
      <c r="E16" s="31" t="s">
        <v>177</v>
      </c>
      <c r="F16" s="32">
        <f>+Q16+T16+W16+Z16+AC16+AF16+AI16+AL16+AO16+AR16+AU16</f>
        <v>21</v>
      </c>
      <c r="G16" s="33">
        <v>63592</v>
      </c>
      <c r="H16" s="22">
        <f t="shared" si="17"/>
        <v>1335432</v>
      </c>
      <c r="I16" s="21"/>
      <c r="J16" s="22">
        <f t="shared" si="10"/>
        <v>12660.856744419425</v>
      </c>
      <c r="K16" s="22">
        <f t="shared" si="11"/>
        <v>635.91999999999996</v>
      </c>
      <c r="L16" s="22">
        <f>+IF(F16=0,"",IFERROR($L$5*G16,""))</f>
        <v>2543.6799999999998</v>
      </c>
      <c r="M16" s="23"/>
      <c r="N16" s="34">
        <f t="shared" si="1"/>
        <v>79432.456744419425</v>
      </c>
      <c r="O16" s="22">
        <f t="shared" si="2"/>
        <v>1668081.5916328079</v>
      </c>
      <c r="P16" s="6"/>
      <c r="Q16" s="104">
        <v>2</v>
      </c>
      <c r="R16" s="105">
        <f t="shared" si="4"/>
        <v>127184</v>
      </c>
      <c r="S16" s="106"/>
      <c r="T16" s="104">
        <v>2</v>
      </c>
      <c r="U16" s="105">
        <f t="shared" si="5"/>
        <v>127184</v>
      </c>
      <c r="V16" s="106"/>
      <c r="W16" s="104">
        <v>2</v>
      </c>
      <c r="X16" s="105">
        <f t="shared" si="16"/>
        <v>127184</v>
      </c>
      <c r="Y16" s="106"/>
      <c r="Z16" s="104">
        <v>2</v>
      </c>
      <c r="AA16" s="105">
        <f t="shared" si="12"/>
        <v>127184</v>
      </c>
      <c r="AB16" s="106"/>
      <c r="AC16" s="104">
        <v>2</v>
      </c>
      <c r="AD16" s="105">
        <f t="shared" si="6"/>
        <v>127184</v>
      </c>
      <c r="AE16" s="107"/>
      <c r="AF16" s="104">
        <v>2</v>
      </c>
      <c r="AG16" s="105">
        <f t="shared" si="7"/>
        <v>127184</v>
      </c>
      <c r="AH16" s="106"/>
      <c r="AI16" s="104">
        <v>2</v>
      </c>
      <c r="AJ16" s="105">
        <f t="shared" si="8"/>
        <v>127184</v>
      </c>
      <c r="AK16" s="107"/>
      <c r="AL16" s="104">
        <v>2</v>
      </c>
      <c r="AM16" s="105">
        <f t="shared" si="13"/>
        <v>127184</v>
      </c>
      <c r="AN16" s="107"/>
      <c r="AO16" s="104">
        <v>3</v>
      </c>
      <c r="AP16" s="105">
        <f t="shared" si="9"/>
        <v>190776</v>
      </c>
      <c r="AQ16" s="107"/>
      <c r="AR16" s="104">
        <v>2</v>
      </c>
      <c r="AS16" s="105">
        <f t="shared" si="14"/>
        <v>127184</v>
      </c>
      <c r="AT16" s="107"/>
      <c r="AU16" s="104"/>
      <c r="AV16" s="24" t="str">
        <f t="shared" si="15"/>
        <v/>
      </c>
      <c r="BA16" s="26"/>
      <c r="BB16" s="27"/>
      <c r="BM16" s="26"/>
      <c r="BN16" s="27"/>
      <c r="BP16" s="26"/>
      <c r="BQ16" s="27"/>
      <c r="BY16" s="26"/>
      <c r="BZ16" s="27"/>
    </row>
    <row r="17" spans="2:78" s="25" customFormat="1" ht="57.6" customHeight="1">
      <c r="B17" s="109" t="s">
        <v>39</v>
      </c>
      <c r="C17" s="29" t="s">
        <v>39</v>
      </c>
      <c r="D17" s="30" t="s">
        <v>178</v>
      </c>
      <c r="E17" s="31" t="s">
        <v>167</v>
      </c>
      <c r="F17" s="32">
        <f>+Q17+T17+W17+Z17+AC17+AF17+AI17+AL17+AO17+AR17+AU17</f>
        <v>264</v>
      </c>
      <c r="G17" s="33">
        <v>4087</v>
      </c>
      <c r="H17" s="22">
        <f t="shared" si="17"/>
        <v>1078968</v>
      </c>
      <c r="I17" s="21"/>
      <c r="J17" s="22">
        <f t="shared" si="10"/>
        <v>813.70174730221083</v>
      </c>
      <c r="K17" s="22">
        <f t="shared" si="11"/>
        <v>40.869999999999997</v>
      </c>
      <c r="L17" s="22">
        <f>+IF(F17=0,"",IFERROR($L$5*G17,""))</f>
        <v>163.47999999999999</v>
      </c>
      <c r="M17" s="23"/>
      <c r="N17" s="34">
        <f t="shared" si="1"/>
        <v>5105.051747302211</v>
      </c>
      <c r="O17" s="22">
        <f t="shared" si="2"/>
        <v>1347733.6612877836</v>
      </c>
      <c r="P17" s="6"/>
      <c r="Q17" s="104">
        <v>45</v>
      </c>
      <c r="R17" s="105">
        <f t="shared" si="4"/>
        <v>183915</v>
      </c>
      <c r="S17" s="106"/>
      <c r="T17" s="104">
        <f>36+21</f>
        <v>57</v>
      </c>
      <c r="U17" s="105">
        <f t="shared" si="5"/>
        <v>232959</v>
      </c>
      <c r="V17" s="106"/>
      <c r="W17" s="104">
        <v>20</v>
      </c>
      <c r="X17" s="105">
        <f t="shared" si="16"/>
        <v>81740</v>
      </c>
      <c r="Y17" s="106"/>
      <c r="Z17" s="104">
        <v>40</v>
      </c>
      <c r="AA17" s="105">
        <f t="shared" si="12"/>
        <v>163480</v>
      </c>
      <c r="AB17" s="106"/>
      <c r="AC17" s="104">
        <v>40</v>
      </c>
      <c r="AD17" s="105">
        <f t="shared" si="6"/>
        <v>163480</v>
      </c>
      <c r="AE17" s="107"/>
      <c r="AF17" s="104"/>
      <c r="AG17" s="105" t="str">
        <f t="shared" si="7"/>
        <v/>
      </c>
      <c r="AH17" s="106"/>
      <c r="AI17" s="104"/>
      <c r="AJ17" s="105" t="str">
        <f t="shared" si="8"/>
        <v/>
      </c>
      <c r="AK17" s="107"/>
      <c r="AL17" s="104">
        <v>40</v>
      </c>
      <c r="AM17" s="105">
        <f t="shared" si="13"/>
        <v>163480</v>
      </c>
      <c r="AN17" s="107"/>
      <c r="AO17" s="104"/>
      <c r="AP17" s="105" t="str">
        <f t="shared" si="9"/>
        <v/>
      </c>
      <c r="AQ17" s="107"/>
      <c r="AR17" s="104"/>
      <c r="AS17" s="105" t="str">
        <f t="shared" si="14"/>
        <v/>
      </c>
      <c r="AT17" s="107"/>
      <c r="AU17" s="104">
        <v>22</v>
      </c>
      <c r="AV17" s="24">
        <f t="shared" si="15"/>
        <v>89914</v>
      </c>
      <c r="BA17" s="26"/>
      <c r="BB17" s="27"/>
      <c r="BM17" s="26"/>
      <c r="BN17" s="27"/>
      <c r="BP17" s="26"/>
      <c r="BQ17" s="27"/>
      <c r="BY17" s="26"/>
      <c r="BZ17" s="27"/>
    </row>
    <row r="18" spans="2:78" s="25" customFormat="1">
      <c r="B18" s="19">
        <v>2</v>
      </c>
      <c r="C18" s="20">
        <v>2</v>
      </c>
      <c r="D18" s="99" t="s">
        <v>40</v>
      </c>
      <c r="E18" s="100"/>
      <c r="F18" s="100"/>
      <c r="G18" s="100"/>
      <c r="H18" s="101"/>
      <c r="I18" s="21"/>
      <c r="J18" s="22"/>
      <c r="K18" s="22"/>
      <c r="L18" s="22"/>
      <c r="M18" s="23"/>
      <c r="N18" s="34"/>
      <c r="O18" s="22"/>
      <c r="P18" s="6"/>
      <c r="Q18" s="104"/>
      <c r="R18" s="105"/>
      <c r="S18" s="106"/>
      <c r="T18" s="104"/>
      <c r="U18" s="105"/>
      <c r="V18" s="106"/>
      <c r="W18" s="104"/>
      <c r="X18" s="105"/>
      <c r="Y18" s="106"/>
      <c r="Z18" s="104"/>
      <c r="AA18" s="105"/>
      <c r="AB18" s="106"/>
      <c r="AC18" s="104"/>
      <c r="AD18" s="105"/>
      <c r="AE18" s="107"/>
      <c r="AF18" s="104"/>
      <c r="AG18" s="105"/>
      <c r="AH18" s="106"/>
      <c r="AI18" s="104"/>
      <c r="AJ18" s="105"/>
      <c r="AK18" s="107"/>
      <c r="AL18" s="104"/>
      <c r="AM18" s="105"/>
      <c r="AN18" s="107"/>
      <c r="AO18" s="104"/>
      <c r="AP18" s="105"/>
      <c r="AQ18" s="107"/>
      <c r="AR18" s="104"/>
      <c r="AS18" s="105"/>
      <c r="AT18" s="107"/>
      <c r="AU18" s="104"/>
      <c r="AV18" s="24"/>
      <c r="BA18" s="26"/>
      <c r="BB18" s="27"/>
      <c r="BM18" s="26"/>
      <c r="BN18" s="27"/>
      <c r="BP18" s="26"/>
      <c r="BQ18" s="27"/>
      <c r="BY18" s="26"/>
      <c r="BZ18" s="27"/>
    </row>
    <row r="19" spans="2:78" s="25" customFormat="1">
      <c r="B19" s="19" t="s">
        <v>41</v>
      </c>
      <c r="C19" s="20" t="s">
        <v>41</v>
      </c>
      <c r="D19" s="99" t="s">
        <v>42</v>
      </c>
      <c r="E19" s="100"/>
      <c r="F19" s="100"/>
      <c r="G19" s="100"/>
      <c r="H19" s="101"/>
      <c r="I19" s="21"/>
      <c r="J19" s="22"/>
      <c r="K19" s="22"/>
      <c r="L19" s="22"/>
      <c r="M19" s="23"/>
      <c r="N19" s="34"/>
      <c r="O19" s="22"/>
      <c r="P19" s="6"/>
      <c r="Q19" s="104"/>
      <c r="R19" s="105"/>
      <c r="S19" s="106"/>
      <c r="T19" s="104"/>
      <c r="U19" s="105"/>
      <c r="V19" s="106"/>
      <c r="W19" s="104"/>
      <c r="X19" s="105"/>
      <c r="Y19" s="106"/>
      <c r="Z19" s="104"/>
      <c r="AA19" s="105"/>
      <c r="AB19" s="106"/>
      <c r="AC19" s="104"/>
      <c r="AD19" s="105"/>
      <c r="AE19" s="107"/>
      <c r="AF19" s="104"/>
      <c r="AG19" s="105"/>
      <c r="AH19" s="106"/>
      <c r="AI19" s="104"/>
      <c r="AJ19" s="105"/>
      <c r="AK19" s="107"/>
      <c r="AL19" s="104"/>
      <c r="AM19" s="105"/>
      <c r="AN19" s="107"/>
      <c r="AO19" s="104"/>
      <c r="AP19" s="105"/>
      <c r="AQ19" s="107"/>
      <c r="AR19" s="104"/>
      <c r="AS19" s="105"/>
      <c r="AT19" s="107"/>
      <c r="AU19" s="104"/>
      <c r="AV19" s="24"/>
      <c r="BA19" s="26"/>
      <c r="BB19" s="27"/>
      <c r="BM19" s="26"/>
      <c r="BN19" s="27"/>
      <c r="BP19" s="26"/>
      <c r="BQ19" s="27"/>
      <c r="BY19" s="26"/>
      <c r="BZ19" s="27"/>
    </row>
    <row r="20" spans="2:78" s="25" customFormat="1" ht="106.9" customHeight="1">
      <c r="B20" s="109" t="s">
        <v>43</v>
      </c>
      <c r="C20" s="29" t="s">
        <v>43</v>
      </c>
      <c r="D20" s="30" t="s">
        <v>179</v>
      </c>
      <c r="E20" s="31" t="s">
        <v>177</v>
      </c>
      <c r="F20" s="32">
        <f>+Q20+T20+W20+Z20+AC20+AF20+AI20+AL20+AO20+AR20+AU20</f>
        <v>13</v>
      </c>
      <c r="G20" s="33">
        <v>30018</v>
      </c>
      <c r="H20" s="22">
        <f t="shared" si="17"/>
        <v>390234</v>
      </c>
      <c r="I20" s="21"/>
      <c r="J20" s="22">
        <f t="shared" si="10"/>
        <v>5976.4372523899601</v>
      </c>
      <c r="K20" s="22">
        <f t="shared" si="11"/>
        <v>300.18</v>
      </c>
      <c r="L20" s="22">
        <f>+IF(F20=0,"",IFERROR($L$5*G20,""))</f>
        <v>1200.72</v>
      </c>
      <c r="M20" s="23"/>
      <c r="N20" s="34">
        <f t="shared" si="1"/>
        <v>37495.33725238996</v>
      </c>
      <c r="O20" s="22">
        <f t="shared" si="2"/>
        <v>487439.38428106951</v>
      </c>
      <c r="P20" s="6"/>
      <c r="Q20" s="104">
        <v>3</v>
      </c>
      <c r="R20" s="105">
        <f t="shared" si="4"/>
        <v>90054</v>
      </c>
      <c r="S20" s="106"/>
      <c r="T20" s="104">
        <v>3</v>
      </c>
      <c r="U20" s="105">
        <f t="shared" si="5"/>
        <v>90054</v>
      </c>
      <c r="V20" s="106"/>
      <c r="W20" s="104"/>
      <c r="X20" s="105" t="str">
        <f t="shared" si="16"/>
        <v/>
      </c>
      <c r="Y20" s="106"/>
      <c r="Z20" s="104"/>
      <c r="AA20" s="105" t="str">
        <f t="shared" si="12"/>
        <v/>
      </c>
      <c r="AB20" s="106"/>
      <c r="AC20" s="104"/>
      <c r="AD20" s="105" t="str">
        <f t="shared" si="6"/>
        <v/>
      </c>
      <c r="AE20" s="107"/>
      <c r="AF20" s="104"/>
      <c r="AG20" s="105" t="str">
        <f t="shared" si="7"/>
        <v/>
      </c>
      <c r="AH20" s="106"/>
      <c r="AI20" s="104">
        <v>3</v>
      </c>
      <c r="AJ20" s="105">
        <f t="shared" si="8"/>
        <v>90054</v>
      </c>
      <c r="AK20" s="107"/>
      <c r="AL20" s="104"/>
      <c r="AM20" s="105" t="str">
        <f t="shared" si="13"/>
        <v/>
      </c>
      <c r="AN20" s="107"/>
      <c r="AO20" s="104"/>
      <c r="AP20" s="105" t="str">
        <f t="shared" si="9"/>
        <v/>
      </c>
      <c r="AQ20" s="107"/>
      <c r="AR20" s="104">
        <v>1</v>
      </c>
      <c r="AS20" s="105">
        <f t="shared" si="14"/>
        <v>30018</v>
      </c>
      <c r="AT20" s="107"/>
      <c r="AU20" s="104">
        <v>3</v>
      </c>
      <c r="AV20" s="24">
        <f t="shared" si="15"/>
        <v>90054</v>
      </c>
      <c r="BA20" s="26"/>
      <c r="BB20" s="27"/>
      <c r="BM20" s="26"/>
      <c r="BN20" s="27"/>
      <c r="BP20" s="26"/>
      <c r="BQ20" s="27"/>
      <c r="BY20" s="26"/>
      <c r="BZ20" s="27"/>
    </row>
    <row r="21" spans="2:78" s="25" customFormat="1" ht="163.5" customHeight="1">
      <c r="B21" s="109" t="s">
        <v>44</v>
      </c>
      <c r="C21" s="29" t="s">
        <v>44</v>
      </c>
      <c r="D21" s="30" t="s">
        <v>180</v>
      </c>
      <c r="E21" s="31" t="s">
        <v>175</v>
      </c>
      <c r="F21" s="32">
        <f>+Q21+T21+W21+Z21+AC21+AF21+AI21+AL21+AO21+AR21+AU21</f>
        <v>3522</v>
      </c>
      <c r="G21" s="33">
        <v>35266</v>
      </c>
      <c r="H21" s="22">
        <f t="shared" si="17"/>
        <v>124206852</v>
      </c>
      <c r="I21" s="21"/>
      <c r="J21" s="22">
        <f t="shared" si="10"/>
        <v>7021.2884317004573</v>
      </c>
      <c r="K21" s="22">
        <f t="shared" si="11"/>
        <v>352.66</v>
      </c>
      <c r="L21" s="22">
        <f>+IF(F21=0,"",IFERROR($L$5*G21,""))</f>
        <v>1410.64</v>
      </c>
      <c r="M21" s="23"/>
      <c r="N21" s="34">
        <f t="shared" si="1"/>
        <v>44050.588431700453</v>
      </c>
      <c r="O21" s="22">
        <f t="shared" si="2"/>
        <v>155146172.456449</v>
      </c>
      <c r="P21" s="6"/>
      <c r="Q21" s="104">
        <f>3*36+36*6+22*3</f>
        <v>390</v>
      </c>
      <c r="R21" s="105">
        <f t="shared" si="4"/>
        <v>13753740</v>
      </c>
      <c r="S21" s="106"/>
      <c r="T21" s="104">
        <f>21*6</f>
        <v>126</v>
      </c>
      <c r="U21" s="105">
        <f t="shared" si="5"/>
        <v>4443516</v>
      </c>
      <c r="V21" s="106"/>
      <c r="W21" s="104">
        <f>2*3.5*27+3.5*19+19*5.5</f>
        <v>360</v>
      </c>
      <c r="X21" s="105">
        <f t="shared" si="16"/>
        <v>12695760</v>
      </c>
      <c r="Y21" s="106"/>
      <c r="Z21" s="104">
        <f>64*6</f>
        <v>384</v>
      </c>
      <c r="AA21" s="105">
        <f t="shared" si="12"/>
        <v>13542144</v>
      </c>
      <c r="AB21" s="106"/>
      <c r="AC21" s="104">
        <f>(27+12)*7+12*3</f>
        <v>309</v>
      </c>
      <c r="AD21" s="105">
        <f t="shared" si="6"/>
        <v>10897194</v>
      </c>
      <c r="AE21" s="107"/>
      <c r="AF21" s="104">
        <f>(9+19+9)*5</f>
        <v>185</v>
      </c>
      <c r="AG21" s="105">
        <f t="shared" si="7"/>
        <v>6524210</v>
      </c>
      <c r="AH21" s="106"/>
      <c r="AI21" s="104">
        <f>(34+20)*2*5</f>
        <v>540</v>
      </c>
      <c r="AJ21" s="105">
        <f t="shared" si="8"/>
        <v>19043640</v>
      </c>
      <c r="AK21" s="107"/>
      <c r="AL21" s="104">
        <f>(36+20)*6</f>
        <v>336</v>
      </c>
      <c r="AM21" s="105">
        <f t="shared" si="13"/>
        <v>11849376</v>
      </c>
      <c r="AN21" s="107"/>
      <c r="AO21" s="104"/>
      <c r="AP21" s="105" t="str">
        <f t="shared" si="9"/>
        <v/>
      </c>
      <c r="AQ21" s="107"/>
      <c r="AR21" s="104">
        <f>(30+20)*2*5</f>
        <v>500</v>
      </c>
      <c r="AS21" s="105">
        <f t="shared" si="14"/>
        <v>17633000</v>
      </c>
      <c r="AT21" s="107"/>
      <c r="AU21" s="104">
        <f>(32+20)*6+20*4</f>
        <v>392</v>
      </c>
      <c r="AV21" s="24">
        <f t="shared" si="15"/>
        <v>13824272</v>
      </c>
      <c r="BA21" s="26"/>
      <c r="BB21" s="27"/>
      <c r="BM21" s="26"/>
      <c r="BN21" s="27"/>
      <c r="BP21" s="26"/>
      <c r="BQ21" s="27"/>
      <c r="BY21" s="26"/>
      <c r="BZ21" s="27"/>
    </row>
    <row r="22" spans="2:78" s="25" customFormat="1" ht="88.15" customHeight="1">
      <c r="B22" s="109" t="s">
        <v>45</v>
      </c>
      <c r="C22" s="29" t="s">
        <v>45</v>
      </c>
      <c r="D22" s="30" t="s">
        <v>181</v>
      </c>
      <c r="E22" s="31" t="s">
        <v>167</v>
      </c>
      <c r="F22" s="32">
        <f>+Q22+T22+W22+Z22+AC22+AF22+AI22+AL22+AO22+AR22+AU22</f>
        <v>27</v>
      </c>
      <c r="G22" s="33">
        <v>16054</v>
      </c>
      <c r="H22" s="22">
        <f t="shared" si="17"/>
        <v>433458</v>
      </c>
      <c r="I22" s="21"/>
      <c r="J22" s="22">
        <f t="shared" si="10"/>
        <v>3196.2730245142388</v>
      </c>
      <c r="K22" s="22">
        <f t="shared" si="11"/>
        <v>160.54</v>
      </c>
      <c r="L22" s="22">
        <f>+IF(F22=0,"",IFERROR($L$5*G22,""))</f>
        <v>642.16</v>
      </c>
      <c r="M22" s="23"/>
      <c r="N22" s="34">
        <f t="shared" si="1"/>
        <v>20052.973024514238</v>
      </c>
      <c r="O22" s="22">
        <f t="shared" si="2"/>
        <v>541430.27166188438</v>
      </c>
      <c r="P22" s="6"/>
      <c r="Q22" s="104"/>
      <c r="R22" s="105" t="str">
        <f t="shared" si="4"/>
        <v/>
      </c>
      <c r="S22" s="106"/>
      <c r="T22" s="104"/>
      <c r="U22" s="105" t="str">
        <f t="shared" si="5"/>
        <v/>
      </c>
      <c r="V22" s="106"/>
      <c r="W22" s="104"/>
      <c r="X22" s="105" t="str">
        <f t="shared" si="16"/>
        <v/>
      </c>
      <c r="Y22" s="106"/>
      <c r="Z22" s="104"/>
      <c r="AA22" s="105" t="str">
        <f t="shared" si="12"/>
        <v/>
      </c>
      <c r="AB22" s="106"/>
      <c r="AC22" s="104"/>
      <c r="AD22" s="105" t="str">
        <f t="shared" si="6"/>
        <v/>
      </c>
      <c r="AE22" s="107"/>
      <c r="AF22" s="104"/>
      <c r="AG22" s="105" t="str">
        <f t="shared" si="7"/>
        <v/>
      </c>
      <c r="AH22" s="106"/>
      <c r="AI22" s="104"/>
      <c r="AJ22" s="105" t="str">
        <f t="shared" si="8"/>
        <v/>
      </c>
      <c r="AK22" s="107"/>
      <c r="AL22" s="104"/>
      <c r="AM22" s="105" t="str">
        <f t="shared" si="13"/>
        <v/>
      </c>
      <c r="AN22" s="107"/>
      <c r="AO22" s="104">
        <v>27</v>
      </c>
      <c r="AP22" s="105">
        <f t="shared" si="9"/>
        <v>433458</v>
      </c>
      <c r="AQ22" s="107"/>
      <c r="AR22" s="104"/>
      <c r="AS22" s="105" t="str">
        <f t="shared" si="14"/>
        <v/>
      </c>
      <c r="AT22" s="107"/>
      <c r="AU22" s="104"/>
      <c r="AV22" s="24" t="str">
        <f t="shared" si="15"/>
        <v/>
      </c>
      <c r="BA22" s="26"/>
      <c r="BB22" s="27"/>
      <c r="BM22" s="26"/>
      <c r="BN22" s="27"/>
      <c r="BP22" s="26"/>
      <c r="BQ22" s="27"/>
      <c r="BY22" s="26"/>
      <c r="BZ22" s="27"/>
    </row>
    <row r="23" spans="2:78" s="25" customFormat="1">
      <c r="B23" s="19" t="s">
        <v>46</v>
      </c>
      <c r="C23" s="20" t="s">
        <v>46</v>
      </c>
      <c r="D23" s="99" t="s">
        <v>47</v>
      </c>
      <c r="E23" s="100"/>
      <c r="F23" s="100"/>
      <c r="G23" s="100"/>
      <c r="H23" s="101"/>
      <c r="I23" s="21"/>
      <c r="J23" s="22"/>
      <c r="K23" s="22"/>
      <c r="L23" s="22"/>
      <c r="M23" s="23"/>
      <c r="N23" s="34"/>
      <c r="O23" s="22"/>
      <c r="P23" s="6"/>
      <c r="Q23" s="104"/>
      <c r="R23" s="105"/>
      <c r="S23" s="106"/>
      <c r="T23" s="104"/>
      <c r="U23" s="105"/>
      <c r="V23" s="106"/>
      <c r="W23" s="104"/>
      <c r="X23" s="105"/>
      <c r="Y23" s="106"/>
      <c r="Z23" s="104"/>
      <c r="AA23" s="105"/>
      <c r="AB23" s="106"/>
      <c r="AC23" s="104"/>
      <c r="AD23" s="105"/>
      <c r="AE23" s="107"/>
      <c r="AF23" s="104"/>
      <c r="AG23" s="105"/>
      <c r="AH23" s="106"/>
      <c r="AI23" s="104"/>
      <c r="AJ23" s="105"/>
      <c r="AK23" s="107"/>
      <c r="AL23" s="104"/>
      <c r="AM23" s="105"/>
      <c r="AN23" s="107"/>
      <c r="AO23" s="104"/>
      <c r="AP23" s="105"/>
      <c r="AQ23" s="107"/>
      <c r="AR23" s="104"/>
      <c r="AS23" s="105"/>
      <c r="AT23" s="107"/>
      <c r="AU23" s="104"/>
      <c r="AV23" s="24"/>
      <c r="BA23" s="26"/>
      <c r="BB23" s="27"/>
      <c r="BM23" s="26"/>
      <c r="BN23" s="27"/>
      <c r="BP23" s="26"/>
      <c r="BQ23" s="27"/>
      <c r="BY23" s="26"/>
      <c r="BZ23" s="27"/>
    </row>
    <row r="24" spans="2:78" s="25" customFormat="1" ht="103.9" customHeight="1">
      <c r="B24" s="109" t="s">
        <v>48</v>
      </c>
      <c r="C24" s="29" t="s">
        <v>48</v>
      </c>
      <c r="D24" s="30" t="s">
        <v>182</v>
      </c>
      <c r="E24" s="31" t="s">
        <v>167</v>
      </c>
      <c r="F24" s="32">
        <f>+Q24+T24+W24+Z24+AC24+AF24+AI24+AL24+AO24+AR24+AU24</f>
        <v>460</v>
      </c>
      <c r="G24" s="33">
        <v>26658</v>
      </c>
      <c r="H24" s="22">
        <f t="shared" si="17"/>
        <v>12262680</v>
      </c>
      <c r="I24" s="21"/>
      <c r="J24" s="22">
        <f t="shared" si="10"/>
        <v>5307.4776558801905</v>
      </c>
      <c r="K24" s="22">
        <f t="shared" si="11"/>
        <v>266.58</v>
      </c>
      <c r="L24" s="22">
        <f>+IF(F24=0,"",IFERROR($L$5*G24,""))</f>
        <v>1066.32</v>
      </c>
      <c r="M24" s="23"/>
      <c r="N24" s="34">
        <f t="shared" si="1"/>
        <v>33298.377655880191</v>
      </c>
      <c r="O24" s="22">
        <f t="shared" si="2"/>
        <v>15317253.721704887</v>
      </c>
      <c r="P24" s="6"/>
      <c r="Q24" s="104">
        <v>25</v>
      </c>
      <c r="R24" s="105">
        <f t="shared" si="4"/>
        <v>666450</v>
      </c>
      <c r="S24" s="106"/>
      <c r="T24" s="104">
        <v>60</v>
      </c>
      <c r="U24" s="105">
        <f t="shared" si="5"/>
        <v>1599480</v>
      </c>
      <c r="V24" s="106"/>
      <c r="W24" s="104"/>
      <c r="X24" s="105" t="str">
        <f t="shared" si="16"/>
        <v/>
      </c>
      <c r="Y24" s="106"/>
      <c r="Z24" s="104">
        <v>40</v>
      </c>
      <c r="AA24" s="105">
        <f t="shared" si="12"/>
        <v>1066320</v>
      </c>
      <c r="AB24" s="106"/>
      <c r="AC24" s="104"/>
      <c r="AD24" s="105" t="str">
        <f t="shared" si="6"/>
        <v/>
      </c>
      <c r="AE24" s="107"/>
      <c r="AF24" s="104">
        <v>22</v>
      </c>
      <c r="AG24" s="105">
        <f t="shared" si="7"/>
        <v>586476</v>
      </c>
      <c r="AH24" s="106"/>
      <c r="AI24" s="104">
        <v>70</v>
      </c>
      <c r="AJ24" s="105">
        <f t="shared" si="8"/>
        <v>1866060</v>
      </c>
      <c r="AK24" s="107"/>
      <c r="AL24" s="104">
        <v>40</v>
      </c>
      <c r="AM24" s="105">
        <f t="shared" si="13"/>
        <v>1066320</v>
      </c>
      <c r="AN24" s="107"/>
      <c r="AO24" s="104">
        <v>59</v>
      </c>
      <c r="AP24" s="105">
        <f t="shared" si="9"/>
        <v>1572822</v>
      </c>
      <c r="AQ24" s="107"/>
      <c r="AR24" s="104">
        <v>60</v>
      </c>
      <c r="AS24" s="105">
        <f t="shared" si="14"/>
        <v>1599480</v>
      </c>
      <c r="AT24" s="107"/>
      <c r="AU24" s="104">
        <v>84</v>
      </c>
      <c r="AV24" s="24">
        <f t="shared" si="15"/>
        <v>2239272</v>
      </c>
      <c r="BA24" s="26"/>
      <c r="BB24" s="27"/>
      <c r="BM24" s="26"/>
      <c r="BN24" s="27"/>
      <c r="BP24" s="26"/>
      <c r="BQ24" s="27"/>
      <c r="BY24" s="26"/>
      <c r="BZ24" s="27"/>
    </row>
    <row r="25" spans="2:78" s="25" customFormat="1" ht="88.15" customHeight="1">
      <c r="B25" s="109" t="s">
        <v>49</v>
      </c>
      <c r="C25" s="29" t="s">
        <v>49</v>
      </c>
      <c r="D25" s="30" t="s">
        <v>183</v>
      </c>
      <c r="E25" s="31" t="s">
        <v>175</v>
      </c>
      <c r="F25" s="32">
        <f>+Q25+T25+W25+Z25+AC25+AF25+AI25+AL25+AO25+AR25+AU25</f>
        <v>360</v>
      </c>
      <c r="G25" s="33">
        <v>41859</v>
      </c>
      <c r="H25" s="22">
        <f t="shared" si="17"/>
        <v>15069240</v>
      </c>
      <c r="I25" s="21"/>
      <c r="J25" s="22">
        <f t="shared" si="10"/>
        <v>8333.9225447328718</v>
      </c>
      <c r="K25" s="22">
        <f t="shared" si="11"/>
        <v>418.59000000000003</v>
      </c>
      <c r="L25" s="22">
        <f>+IF(F25=0,"",IFERROR($L$5*G25,""))</f>
        <v>1674.3600000000001</v>
      </c>
      <c r="M25" s="23"/>
      <c r="N25" s="34">
        <f t="shared" si="1"/>
        <v>52285.872544732876</v>
      </c>
      <c r="O25" s="22">
        <f t="shared" si="2"/>
        <v>18822914.116103835</v>
      </c>
      <c r="P25" s="6"/>
      <c r="Q25" s="104"/>
      <c r="R25" s="105" t="str">
        <f t="shared" si="4"/>
        <v/>
      </c>
      <c r="S25" s="106"/>
      <c r="T25" s="104"/>
      <c r="U25" s="105" t="str">
        <f t="shared" si="5"/>
        <v/>
      </c>
      <c r="V25" s="106"/>
      <c r="W25" s="104">
        <f>2*3.5*27+3.5*19+19*5.5</f>
        <v>360</v>
      </c>
      <c r="X25" s="105">
        <f t="shared" si="16"/>
        <v>15069240</v>
      </c>
      <c r="Y25" s="106"/>
      <c r="Z25" s="104"/>
      <c r="AA25" s="105" t="str">
        <f t="shared" si="12"/>
        <v/>
      </c>
      <c r="AB25" s="106"/>
      <c r="AC25" s="104"/>
      <c r="AD25" s="105" t="str">
        <f t="shared" si="6"/>
        <v/>
      </c>
      <c r="AE25" s="107"/>
      <c r="AF25" s="104"/>
      <c r="AG25" s="105" t="str">
        <f t="shared" si="7"/>
        <v/>
      </c>
      <c r="AH25" s="106"/>
      <c r="AI25" s="104"/>
      <c r="AJ25" s="105" t="str">
        <f t="shared" si="8"/>
        <v/>
      </c>
      <c r="AK25" s="107"/>
      <c r="AL25" s="104"/>
      <c r="AM25" s="105" t="str">
        <f t="shared" si="13"/>
        <v/>
      </c>
      <c r="AN25" s="107"/>
      <c r="AO25" s="104"/>
      <c r="AP25" s="105" t="str">
        <f t="shared" si="9"/>
        <v/>
      </c>
      <c r="AQ25" s="107"/>
      <c r="AR25" s="104"/>
      <c r="AS25" s="105" t="str">
        <f t="shared" si="14"/>
        <v/>
      </c>
      <c r="AT25" s="107"/>
      <c r="AU25" s="104"/>
      <c r="AV25" s="24" t="str">
        <f t="shared" si="15"/>
        <v/>
      </c>
      <c r="BA25" s="26"/>
      <c r="BB25" s="27"/>
      <c r="BM25" s="26"/>
      <c r="BN25" s="27"/>
      <c r="BP25" s="26"/>
      <c r="BQ25" s="27"/>
      <c r="BY25" s="26"/>
      <c r="BZ25" s="27"/>
    </row>
    <row r="26" spans="2:78" s="25" customFormat="1" ht="108" customHeight="1">
      <c r="B26" s="109" t="s">
        <v>50</v>
      </c>
      <c r="C26" s="29" t="s">
        <v>50</v>
      </c>
      <c r="D26" s="30" t="s">
        <v>184</v>
      </c>
      <c r="E26" s="31" t="s">
        <v>175</v>
      </c>
      <c r="F26" s="32">
        <f>+Q26+T26+W26+Z26+AC26+AF26+AI26+AL26+AO26+AR26+AU26</f>
        <v>6390</v>
      </c>
      <c r="G26" s="33">
        <v>28093</v>
      </c>
      <c r="H26" s="22">
        <f t="shared" si="17"/>
        <v>179514270</v>
      </c>
      <c r="I26" s="21"/>
      <c r="J26" s="22">
        <f t="shared" si="10"/>
        <v>5593.1791502229044</v>
      </c>
      <c r="K26" s="22">
        <f t="shared" si="11"/>
        <v>280.93</v>
      </c>
      <c r="L26" s="22">
        <f>+IF(F26=0,"",IFERROR($L$5*G26,""))</f>
        <v>1123.72</v>
      </c>
      <c r="M26" s="23"/>
      <c r="N26" s="34">
        <f t="shared" si="1"/>
        <v>35090.829150222904</v>
      </c>
      <c r="O26" s="22">
        <f t="shared" si="2"/>
        <v>224230398.26992434</v>
      </c>
      <c r="P26" s="6"/>
      <c r="Q26" s="104">
        <f>36*22</f>
        <v>792</v>
      </c>
      <c r="R26" s="105">
        <f t="shared" si="4"/>
        <v>22249656</v>
      </c>
      <c r="S26" s="106"/>
      <c r="T26" s="104">
        <f>21*28</f>
        <v>588</v>
      </c>
      <c r="U26" s="105">
        <f t="shared" si="5"/>
        <v>16518684</v>
      </c>
      <c r="V26" s="106"/>
      <c r="W26" s="104">
        <f>27*19</f>
        <v>513</v>
      </c>
      <c r="X26" s="105">
        <f t="shared" si="16"/>
        <v>14411709</v>
      </c>
      <c r="Y26" s="106"/>
      <c r="Z26" s="104">
        <f>40*24</f>
        <v>960</v>
      </c>
      <c r="AA26" s="105">
        <f t="shared" si="12"/>
        <v>26969280</v>
      </c>
      <c r="AB26" s="106"/>
      <c r="AC26" s="104">
        <f>27*12</f>
        <v>324</v>
      </c>
      <c r="AD26" s="105">
        <f t="shared" si="6"/>
        <v>9102132</v>
      </c>
      <c r="AE26" s="107"/>
      <c r="AF26" s="104">
        <f>22*9</f>
        <v>198</v>
      </c>
      <c r="AG26" s="105">
        <f t="shared" si="7"/>
        <v>5562414</v>
      </c>
      <c r="AH26" s="106"/>
      <c r="AI26" s="104">
        <f>34*20</f>
        <v>680</v>
      </c>
      <c r="AJ26" s="105">
        <f t="shared" si="8"/>
        <v>19103240</v>
      </c>
      <c r="AK26" s="107"/>
      <c r="AL26" s="104">
        <f>36*20</f>
        <v>720</v>
      </c>
      <c r="AM26" s="105">
        <f t="shared" si="13"/>
        <v>20226960</v>
      </c>
      <c r="AN26" s="107"/>
      <c r="AO26" s="104">
        <v>375</v>
      </c>
      <c r="AP26" s="105">
        <f t="shared" si="9"/>
        <v>10534875</v>
      </c>
      <c r="AQ26" s="107"/>
      <c r="AR26" s="104">
        <f>30*20</f>
        <v>600</v>
      </c>
      <c r="AS26" s="105">
        <f t="shared" si="14"/>
        <v>16855800</v>
      </c>
      <c r="AT26" s="107"/>
      <c r="AU26" s="104">
        <f>32*20</f>
        <v>640</v>
      </c>
      <c r="AV26" s="24">
        <f t="shared" si="15"/>
        <v>17979520</v>
      </c>
      <c r="BA26" s="26"/>
      <c r="BB26" s="27"/>
      <c r="BM26" s="26"/>
      <c r="BN26" s="27"/>
      <c r="BP26" s="26"/>
      <c r="BQ26" s="27"/>
      <c r="BY26" s="26"/>
      <c r="BZ26" s="27"/>
    </row>
    <row r="27" spans="2:78" s="25" customFormat="1" ht="157.15" customHeight="1">
      <c r="B27" s="109" t="s">
        <v>51</v>
      </c>
      <c r="C27" s="29" t="s">
        <v>51</v>
      </c>
      <c r="D27" s="30" t="s">
        <v>185</v>
      </c>
      <c r="E27" s="31" t="s">
        <v>175</v>
      </c>
      <c r="F27" s="32">
        <f>+Q27+T27+W27+Z27+AC27+AF27+AI27+AL27+AO27+AR27+AU27</f>
        <v>761</v>
      </c>
      <c r="G27" s="33">
        <v>41654</v>
      </c>
      <c r="H27" s="22">
        <f t="shared" si="17"/>
        <v>31698694</v>
      </c>
      <c r="I27" s="21"/>
      <c r="J27" s="22">
        <f t="shared" si="10"/>
        <v>8293.1080455410556</v>
      </c>
      <c r="K27" s="22">
        <f t="shared" si="11"/>
        <v>416.54</v>
      </c>
      <c r="L27" s="22">
        <f>+IF(F27=0,"",IFERROR($L$5*G27,""))</f>
        <v>1666.16</v>
      </c>
      <c r="M27" s="23"/>
      <c r="N27" s="34">
        <f t="shared" si="1"/>
        <v>52029.808045541053</v>
      </c>
      <c r="O27" s="22">
        <f t="shared" si="2"/>
        <v>39594683.922656745</v>
      </c>
      <c r="P27" s="6"/>
      <c r="Q27" s="104"/>
      <c r="R27" s="105" t="str">
        <f t="shared" si="4"/>
        <v/>
      </c>
      <c r="S27" s="106"/>
      <c r="T27" s="104"/>
      <c r="U27" s="105" t="str">
        <f t="shared" si="5"/>
        <v/>
      </c>
      <c r="V27" s="106"/>
      <c r="W27" s="104"/>
      <c r="X27" s="105" t="str">
        <f t="shared" si="16"/>
        <v/>
      </c>
      <c r="Y27" s="106"/>
      <c r="Z27" s="104">
        <f>960*0.4</f>
        <v>384</v>
      </c>
      <c r="AA27" s="105">
        <f t="shared" si="12"/>
        <v>15995136</v>
      </c>
      <c r="AB27" s="106"/>
      <c r="AC27" s="104"/>
      <c r="AD27" s="105" t="str">
        <f t="shared" si="6"/>
        <v/>
      </c>
      <c r="AE27" s="107"/>
      <c r="AF27" s="104"/>
      <c r="AG27" s="105" t="str">
        <f t="shared" si="7"/>
        <v/>
      </c>
      <c r="AH27" s="106"/>
      <c r="AI27" s="104">
        <f>34*20*0.5</f>
        <v>340</v>
      </c>
      <c r="AJ27" s="105">
        <f t="shared" si="8"/>
        <v>14162360</v>
      </c>
      <c r="AK27" s="107"/>
      <c r="AL27" s="104"/>
      <c r="AM27" s="105" t="str">
        <f t="shared" si="13"/>
        <v/>
      </c>
      <c r="AN27" s="107"/>
      <c r="AO27" s="104">
        <v>37</v>
      </c>
      <c r="AP27" s="105">
        <f t="shared" si="9"/>
        <v>1541198</v>
      </c>
      <c r="AQ27" s="107"/>
      <c r="AR27" s="104"/>
      <c r="AS27" s="105" t="str">
        <f t="shared" si="14"/>
        <v/>
      </c>
      <c r="AT27" s="107"/>
      <c r="AU27" s="104"/>
      <c r="AV27" s="24" t="str">
        <f t="shared" si="15"/>
        <v/>
      </c>
      <c r="BA27" s="26"/>
      <c r="BB27" s="27"/>
      <c r="BM27" s="26"/>
      <c r="BN27" s="27"/>
      <c r="BP27" s="26"/>
      <c r="BQ27" s="27"/>
      <c r="BY27" s="26"/>
      <c r="BZ27" s="27"/>
    </row>
    <row r="28" spans="2:78" s="25" customFormat="1" ht="157.15" customHeight="1">
      <c r="B28" s="110" t="s">
        <v>52</v>
      </c>
      <c r="C28" s="29" t="s">
        <v>52</v>
      </c>
      <c r="D28" s="30" t="s">
        <v>186</v>
      </c>
      <c r="E28" s="31" t="s">
        <v>187</v>
      </c>
      <c r="F28" s="32">
        <f>+Q28+T28+W28+Z28+AC28+AF28+AI28+AL28+AO28+AR28+AU28</f>
        <v>1</v>
      </c>
      <c r="G28" s="33">
        <v>172850</v>
      </c>
      <c r="H28" s="22">
        <f t="shared" si="17"/>
        <v>172850</v>
      </c>
      <c r="I28" s="21"/>
      <c r="J28" s="22">
        <f t="shared" si="10"/>
        <v>34413.591147831452</v>
      </c>
      <c r="K28" s="22">
        <f t="shared" si="11"/>
        <v>1728.5</v>
      </c>
      <c r="L28" s="22">
        <f t="shared" ref="L28" si="18">+IF(F28=0,"",IFERROR($L$5*G28,""))</f>
        <v>6914</v>
      </c>
      <c r="M28" s="23"/>
      <c r="N28" s="34">
        <f t="shared" si="1"/>
        <v>215906.09114783147</v>
      </c>
      <c r="O28" s="22">
        <f t="shared" si="2"/>
        <v>215906.09114783147</v>
      </c>
      <c r="P28" s="6"/>
      <c r="Q28" s="104"/>
      <c r="R28" s="105" t="str">
        <f t="shared" si="4"/>
        <v/>
      </c>
      <c r="S28" s="106"/>
      <c r="T28" s="104"/>
      <c r="U28" s="105" t="str">
        <f t="shared" si="5"/>
        <v/>
      </c>
      <c r="V28" s="106"/>
      <c r="W28" s="104"/>
      <c r="X28" s="105" t="str">
        <f t="shared" si="16"/>
        <v/>
      </c>
      <c r="Y28" s="106"/>
      <c r="Z28" s="104"/>
      <c r="AA28" s="105" t="str">
        <f t="shared" si="12"/>
        <v/>
      </c>
      <c r="AB28" s="106"/>
      <c r="AC28" s="104"/>
      <c r="AD28" s="105" t="str">
        <f t="shared" si="6"/>
        <v/>
      </c>
      <c r="AE28" s="107"/>
      <c r="AF28" s="104"/>
      <c r="AG28" s="105" t="str">
        <f t="shared" si="7"/>
        <v/>
      </c>
      <c r="AH28" s="106"/>
      <c r="AI28" s="104"/>
      <c r="AJ28" s="105" t="str">
        <f t="shared" si="8"/>
        <v/>
      </c>
      <c r="AK28" s="107"/>
      <c r="AL28" s="104"/>
      <c r="AM28" s="105" t="str">
        <f t="shared" si="13"/>
        <v/>
      </c>
      <c r="AN28" s="107"/>
      <c r="AO28" s="104">
        <v>1</v>
      </c>
      <c r="AP28" s="105">
        <f t="shared" si="9"/>
        <v>172850</v>
      </c>
      <c r="AQ28" s="107"/>
      <c r="AR28" s="104"/>
      <c r="AS28" s="105" t="str">
        <f t="shared" si="14"/>
        <v/>
      </c>
      <c r="AT28" s="107"/>
      <c r="AU28" s="104"/>
      <c r="AV28" s="24" t="str">
        <f t="shared" si="15"/>
        <v/>
      </c>
      <c r="BA28" s="26"/>
      <c r="BB28" s="27"/>
      <c r="BM28" s="26"/>
      <c r="BN28" s="27"/>
      <c r="BP28" s="26"/>
      <c r="BQ28" s="27"/>
      <c r="BY28" s="26"/>
      <c r="BZ28" s="27"/>
    </row>
    <row r="29" spans="2:78" s="25" customFormat="1">
      <c r="B29" s="19">
        <v>3</v>
      </c>
      <c r="C29" s="20">
        <v>3</v>
      </c>
      <c r="D29" s="99" t="s">
        <v>53</v>
      </c>
      <c r="E29" s="100"/>
      <c r="F29" s="100"/>
      <c r="G29" s="100"/>
      <c r="H29" s="101"/>
      <c r="I29" s="21"/>
      <c r="J29" s="22"/>
      <c r="K29" s="22"/>
      <c r="L29" s="22"/>
      <c r="M29" s="23"/>
      <c r="N29" s="34"/>
      <c r="O29" s="22"/>
      <c r="P29" s="6"/>
      <c r="Q29" s="104"/>
      <c r="R29" s="105"/>
      <c r="S29" s="106"/>
      <c r="T29" s="104"/>
      <c r="U29" s="105"/>
      <c r="V29" s="106"/>
      <c r="W29" s="104"/>
      <c r="X29" s="105"/>
      <c r="Y29" s="106"/>
      <c r="Z29" s="104"/>
      <c r="AA29" s="105"/>
      <c r="AB29" s="106"/>
      <c r="AC29" s="104"/>
      <c r="AD29" s="105"/>
      <c r="AE29" s="107"/>
      <c r="AF29" s="104"/>
      <c r="AG29" s="105"/>
      <c r="AH29" s="106"/>
      <c r="AI29" s="104"/>
      <c r="AJ29" s="105"/>
      <c r="AK29" s="107"/>
      <c r="AL29" s="104"/>
      <c r="AM29" s="105"/>
      <c r="AN29" s="107"/>
      <c r="AO29" s="104"/>
      <c r="AP29" s="105"/>
      <c r="AQ29" s="107"/>
      <c r="AR29" s="104"/>
      <c r="AS29" s="105"/>
      <c r="AT29" s="107"/>
      <c r="AU29" s="104"/>
      <c r="AV29" s="24"/>
      <c r="BA29" s="26"/>
      <c r="BB29" s="27"/>
      <c r="BM29" s="26"/>
      <c r="BN29" s="27"/>
      <c r="BP29" s="26"/>
      <c r="BQ29" s="27"/>
      <c r="BY29" s="26"/>
      <c r="BZ29" s="27"/>
    </row>
    <row r="30" spans="2:78" s="25" customFormat="1">
      <c r="B30" s="19" t="s">
        <v>54</v>
      </c>
      <c r="C30" s="20" t="s">
        <v>54</v>
      </c>
      <c r="D30" s="99" t="s">
        <v>55</v>
      </c>
      <c r="E30" s="100"/>
      <c r="F30" s="100"/>
      <c r="G30" s="100"/>
      <c r="H30" s="101"/>
      <c r="I30" s="21"/>
      <c r="J30" s="22"/>
      <c r="K30" s="22"/>
      <c r="L30" s="22"/>
      <c r="M30" s="23"/>
      <c r="N30" s="34"/>
      <c r="O30" s="22"/>
      <c r="P30" s="6"/>
      <c r="Q30" s="104"/>
      <c r="R30" s="105"/>
      <c r="S30" s="106"/>
      <c r="T30" s="104"/>
      <c r="U30" s="105"/>
      <c r="V30" s="106"/>
      <c r="W30" s="104"/>
      <c r="X30" s="105"/>
      <c r="Y30" s="106"/>
      <c r="Z30" s="104"/>
      <c r="AA30" s="105"/>
      <c r="AB30" s="106"/>
      <c r="AC30" s="104"/>
      <c r="AD30" s="105"/>
      <c r="AE30" s="107"/>
      <c r="AF30" s="104"/>
      <c r="AG30" s="105"/>
      <c r="AH30" s="106"/>
      <c r="AI30" s="104"/>
      <c r="AJ30" s="105"/>
      <c r="AK30" s="107"/>
      <c r="AL30" s="104"/>
      <c r="AM30" s="105"/>
      <c r="AN30" s="107"/>
      <c r="AO30" s="104"/>
      <c r="AP30" s="105"/>
      <c r="AQ30" s="107"/>
      <c r="AR30" s="104"/>
      <c r="AS30" s="105"/>
      <c r="AT30" s="107"/>
      <c r="AU30" s="104"/>
      <c r="AV30" s="24"/>
      <c r="BA30" s="26"/>
      <c r="BB30" s="27"/>
      <c r="BM30" s="26"/>
      <c r="BN30" s="27"/>
      <c r="BP30" s="26"/>
      <c r="BQ30" s="27"/>
      <c r="BY30" s="26"/>
      <c r="BZ30" s="27"/>
    </row>
    <row r="31" spans="2:78" s="25" customFormat="1" ht="117" customHeight="1">
      <c r="B31" s="109" t="s">
        <v>56</v>
      </c>
      <c r="C31" s="29" t="s">
        <v>56</v>
      </c>
      <c r="D31" s="30" t="s">
        <v>188</v>
      </c>
      <c r="E31" s="31" t="s">
        <v>187</v>
      </c>
      <c r="F31" s="32">
        <f t="shared" ref="F31:F36" si="19">+Q31+T31+W31+Z31+AC31+AF31+AI31+AL31+AO31+AR31+AU31</f>
        <v>116</v>
      </c>
      <c r="G31" s="33">
        <v>106508</v>
      </c>
      <c r="H31" s="22">
        <f t="shared" si="17"/>
        <v>12354928</v>
      </c>
      <c r="I31" s="21"/>
      <c r="J31" s="22">
        <f t="shared" si="10"/>
        <v>21205.222828887661</v>
      </c>
      <c r="K31" s="22">
        <f t="shared" si="11"/>
        <v>1065.08</v>
      </c>
      <c r="L31" s="22">
        <f>+IF(F31=0,"",IFERROR($L$5*G31,""))</f>
        <v>4260.32</v>
      </c>
      <c r="M31" s="23"/>
      <c r="N31" s="34">
        <f t="shared" si="1"/>
        <v>133038.62282888766</v>
      </c>
      <c r="O31" s="22">
        <f t="shared" si="2"/>
        <v>15432480.248150969</v>
      </c>
      <c r="P31" s="6"/>
      <c r="Q31" s="104"/>
      <c r="R31" s="105" t="str">
        <f t="shared" si="4"/>
        <v/>
      </c>
      <c r="S31" s="106"/>
      <c r="T31" s="104"/>
      <c r="U31" s="105" t="str">
        <f t="shared" si="5"/>
        <v/>
      </c>
      <c r="V31" s="106"/>
      <c r="W31" s="104"/>
      <c r="X31" s="105" t="str">
        <f t="shared" si="16"/>
        <v/>
      </c>
      <c r="Y31" s="106"/>
      <c r="Z31" s="104">
        <v>20</v>
      </c>
      <c r="AA31" s="105">
        <f t="shared" si="12"/>
        <v>2130160</v>
      </c>
      <c r="AB31" s="106"/>
      <c r="AC31" s="104"/>
      <c r="AD31" s="105" t="str">
        <f t="shared" si="6"/>
        <v/>
      </c>
      <c r="AE31" s="107"/>
      <c r="AF31" s="104"/>
      <c r="AG31" s="105" t="str">
        <f t="shared" si="7"/>
        <v/>
      </c>
      <c r="AH31" s="106"/>
      <c r="AI31" s="104">
        <v>20</v>
      </c>
      <c r="AJ31" s="105">
        <f t="shared" si="8"/>
        <v>2130160</v>
      </c>
      <c r="AK31" s="107"/>
      <c r="AL31" s="104"/>
      <c r="AM31" s="105" t="str">
        <f t="shared" si="13"/>
        <v/>
      </c>
      <c r="AN31" s="107"/>
      <c r="AO31" s="104">
        <f>20+56</f>
        <v>76</v>
      </c>
      <c r="AP31" s="105">
        <f t="shared" si="9"/>
        <v>8094608</v>
      </c>
      <c r="AQ31" s="107"/>
      <c r="AR31" s="104"/>
      <c r="AS31" s="105" t="str">
        <f t="shared" si="14"/>
        <v/>
      </c>
      <c r="AT31" s="107"/>
      <c r="AU31" s="104"/>
      <c r="AV31" s="24" t="str">
        <f t="shared" si="15"/>
        <v/>
      </c>
      <c r="BA31" s="26"/>
      <c r="BB31" s="27"/>
      <c r="BM31" s="26"/>
      <c r="BN31" s="27"/>
      <c r="BP31" s="26"/>
      <c r="BQ31" s="27"/>
      <c r="BY31" s="26"/>
      <c r="BZ31" s="27"/>
    </row>
    <row r="32" spans="2:78" s="25" customFormat="1" ht="75.599999999999994" customHeight="1">
      <c r="B32" s="109" t="s">
        <v>57</v>
      </c>
      <c r="C32" s="29" t="s">
        <v>57</v>
      </c>
      <c r="D32" s="30" t="s">
        <v>189</v>
      </c>
      <c r="E32" s="31" t="s">
        <v>187</v>
      </c>
      <c r="F32" s="32">
        <f t="shared" si="19"/>
        <v>92</v>
      </c>
      <c r="G32" s="33">
        <v>134091</v>
      </c>
      <c r="H32" s="22">
        <f t="shared" si="17"/>
        <v>12336372</v>
      </c>
      <c r="I32" s="21"/>
      <c r="J32" s="22">
        <f t="shared" si="10"/>
        <v>26696.863468926047</v>
      </c>
      <c r="K32" s="22">
        <f t="shared" si="11"/>
        <v>1340.91</v>
      </c>
      <c r="L32" s="22">
        <f t="shared" ref="L32:L36" si="20">+IF(F32=0,"",IFERROR($L$5*G32,""))</f>
        <v>5363.64</v>
      </c>
      <c r="M32" s="23"/>
      <c r="N32" s="34">
        <f t="shared" si="1"/>
        <v>167492.41346892604</v>
      </c>
      <c r="O32" s="22">
        <f t="shared" si="2"/>
        <v>15409302.039141195</v>
      </c>
      <c r="P32" s="6"/>
      <c r="Q32" s="104"/>
      <c r="R32" s="105" t="str">
        <f t="shared" si="4"/>
        <v/>
      </c>
      <c r="S32" s="106"/>
      <c r="T32" s="104"/>
      <c r="U32" s="105" t="str">
        <f t="shared" si="5"/>
        <v/>
      </c>
      <c r="V32" s="106"/>
      <c r="W32" s="104"/>
      <c r="X32" s="105" t="str">
        <f t="shared" si="16"/>
        <v/>
      </c>
      <c r="Y32" s="106"/>
      <c r="Z32" s="104"/>
      <c r="AA32" s="105" t="str">
        <f t="shared" si="12"/>
        <v/>
      </c>
      <c r="AB32" s="106"/>
      <c r="AC32" s="104"/>
      <c r="AD32" s="105" t="str">
        <f t="shared" si="6"/>
        <v/>
      </c>
      <c r="AE32" s="107"/>
      <c r="AF32" s="104"/>
      <c r="AG32" s="105" t="str">
        <f t="shared" si="7"/>
        <v/>
      </c>
      <c r="AH32" s="106"/>
      <c r="AI32" s="104"/>
      <c r="AJ32" s="105" t="str">
        <f t="shared" si="8"/>
        <v/>
      </c>
      <c r="AK32" s="107"/>
      <c r="AL32" s="104"/>
      <c r="AM32" s="105" t="str">
        <f t="shared" si="13"/>
        <v/>
      </c>
      <c r="AN32" s="107"/>
      <c r="AO32" s="104">
        <v>92</v>
      </c>
      <c r="AP32" s="105">
        <f t="shared" si="9"/>
        <v>12336372</v>
      </c>
      <c r="AQ32" s="107"/>
      <c r="AR32" s="104"/>
      <c r="AS32" s="105" t="str">
        <f t="shared" si="14"/>
        <v/>
      </c>
      <c r="AT32" s="107"/>
      <c r="AU32" s="104"/>
      <c r="AV32" s="24" t="str">
        <f t="shared" si="15"/>
        <v/>
      </c>
      <c r="BA32" s="26"/>
      <c r="BB32" s="27"/>
      <c r="BM32" s="26"/>
      <c r="BN32" s="27"/>
      <c r="BP32" s="26"/>
      <c r="BQ32" s="27"/>
      <c r="BY32" s="26"/>
      <c r="BZ32" s="27"/>
    </row>
    <row r="33" spans="2:78" s="25" customFormat="1" ht="145.9" customHeight="1">
      <c r="B33" s="109" t="s">
        <v>58</v>
      </c>
      <c r="C33" s="29" t="s">
        <v>58</v>
      </c>
      <c r="D33" s="30" t="s">
        <v>190</v>
      </c>
      <c r="E33" s="31" t="s">
        <v>167</v>
      </c>
      <c r="F33" s="32">
        <f t="shared" si="19"/>
        <v>34</v>
      </c>
      <c r="G33" s="33">
        <v>635746</v>
      </c>
      <c r="H33" s="22">
        <f t="shared" si="17"/>
        <v>21615364</v>
      </c>
      <c r="I33" s="21"/>
      <c r="J33" s="22">
        <f t="shared" si="10"/>
        <v>126573.92489366072</v>
      </c>
      <c r="K33" s="22">
        <f t="shared" si="11"/>
        <v>6357.46</v>
      </c>
      <c r="L33" s="22">
        <f t="shared" si="20"/>
        <v>25429.84</v>
      </c>
      <c r="M33" s="23"/>
      <c r="N33" s="34">
        <f t="shared" si="1"/>
        <v>794107.22489366075</v>
      </c>
      <c r="O33" s="22">
        <f t="shared" si="2"/>
        <v>26999645.646384466</v>
      </c>
      <c r="P33" s="6"/>
      <c r="Q33" s="104"/>
      <c r="R33" s="105" t="str">
        <f t="shared" si="4"/>
        <v/>
      </c>
      <c r="S33" s="106"/>
      <c r="T33" s="104"/>
      <c r="U33" s="105" t="str">
        <f t="shared" si="5"/>
        <v/>
      </c>
      <c r="V33" s="106"/>
      <c r="W33" s="104"/>
      <c r="X33" s="105" t="str">
        <f t="shared" si="16"/>
        <v/>
      </c>
      <c r="Y33" s="106"/>
      <c r="Z33" s="104"/>
      <c r="AA33" s="105" t="str">
        <f t="shared" si="12"/>
        <v/>
      </c>
      <c r="AB33" s="106"/>
      <c r="AC33" s="104"/>
      <c r="AD33" s="105" t="str">
        <f t="shared" si="6"/>
        <v/>
      </c>
      <c r="AE33" s="107"/>
      <c r="AF33" s="104"/>
      <c r="AG33" s="105" t="str">
        <f t="shared" si="7"/>
        <v/>
      </c>
      <c r="AH33" s="106"/>
      <c r="AI33" s="104"/>
      <c r="AJ33" s="105" t="str">
        <f t="shared" si="8"/>
        <v/>
      </c>
      <c r="AK33" s="107"/>
      <c r="AL33" s="104"/>
      <c r="AM33" s="105" t="str">
        <f t="shared" si="13"/>
        <v/>
      </c>
      <c r="AN33" s="107"/>
      <c r="AO33" s="104">
        <v>34</v>
      </c>
      <c r="AP33" s="105">
        <f t="shared" si="9"/>
        <v>21615364</v>
      </c>
      <c r="AQ33" s="107"/>
      <c r="AR33" s="104"/>
      <c r="AS33" s="105" t="str">
        <f t="shared" si="14"/>
        <v/>
      </c>
      <c r="AT33" s="107"/>
      <c r="AU33" s="104"/>
      <c r="AV33" s="24" t="str">
        <f t="shared" si="15"/>
        <v/>
      </c>
      <c r="BA33" s="26"/>
      <c r="BB33" s="27"/>
      <c r="BM33" s="26"/>
      <c r="BN33" s="27"/>
      <c r="BP33" s="26"/>
      <c r="BQ33" s="27"/>
      <c r="BY33" s="26"/>
      <c r="BZ33" s="27"/>
    </row>
    <row r="34" spans="2:78" s="25" customFormat="1" ht="139.15" customHeight="1">
      <c r="B34" s="109" t="s">
        <v>59</v>
      </c>
      <c r="C34" s="29" t="s">
        <v>59</v>
      </c>
      <c r="D34" s="30" t="s">
        <v>191</v>
      </c>
      <c r="E34" s="31" t="s">
        <v>167</v>
      </c>
      <c r="F34" s="32">
        <f t="shared" si="19"/>
        <v>22</v>
      </c>
      <c r="G34" s="33">
        <v>701944</v>
      </c>
      <c r="H34" s="22">
        <f t="shared" si="17"/>
        <v>15442768</v>
      </c>
      <c r="I34" s="21"/>
      <c r="J34" s="22">
        <f t="shared" si="10"/>
        <v>139753.62351561122</v>
      </c>
      <c r="K34" s="22">
        <f t="shared" si="11"/>
        <v>7019.4400000000005</v>
      </c>
      <c r="L34" s="22">
        <f t="shared" si="20"/>
        <v>28077.760000000002</v>
      </c>
      <c r="M34" s="23"/>
      <c r="N34" s="34">
        <f t="shared" si="1"/>
        <v>876794.82351561124</v>
      </c>
      <c r="O34" s="22">
        <f t="shared" si="2"/>
        <v>19289486.117343448</v>
      </c>
      <c r="P34" s="6"/>
      <c r="Q34" s="104"/>
      <c r="R34" s="105" t="str">
        <f t="shared" si="4"/>
        <v/>
      </c>
      <c r="S34" s="106"/>
      <c r="T34" s="104"/>
      <c r="U34" s="105" t="str">
        <f t="shared" si="5"/>
        <v/>
      </c>
      <c r="V34" s="106"/>
      <c r="W34" s="104"/>
      <c r="X34" s="105" t="str">
        <f t="shared" si="16"/>
        <v/>
      </c>
      <c r="Y34" s="106"/>
      <c r="Z34" s="104"/>
      <c r="AA34" s="105" t="str">
        <f t="shared" si="12"/>
        <v/>
      </c>
      <c r="AB34" s="106"/>
      <c r="AC34" s="104"/>
      <c r="AD34" s="105" t="str">
        <f t="shared" si="6"/>
        <v/>
      </c>
      <c r="AE34" s="107"/>
      <c r="AF34" s="104"/>
      <c r="AG34" s="105" t="str">
        <f t="shared" si="7"/>
        <v/>
      </c>
      <c r="AH34" s="106"/>
      <c r="AI34" s="104"/>
      <c r="AJ34" s="105" t="str">
        <f t="shared" si="8"/>
        <v/>
      </c>
      <c r="AK34" s="107"/>
      <c r="AL34" s="104"/>
      <c r="AM34" s="105" t="str">
        <f t="shared" si="13"/>
        <v/>
      </c>
      <c r="AN34" s="107"/>
      <c r="AO34" s="104">
        <v>22</v>
      </c>
      <c r="AP34" s="105">
        <f t="shared" si="9"/>
        <v>15442768</v>
      </c>
      <c r="AQ34" s="107"/>
      <c r="AR34" s="104"/>
      <c r="AS34" s="105" t="str">
        <f t="shared" si="14"/>
        <v/>
      </c>
      <c r="AT34" s="107"/>
      <c r="AU34" s="104"/>
      <c r="AV34" s="24" t="str">
        <f t="shared" si="15"/>
        <v/>
      </c>
      <c r="BA34" s="26"/>
      <c r="BB34" s="27"/>
      <c r="BM34" s="26"/>
      <c r="BN34" s="27"/>
      <c r="BP34" s="26"/>
      <c r="BQ34" s="27"/>
      <c r="BY34" s="26"/>
      <c r="BZ34" s="27"/>
    </row>
    <row r="35" spans="2:78" s="25" customFormat="1" ht="133.15" customHeight="1">
      <c r="B35" s="109" t="s">
        <v>60</v>
      </c>
      <c r="C35" s="29" t="s">
        <v>60</v>
      </c>
      <c r="D35" s="30" t="s">
        <v>192</v>
      </c>
      <c r="E35" s="31" t="s">
        <v>167</v>
      </c>
      <c r="F35" s="32">
        <f t="shared" si="19"/>
        <v>18</v>
      </c>
      <c r="G35" s="33">
        <v>757843</v>
      </c>
      <c r="H35" s="22">
        <f t="shared" si="17"/>
        <v>13641174</v>
      </c>
      <c r="I35" s="21"/>
      <c r="J35" s="22">
        <f t="shared" si="10"/>
        <v>150882.8415171885</v>
      </c>
      <c r="K35" s="22">
        <f t="shared" si="11"/>
        <v>7578.43</v>
      </c>
      <c r="L35" s="22">
        <f t="shared" si="20"/>
        <v>30313.72</v>
      </c>
      <c r="M35" s="23"/>
      <c r="N35" s="34">
        <f t="shared" si="1"/>
        <v>946617.99151718849</v>
      </c>
      <c r="O35" s="22">
        <f t="shared" si="2"/>
        <v>17039123.847309392</v>
      </c>
      <c r="P35" s="6"/>
      <c r="Q35" s="104"/>
      <c r="R35" s="105" t="str">
        <f t="shared" si="4"/>
        <v/>
      </c>
      <c r="S35" s="106"/>
      <c r="T35" s="104"/>
      <c r="U35" s="105" t="str">
        <f t="shared" si="5"/>
        <v/>
      </c>
      <c r="V35" s="106"/>
      <c r="W35" s="104"/>
      <c r="X35" s="105" t="str">
        <f t="shared" si="16"/>
        <v/>
      </c>
      <c r="Y35" s="106"/>
      <c r="Z35" s="104"/>
      <c r="AA35" s="105" t="str">
        <f t="shared" si="12"/>
        <v/>
      </c>
      <c r="AB35" s="106"/>
      <c r="AC35" s="104"/>
      <c r="AD35" s="105" t="str">
        <f t="shared" si="6"/>
        <v/>
      </c>
      <c r="AE35" s="107"/>
      <c r="AF35" s="104"/>
      <c r="AG35" s="105" t="str">
        <f t="shared" si="7"/>
        <v/>
      </c>
      <c r="AH35" s="106"/>
      <c r="AI35" s="104"/>
      <c r="AJ35" s="105" t="str">
        <f t="shared" si="8"/>
        <v/>
      </c>
      <c r="AK35" s="107"/>
      <c r="AL35" s="104"/>
      <c r="AM35" s="105" t="str">
        <f t="shared" si="13"/>
        <v/>
      </c>
      <c r="AN35" s="107"/>
      <c r="AO35" s="104">
        <v>18</v>
      </c>
      <c r="AP35" s="105">
        <f t="shared" si="9"/>
        <v>13641174</v>
      </c>
      <c r="AQ35" s="107"/>
      <c r="AR35" s="104"/>
      <c r="AS35" s="105" t="str">
        <f t="shared" si="14"/>
        <v/>
      </c>
      <c r="AT35" s="107"/>
      <c r="AU35" s="104"/>
      <c r="AV35" s="24" t="str">
        <f t="shared" si="15"/>
        <v/>
      </c>
      <c r="BA35" s="26"/>
      <c r="BB35" s="27"/>
      <c r="BM35" s="26"/>
      <c r="BN35" s="27"/>
      <c r="BP35" s="26"/>
      <c r="BQ35" s="27"/>
      <c r="BY35" s="26"/>
      <c r="BZ35" s="27"/>
    </row>
    <row r="36" spans="2:78" s="25" customFormat="1" ht="142.15" customHeight="1">
      <c r="B36" s="109" t="s">
        <v>61</v>
      </c>
      <c r="C36" s="29" t="s">
        <v>61</v>
      </c>
      <c r="D36" s="30" t="s">
        <v>193</v>
      </c>
      <c r="E36" s="31" t="s">
        <v>167</v>
      </c>
      <c r="F36" s="32">
        <f t="shared" si="19"/>
        <v>14</v>
      </c>
      <c r="G36" s="33">
        <v>865183</v>
      </c>
      <c r="H36" s="22">
        <f t="shared" si="17"/>
        <v>12112562</v>
      </c>
      <c r="I36" s="21"/>
      <c r="J36" s="22">
        <f t="shared" si="10"/>
        <v>172253.71148425952</v>
      </c>
      <c r="K36" s="22">
        <f t="shared" si="11"/>
        <v>8651.83</v>
      </c>
      <c r="L36" s="22">
        <f t="shared" si="20"/>
        <v>34607.32</v>
      </c>
      <c r="M36" s="23"/>
      <c r="N36" s="34">
        <f t="shared" si="1"/>
        <v>1080695.8614842596</v>
      </c>
      <c r="O36" s="22">
        <f t="shared" si="2"/>
        <v>15129742.060779635</v>
      </c>
      <c r="P36" s="6"/>
      <c r="Q36" s="104"/>
      <c r="R36" s="105" t="str">
        <f t="shared" si="4"/>
        <v/>
      </c>
      <c r="S36" s="106"/>
      <c r="T36" s="104"/>
      <c r="U36" s="105" t="str">
        <f t="shared" si="5"/>
        <v/>
      </c>
      <c r="V36" s="106"/>
      <c r="W36" s="104"/>
      <c r="X36" s="105" t="str">
        <f t="shared" si="16"/>
        <v/>
      </c>
      <c r="Y36" s="106"/>
      <c r="Z36" s="104"/>
      <c r="AA36" s="105" t="str">
        <f t="shared" si="12"/>
        <v/>
      </c>
      <c r="AB36" s="106"/>
      <c r="AC36" s="104"/>
      <c r="AD36" s="105" t="str">
        <f t="shared" si="6"/>
        <v/>
      </c>
      <c r="AE36" s="107"/>
      <c r="AF36" s="104"/>
      <c r="AG36" s="105" t="str">
        <f t="shared" si="7"/>
        <v/>
      </c>
      <c r="AH36" s="106"/>
      <c r="AI36" s="104"/>
      <c r="AJ36" s="105" t="str">
        <f t="shared" si="8"/>
        <v/>
      </c>
      <c r="AK36" s="107"/>
      <c r="AL36" s="104"/>
      <c r="AM36" s="105" t="str">
        <f t="shared" si="13"/>
        <v/>
      </c>
      <c r="AN36" s="107"/>
      <c r="AO36" s="104">
        <v>14</v>
      </c>
      <c r="AP36" s="105">
        <f t="shared" si="9"/>
        <v>12112562</v>
      </c>
      <c r="AQ36" s="107"/>
      <c r="AR36" s="104"/>
      <c r="AS36" s="105" t="str">
        <f t="shared" si="14"/>
        <v/>
      </c>
      <c r="AT36" s="107"/>
      <c r="AU36" s="104"/>
      <c r="AV36" s="24" t="str">
        <f t="shared" si="15"/>
        <v/>
      </c>
      <c r="BA36" s="26"/>
      <c r="BB36" s="27"/>
      <c r="BM36" s="26"/>
      <c r="BN36" s="27"/>
      <c r="BP36" s="26"/>
      <c r="BQ36" s="27"/>
      <c r="BY36" s="26"/>
      <c r="BZ36" s="27"/>
    </row>
    <row r="37" spans="2:78" s="25" customFormat="1">
      <c r="B37" s="19" t="s">
        <v>62</v>
      </c>
      <c r="C37" s="20" t="s">
        <v>62</v>
      </c>
      <c r="D37" s="99" t="s">
        <v>63</v>
      </c>
      <c r="E37" s="100"/>
      <c r="F37" s="100"/>
      <c r="G37" s="100"/>
      <c r="H37" s="101"/>
      <c r="I37" s="21"/>
      <c r="J37" s="22"/>
      <c r="K37" s="22"/>
      <c r="L37" s="22"/>
      <c r="M37" s="23"/>
      <c r="N37" s="34"/>
      <c r="O37" s="22"/>
      <c r="P37" s="6"/>
      <c r="Q37" s="104"/>
      <c r="R37" s="105"/>
      <c r="S37" s="106"/>
      <c r="T37" s="104"/>
      <c r="U37" s="105"/>
      <c r="V37" s="106"/>
      <c r="W37" s="104"/>
      <c r="X37" s="105"/>
      <c r="Y37" s="106"/>
      <c r="Z37" s="104"/>
      <c r="AA37" s="105"/>
      <c r="AB37" s="106"/>
      <c r="AC37" s="104"/>
      <c r="AD37" s="105"/>
      <c r="AE37" s="107"/>
      <c r="AF37" s="104"/>
      <c r="AG37" s="105"/>
      <c r="AH37" s="106"/>
      <c r="AI37" s="104"/>
      <c r="AJ37" s="105"/>
      <c r="AK37" s="107"/>
      <c r="AL37" s="104"/>
      <c r="AM37" s="105"/>
      <c r="AN37" s="107"/>
      <c r="AO37" s="104"/>
      <c r="AP37" s="105"/>
      <c r="AQ37" s="107"/>
      <c r="AR37" s="104"/>
      <c r="AS37" s="105"/>
      <c r="AT37" s="107"/>
      <c r="AU37" s="104"/>
      <c r="AV37" s="24"/>
      <c r="BA37" s="26"/>
      <c r="BB37" s="27"/>
      <c r="BM37" s="26"/>
      <c r="BN37" s="27"/>
      <c r="BP37" s="26"/>
      <c r="BQ37" s="27"/>
      <c r="BY37" s="26"/>
      <c r="BZ37" s="27"/>
    </row>
    <row r="38" spans="2:78" s="25" customFormat="1" ht="100.15" customHeight="1">
      <c r="B38" s="109" t="s">
        <v>64</v>
      </c>
      <c r="C38" s="29" t="s">
        <v>64</v>
      </c>
      <c r="D38" s="30" t="s">
        <v>194</v>
      </c>
      <c r="E38" s="31" t="s">
        <v>187</v>
      </c>
      <c r="F38" s="32">
        <f>+Q38+T38+W38+Z38+AC38+AF38+AI38+AL38+AO38+AR38+AU38</f>
        <v>186</v>
      </c>
      <c r="G38" s="33">
        <v>252790</v>
      </c>
      <c r="H38" s="22">
        <f t="shared" si="17"/>
        <v>47018940</v>
      </c>
      <c r="I38" s="21"/>
      <c r="J38" s="22">
        <f t="shared" si="10"/>
        <v>50329.254881459725</v>
      </c>
      <c r="K38" s="22">
        <f t="shared" si="11"/>
        <v>2527.9</v>
      </c>
      <c r="L38" s="22">
        <f>+IF(F38=0,"",IFERROR($L$5*G38,""))</f>
        <v>10111.6</v>
      </c>
      <c r="M38" s="23"/>
      <c r="N38" s="34">
        <f t="shared" si="1"/>
        <v>315758.75488145975</v>
      </c>
      <c r="O38" s="22">
        <f t="shared" si="2"/>
        <v>58731128.407951511</v>
      </c>
      <c r="P38" s="6"/>
      <c r="Q38" s="104"/>
      <c r="R38" s="105" t="str">
        <f t="shared" si="4"/>
        <v/>
      </c>
      <c r="S38" s="106"/>
      <c r="T38" s="104"/>
      <c r="U38" s="105" t="str">
        <f t="shared" si="5"/>
        <v/>
      </c>
      <c r="V38" s="106"/>
      <c r="W38" s="104"/>
      <c r="X38" s="105" t="str">
        <f t="shared" si="16"/>
        <v/>
      </c>
      <c r="Y38" s="106"/>
      <c r="Z38" s="104">
        <v>77</v>
      </c>
      <c r="AA38" s="105">
        <f t="shared" si="12"/>
        <v>19464830</v>
      </c>
      <c r="AB38" s="106"/>
      <c r="AC38" s="104"/>
      <c r="AD38" s="105" t="str">
        <f t="shared" si="6"/>
        <v/>
      </c>
      <c r="AE38" s="107"/>
      <c r="AF38" s="104"/>
      <c r="AG38" s="105" t="str">
        <f t="shared" si="7"/>
        <v/>
      </c>
      <c r="AH38" s="106"/>
      <c r="AI38" s="104">
        <f>170*0.2</f>
        <v>34</v>
      </c>
      <c r="AJ38" s="105">
        <f t="shared" si="8"/>
        <v>8594860</v>
      </c>
      <c r="AK38" s="107"/>
      <c r="AL38" s="104"/>
      <c r="AM38" s="105" t="str">
        <f t="shared" si="13"/>
        <v/>
      </c>
      <c r="AN38" s="107"/>
      <c r="AO38" s="104">
        <v>75</v>
      </c>
      <c r="AP38" s="105">
        <f t="shared" si="9"/>
        <v>18959250</v>
      </c>
      <c r="AQ38" s="107"/>
      <c r="AR38" s="104"/>
      <c r="AS38" s="105" t="str">
        <f t="shared" si="14"/>
        <v/>
      </c>
      <c r="AT38" s="107"/>
      <c r="AU38" s="104"/>
      <c r="AV38" s="24" t="str">
        <f t="shared" si="15"/>
        <v/>
      </c>
      <c r="BA38" s="26"/>
      <c r="BB38" s="27"/>
      <c r="BM38" s="26"/>
      <c r="BN38" s="27"/>
      <c r="BP38" s="26"/>
      <c r="BQ38" s="27"/>
      <c r="BY38" s="26"/>
      <c r="BZ38" s="27"/>
    </row>
    <row r="39" spans="2:78" s="25" customFormat="1" ht="100.15" customHeight="1">
      <c r="B39" s="109" t="s">
        <v>65</v>
      </c>
      <c r="C39" s="29" t="s">
        <v>65</v>
      </c>
      <c r="D39" s="30" t="s">
        <v>195</v>
      </c>
      <c r="E39" s="31" t="s">
        <v>187</v>
      </c>
      <c r="F39" s="32">
        <f>+Q39+T39+W39+Z39+AC39+AF39+AI39+AL39+AO39+AR39+AU39</f>
        <v>112</v>
      </c>
      <c r="G39" s="33">
        <v>157670</v>
      </c>
      <c r="H39" s="22">
        <f t="shared" si="17"/>
        <v>17659040</v>
      </c>
      <c r="I39" s="21"/>
      <c r="J39" s="22">
        <f t="shared" si="10"/>
        <v>31391.32725645696</v>
      </c>
      <c r="K39" s="22">
        <f t="shared" si="11"/>
        <v>1576.7</v>
      </c>
      <c r="L39" s="22">
        <f t="shared" ref="L39:L40" si="21">+IF(F39=0,"",IFERROR($L$5*G39,""))</f>
        <v>6306.8</v>
      </c>
      <c r="M39" s="23"/>
      <c r="N39" s="34">
        <f t="shared" si="1"/>
        <v>196944.82725645695</v>
      </c>
      <c r="O39" s="22">
        <f t="shared" si="2"/>
        <v>22057820.652723178</v>
      </c>
      <c r="P39" s="6"/>
      <c r="Q39" s="104"/>
      <c r="R39" s="105" t="str">
        <f t="shared" si="4"/>
        <v/>
      </c>
      <c r="S39" s="106"/>
      <c r="T39" s="104"/>
      <c r="U39" s="105" t="str">
        <f t="shared" si="5"/>
        <v/>
      </c>
      <c r="V39" s="106"/>
      <c r="W39" s="104"/>
      <c r="X39" s="105" t="str">
        <f t="shared" si="16"/>
        <v/>
      </c>
      <c r="Y39" s="106"/>
      <c r="Z39" s="104"/>
      <c r="AA39" s="105" t="str">
        <f t="shared" si="12"/>
        <v/>
      </c>
      <c r="AB39" s="106"/>
      <c r="AC39" s="104"/>
      <c r="AD39" s="105" t="str">
        <f t="shared" si="6"/>
        <v/>
      </c>
      <c r="AE39" s="107"/>
      <c r="AF39" s="104"/>
      <c r="AG39" s="105" t="str">
        <f t="shared" si="7"/>
        <v/>
      </c>
      <c r="AH39" s="106"/>
      <c r="AI39" s="104"/>
      <c r="AJ39" s="105" t="str">
        <f t="shared" si="8"/>
        <v/>
      </c>
      <c r="AK39" s="107"/>
      <c r="AL39" s="104"/>
      <c r="AM39" s="105" t="str">
        <f t="shared" si="13"/>
        <v/>
      </c>
      <c r="AN39" s="107"/>
      <c r="AO39" s="104">
        <v>112</v>
      </c>
      <c r="AP39" s="105">
        <f t="shared" si="9"/>
        <v>17659040</v>
      </c>
      <c r="AQ39" s="107"/>
      <c r="AR39" s="104"/>
      <c r="AS39" s="105" t="str">
        <f t="shared" si="14"/>
        <v/>
      </c>
      <c r="AT39" s="107"/>
      <c r="AU39" s="104"/>
      <c r="AV39" s="24" t="str">
        <f t="shared" si="15"/>
        <v/>
      </c>
      <c r="BA39" s="26"/>
      <c r="BB39" s="27"/>
      <c r="BM39" s="26"/>
      <c r="BN39" s="27"/>
      <c r="BP39" s="26"/>
      <c r="BQ39" s="27"/>
      <c r="BY39" s="26"/>
      <c r="BZ39" s="27"/>
    </row>
    <row r="40" spans="2:78" s="25" customFormat="1" ht="77.45" customHeight="1">
      <c r="B40" s="109" t="s">
        <v>66</v>
      </c>
      <c r="C40" s="29" t="s">
        <v>66</v>
      </c>
      <c r="D40" s="30" t="s">
        <v>196</v>
      </c>
      <c r="E40" s="31" t="s">
        <v>187</v>
      </c>
      <c r="F40" s="32">
        <f>+Q40+T40+W40+Z40+AC40+AF40+AI40+AL40+AO40+AR40+AU40</f>
        <v>27</v>
      </c>
      <c r="G40" s="33">
        <v>88762</v>
      </c>
      <c r="H40" s="22">
        <f t="shared" si="17"/>
        <v>2396574</v>
      </c>
      <c r="I40" s="21"/>
      <c r="J40" s="22">
        <f t="shared" si="10"/>
        <v>17672.080864702431</v>
      </c>
      <c r="K40" s="22">
        <f t="shared" si="11"/>
        <v>887.62</v>
      </c>
      <c r="L40" s="22">
        <f t="shared" si="21"/>
        <v>3550.48</v>
      </c>
      <c r="M40" s="23"/>
      <c r="N40" s="34">
        <f t="shared" si="1"/>
        <v>110872.18086470243</v>
      </c>
      <c r="O40" s="22">
        <f t="shared" si="2"/>
        <v>2993548.8833469655</v>
      </c>
      <c r="P40" s="6"/>
      <c r="Q40" s="104"/>
      <c r="R40" s="105" t="str">
        <f t="shared" si="4"/>
        <v/>
      </c>
      <c r="S40" s="106"/>
      <c r="T40" s="104"/>
      <c r="U40" s="105" t="str">
        <f t="shared" si="5"/>
        <v/>
      </c>
      <c r="V40" s="106"/>
      <c r="W40" s="104"/>
      <c r="X40" s="105" t="str">
        <f t="shared" si="16"/>
        <v/>
      </c>
      <c r="Y40" s="106"/>
      <c r="Z40" s="104"/>
      <c r="AA40" s="105" t="str">
        <f t="shared" si="12"/>
        <v/>
      </c>
      <c r="AB40" s="106"/>
      <c r="AC40" s="104"/>
      <c r="AD40" s="105" t="str">
        <f t="shared" si="6"/>
        <v/>
      </c>
      <c r="AE40" s="107"/>
      <c r="AF40" s="104"/>
      <c r="AG40" s="105" t="str">
        <f t="shared" si="7"/>
        <v/>
      </c>
      <c r="AH40" s="106"/>
      <c r="AI40" s="104"/>
      <c r="AJ40" s="105" t="str">
        <f t="shared" si="8"/>
        <v/>
      </c>
      <c r="AK40" s="107"/>
      <c r="AL40" s="104"/>
      <c r="AM40" s="105" t="str">
        <f t="shared" si="13"/>
        <v/>
      </c>
      <c r="AN40" s="107"/>
      <c r="AO40" s="104">
        <v>27</v>
      </c>
      <c r="AP40" s="105">
        <f t="shared" si="9"/>
        <v>2396574</v>
      </c>
      <c r="AQ40" s="107"/>
      <c r="AR40" s="104"/>
      <c r="AS40" s="105" t="str">
        <f t="shared" si="14"/>
        <v/>
      </c>
      <c r="AT40" s="107"/>
      <c r="AU40" s="104"/>
      <c r="AV40" s="24" t="str">
        <f t="shared" si="15"/>
        <v/>
      </c>
      <c r="BA40" s="26"/>
      <c r="BB40" s="27"/>
      <c r="BM40" s="26"/>
      <c r="BN40" s="27"/>
      <c r="BP40" s="26"/>
      <c r="BQ40" s="27"/>
      <c r="BY40" s="26"/>
      <c r="BZ40" s="27"/>
    </row>
    <row r="41" spans="2:78" s="25" customFormat="1">
      <c r="B41" s="19" t="s">
        <v>67</v>
      </c>
      <c r="C41" s="20" t="s">
        <v>67</v>
      </c>
      <c r="D41" s="99" t="s">
        <v>68</v>
      </c>
      <c r="E41" s="100"/>
      <c r="F41" s="100"/>
      <c r="G41" s="100"/>
      <c r="H41" s="101"/>
      <c r="I41" s="21"/>
      <c r="J41" s="22"/>
      <c r="K41" s="22"/>
      <c r="L41" s="22"/>
      <c r="M41" s="23"/>
      <c r="N41" s="34"/>
      <c r="O41" s="22"/>
      <c r="P41" s="6"/>
      <c r="Q41" s="104"/>
      <c r="R41" s="105"/>
      <c r="S41" s="106"/>
      <c r="T41" s="104"/>
      <c r="U41" s="105"/>
      <c r="V41" s="106"/>
      <c r="W41" s="104"/>
      <c r="X41" s="105"/>
      <c r="Y41" s="106"/>
      <c r="Z41" s="104"/>
      <c r="AA41" s="105"/>
      <c r="AB41" s="106"/>
      <c r="AC41" s="104"/>
      <c r="AD41" s="105"/>
      <c r="AE41" s="107"/>
      <c r="AF41" s="104"/>
      <c r="AG41" s="105"/>
      <c r="AH41" s="106"/>
      <c r="AI41" s="104"/>
      <c r="AJ41" s="105"/>
      <c r="AK41" s="107"/>
      <c r="AL41" s="104"/>
      <c r="AM41" s="105"/>
      <c r="AN41" s="107"/>
      <c r="AO41" s="104"/>
      <c r="AP41" s="105"/>
      <c r="AQ41" s="107"/>
      <c r="AR41" s="104"/>
      <c r="AS41" s="105"/>
      <c r="AT41" s="107"/>
      <c r="AU41" s="104"/>
      <c r="AV41" s="24"/>
      <c r="BA41" s="26"/>
      <c r="BB41" s="27"/>
      <c r="BM41" s="26"/>
      <c r="BN41" s="27"/>
      <c r="BP41" s="26"/>
      <c r="BQ41" s="27"/>
      <c r="BY41" s="26"/>
      <c r="BZ41" s="27"/>
    </row>
    <row r="42" spans="2:78" s="25" customFormat="1" ht="77.45" customHeight="1">
      <c r="B42" s="109" t="s">
        <v>69</v>
      </c>
      <c r="C42" s="29" t="s">
        <v>69</v>
      </c>
      <c r="D42" s="30" t="s">
        <v>197</v>
      </c>
      <c r="E42" s="31" t="s">
        <v>167</v>
      </c>
      <c r="F42" s="32">
        <f>+Q42+T42+W42+Z42+AC42+AF42+AI42+AL42+AO42+AR42+AU42</f>
        <v>55</v>
      </c>
      <c r="G42" s="33">
        <v>156715</v>
      </c>
      <c r="H42" s="22">
        <f t="shared" si="17"/>
        <v>8619325</v>
      </c>
      <c r="I42" s="21"/>
      <c r="J42" s="22">
        <f t="shared" ref="J42:J45" si="22">+IF(F42=0,"",IFERROR($J$5*G42,""))</f>
        <v>31201.191418758495</v>
      </c>
      <c r="K42" s="22">
        <f t="shared" ref="K42:K45" si="23">+IF(F42=0,"",IFERROR($K$5*G42,""))</f>
        <v>1567.15</v>
      </c>
      <c r="L42" s="22">
        <f t="shared" ref="L42:L45" si="24">+IF(F42=0,"",IFERROR($L$5*G42,""))</f>
        <v>6268.6</v>
      </c>
      <c r="M42" s="23"/>
      <c r="N42" s="34">
        <v>93200.1</v>
      </c>
      <c r="O42" s="22">
        <v>2516402.7000000002</v>
      </c>
      <c r="P42" s="6"/>
      <c r="Q42" s="104"/>
      <c r="R42" s="105" t="str">
        <f t="shared" si="4"/>
        <v/>
      </c>
      <c r="S42" s="106"/>
      <c r="T42" s="104"/>
      <c r="U42" s="105" t="str">
        <f t="shared" si="5"/>
        <v/>
      </c>
      <c r="V42" s="106"/>
      <c r="W42" s="104"/>
      <c r="X42" s="105" t="str">
        <f t="shared" si="16"/>
        <v/>
      </c>
      <c r="Y42" s="106"/>
      <c r="Z42" s="104"/>
      <c r="AA42" s="105" t="str">
        <f t="shared" si="12"/>
        <v/>
      </c>
      <c r="AB42" s="106"/>
      <c r="AC42" s="104"/>
      <c r="AD42" s="105" t="str">
        <f t="shared" si="6"/>
        <v/>
      </c>
      <c r="AE42" s="107"/>
      <c r="AF42" s="104"/>
      <c r="AG42" s="105" t="str">
        <f t="shared" si="7"/>
        <v/>
      </c>
      <c r="AH42" s="106"/>
      <c r="AI42" s="104"/>
      <c r="AJ42" s="105" t="str">
        <f t="shared" si="8"/>
        <v/>
      </c>
      <c r="AK42" s="107"/>
      <c r="AL42" s="104"/>
      <c r="AM42" s="105" t="str">
        <f t="shared" si="13"/>
        <v/>
      </c>
      <c r="AN42" s="107"/>
      <c r="AO42" s="104">
        <v>55</v>
      </c>
      <c r="AP42" s="105">
        <f t="shared" si="9"/>
        <v>8619325</v>
      </c>
      <c r="AQ42" s="107"/>
      <c r="AR42" s="104"/>
      <c r="AS42" s="105" t="str">
        <f t="shared" si="14"/>
        <v/>
      </c>
      <c r="AT42" s="107"/>
      <c r="AU42" s="104"/>
      <c r="AV42" s="24" t="str">
        <f t="shared" si="15"/>
        <v/>
      </c>
      <c r="BA42" s="26"/>
      <c r="BB42" s="27"/>
      <c r="BM42" s="26"/>
      <c r="BN42" s="27"/>
      <c r="BP42" s="26"/>
      <c r="BQ42" s="27"/>
      <c r="BY42" s="26"/>
      <c r="BZ42" s="27"/>
    </row>
    <row r="43" spans="2:78" s="25" customFormat="1" ht="77.45" customHeight="1">
      <c r="B43" s="109" t="s">
        <v>70</v>
      </c>
      <c r="C43" s="29" t="s">
        <v>70</v>
      </c>
      <c r="D43" s="30" t="s">
        <v>198</v>
      </c>
      <c r="E43" s="31" t="s">
        <v>175</v>
      </c>
      <c r="F43" s="32">
        <f>+Q43+T43+W43+Z43+AC43+AF43+AI43+AL43+AO43+AR43+AU43</f>
        <v>111</v>
      </c>
      <c r="G43" s="33">
        <v>71193</v>
      </c>
      <c r="H43" s="22">
        <f t="shared" si="17"/>
        <v>7902423</v>
      </c>
      <c r="I43" s="21"/>
      <c r="J43" s="22">
        <f t="shared" si="22"/>
        <v>14174.17873640477</v>
      </c>
      <c r="K43" s="22">
        <f t="shared" si="23"/>
        <v>711.93000000000006</v>
      </c>
      <c r="L43" s="22">
        <f t="shared" si="24"/>
        <v>2847.7200000000003</v>
      </c>
      <c r="M43" s="23"/>
      <c r="N43" s="34">
        <v>93200.1</v>
      </c>
      <c r="O43" s="22">
        <v>2516402.7000000002</v>
      </c>
      <c r="P43" s="6"/>
      <c r="Q43" s="104"/>
      <c r="R43" s="105" t="str">
        <f t="shared" si="4"/>
        <v/>
      </c>
      <c r="S43" s="106"/>
      <c r="T43" s="104"/>
      <c r="U43" s="105" t="str">
        <f t="shared" si="5"/>
        <v/>
      </c>
      <c r="V43" s="106"/>
      <c r="W43" s="104"/>
      <c r="X43" s="105" t="str">
        <f t="shared" si="16"/>
        <v/>
      </c>
      <c r="Y43" s="106"/>
      <c r="Z43" s="104"/>
      <c r="AA43" s="105" t="str">
        <f t="shared" si="12"/>
        <v/>
      </c>
      <c r="AB43" s="106"/>
      <c r="AC43" s="104"/>
      <c r="AD43" s="105" t="str">
        <f t="shared" si="6"/>
        <v/>
      </c>
      <c r="AE43" s="107"/>
      <c r="AF43" s="104"/>
      <c r="AG43" s="105" t="str">
        <f t="shared" si="7"/>
        <v/>
      </c>
      <c r="AH43" s="106"/>
      <c r="AI43" s="104"/>
      <c r="AJ43" s="105" t="str">
        <f t="shared" si="8"/>
        <v/>
      </c>
      <c r="AK43" s="107"/>
      <c r="AL43" s="104"/>
      <c r="AM43" s="105" t="str">
        <f t="shared" si="13"/>
        <v/>
      </c>
      <c r="AN43" s="107"/>
      <c r="AO43" s="104">
        <v>111</v>
      </c>
      <c r="AP43" s="105">
        <f t="shared" si="9"/>
        <v>7902423</v>
      </c>
      <c r="AQ43" s="107"/>
      <c r="AR43" s="104"/>
      <c r="AS43" s="105" t="str">
        <f t="shared" si="14"/>
        <v/>
      </c>
      <c r="AT43" s="107"/>
      <c r="AU43" s="104"/>
      <c r="AV43" s="24" t="str">
        <f t="shared" si="15"/>
        <v/>
      </c>
      <c r="BA43" s="26"/>
      <c r="BB43" s="27"/>
      <c r="BM43" s="26"/>
      <c r="BN43" s="27"/>
      <c r="BP43" s="26"/>
      <c r="BQ43" s="27"/>
      <c r="BY43" s="26"/>
      <c r="BZ43" s="27"/>
    </row>
    <row r="44" spans="2:78" s="25" customFormat="1" ht="77.45" customHeight="1">
      <c r="B44" s="109" t="s">
        <v>71</v>
      </c>
      <c r="C44" s="29" t="s">
        <v>71</v>
      </c>
      <c r="D44" s="30" t="s">
        <v>258</v>
      </c>
      <c r="E44" s="31" t="s">
        <v>175</v>
      </c>
      <c r="F44" s="32">
        <f>+Q44+T44+W44+Z44+AC44+AF44+AI44+AL44+AO44+AR44+AU44</f>
        <v>925</v>
      </c>
      <c r="G44" s="33">
        <v>18401</v>
      </c>
      <c r="H44" s="22">
        <f t="shared" si="17"/>
        <v>17020925</v>
      </c>
      <c r="I44" s="21"/>
      <c r="J44" s="22">
        <f t="shared" si="22"/>
        <v>3663.5492664810331</v>
      </c>
      <c r="K44" s="22">
        <f t="shared" si="23"/>
        <v>184.01</v>
      </c>
      <c r="L44" s="22">
        <f t="shared" si="24"/>
        <v>736.04</v>
      </c>
      <c r="M44" s="23"/>
      <c r="N44" s="34">
        <v>93200.1</v>
      </c>
      <c r="O44" s="22">
        <v>2516402.7000000002</v>
      </c>
      <c r="P44" s="6"/>
      <c r="Q44" s="104"/>
      <c r="R44" s="105" t="str">
        <f t="shared" si="4"/>
        <v/>
      </c>
      <c r="S44" s="106"/>
      <c r="T44" s="104"/>
      <c r="U44" s="105" t="str">
        <f t="shared" si="5"/>
        <v/>
      </c>
      <c r="V44" s="106"/>
      <c r="W44" s="104"/>
      <c r="X44" s="105" t="str">
        <f t="shared" si="16"/>
        <v/>
      </c>
      <c r="Y44" s="106"/>
      <c r="Z44" s="104"/>
      <c r="AA44" s="105" t="str">
        <f t="shared" si="12"/>
        <v/>
      </c>
      <c r="AB44" s="106"/>
      <c r="AC44" s="104"/>
      <c r="AD44" s="105" t="str">
        <f t="shared" si="6"/>
        <v/>
      </c>
      <c r="AE44" s="107"/>
      <c r="AF44" s="104"/>
      <c r="AG44" s="105" t="str">
        <f t="shared" si="7"/>
        <v/>
      </c>
      <c r="AH44" s="106"/>
      <c r="AI44" s="104"/>
      <c r="AJ44" s="105" t="str">
        <f t="shared" si="8"/>
        <v/>
      </c>
      <c r="AK44" s="107"/>
      <c r="AL44" s="104"/>
      <c r="AM44" s="105" t="str">
        <f t="shared" si="13"/>
        <v/>
      </c>
      <c r="AN44" s="107"/>
      <c r="AO44" s="104">
        <v>925</v>
      </c>
      <c r="AP44" s="105">
        <f t="shared" si="9"/>
        <v>17020925</v>
      </c>
      <c r="AQ44" s="107"/>
      <c r="AR44" s="104"/>
      <c r="AS44" s="105" t="str">
        <f t="shared" si="14"/>
        <v/>
      </c>
      <c r="AT44" s="107"/>
      <c r="AU44" s="104"/>
      <c r="AV44" s="24" t="str">
        <f t="shared" si="15"/>
        <v/>
      </c>
      <c r="BA44" s="26"/>
      <c r="BB44" s="27"/>
      <c r="BM44" s="26"/>
      <c r="BN44" s="27"/>
      <c r="BP44" s="26"/>
      <c r="BQ44" s="27"/>
      <c r="BY44" s="26"/>
      <c r="BZ44" s="27"/>
    </row>
    <row r="45" spans="2:78" s="25" customFormat="1" ht="77.45" customHeight="1">
      <c r="B45" s="109" t="s">
        <v>72</v>
      </c>
      <c r="C45" s="29" t="s">
        <v>72</v>
      </c>
      <c r="D45" s="30" t="s">
        <v>257</v>
      </c>
      <c r="E45" s="31" t="s">
        <v>175</v>
      </c>
      <c r="F45" s="32">
        <f>+Q45+T45+W45+Z45+AC45+AF45+AI45+AL45+AO45+AR45+AU45</f>
        <v>120</v>
      </c>
      <c r="G45" s="33">
        <v>20398</v>
      </c>
      <c r="H45" s="22">
        <f t="shared" si="17"/>
        <v>2447760</v>
      </c>
      <c r="I45" s="21"/>
      <c r="J45" s="22">
        <f t="shared" si="22"/>
        <v>4061.1422171447266</v>
      </c>
      <c r="K45" s="22">
        <f t="shared" si="23"/>
        <v>203.98000000000002</v>
      </c>
      <c r="L45" s="22">
        <f t="shared" si="24"/>
        <v>815.92000000000007</v>
      </c>
      <c r="M45" s="23"/>
      <c r="N45" s="34">
        <v>93200.1</v>
      </c>
      <c r="O45" s="22">
        <v>2516402.7000000002</v>
      </c>
      <c r="P45" s="6"/>
      <c r="Q45" s="104"/>
      <c r="R45" s="105" t="str">
        <f t="shared" si="4"/>
        <v/>
      </c>
      <c r="S45" s="106"/>
      <c r="T45" s="104"/>
      <c r="U45" s="105" t="str">
        <f t="shared" si="5"/>
        <v/>
      </c>
      <c r="V45" s="106"/>
      <c r="W45" s="104"/>
      <c r="X45" s="105" t="str">
        <f t="shared" si="16"/>
        <v/>
      </c>
      <c r="Y45" s="106"/>
      <c r="Z45" s="104"/>
      <c r="AA45" s="105" t="str">
        <f t="shared" si="12"/>
        <v/>
      </c>
      <c r="AB45" s="106"/>
      <c r="AC45" s="104"/>
      <c r="AD45" s="105" t="str">
        <f t="shared" si="6"/>
        <v/>
      </c>
      <c r="AE45" s="107"/>
      <c r="AF45" s="104"/>
      <c r="AG45" s="105" t="str">
        <f t="shared" si="7"/>
        <v/>
      </c>
      <c r="AH45" s="106"/>
      <c r="AI45" s="104"/>
      <c r="AJ45" s="105" t="str">
        <f t="shared" si="8"/>
        <v/>
      </c>
      <c r="AK45" s="107"/>
      <c r="AL45" s="104"/>
      <c r="AM45" s="105" t="str">
        <f t="shared" si="13"/>
        <v/>
      </c>
      <c r="AN45" s="107"/>
      <c r="AO45" s="104">
        <v>120</v>
      </c>
      <c r="AP45" s="105">
        <f t="shared" si="9"/>
        <v>2447760</v>
      </c>
      <c r="AQ45" s="107"/>
      <c r="AR45" s="104"/>
      <c r="AS45" s="105" t="str">
        <f t="shared" si="14"/>
        <v/>
      </c>
      <c r="AT45" s="107"/>
      <c r="AU45" s="104"/>
      <c r="AV45" s="24" t="str">
        <f t="shared" si="15"/>
        <v/>
      </c>
      <c r="BA45" s="26"/>
      <c r="BB45" s="27"/>
      <c r="BM45" s="26"/>
      <c r="BN45" s="27"/>
      <c r="BP45" s="26"/>
      <c r="BQ45" s="27"/>
      <c r="BY45" s="26"/>
      <c r="BZ45" s="27"/>
    </row>
    <row r="46" spans="2:78" s="25" customFormat="1">
      <c r="B46" s="19" t="s">
        <v>73</v>
      </c>
      <c r="C46" s="20" t="s">
        <v>73</v>
      </c>
      <c r="D46" s="99" t="s">
        <v>74</v>
      </c>
      <c r="E46" s="100"/>
      <c r="F46" s="100"/>
      <c r="G46" s="100"/>
      <c r="H46" s="101"/>
      <c r="I46" s="21"/>
      <c r="J46" s="22"/>
      <c r="K46" s="22"/>
      <c r="L46" s="22"/>
      <c r="M46" s="23"/>
      <c r="N46" s="34"/>
      <c r="O46" s="22"/>
      <c r="P46" s="6"/>
      <c r="Q46" s="104"/>
      <c r="R46" s="105"/>
      <c r="S46" s="106"/>
      <c r="T46" s="104"/>
      <c r="U46" s="105"/>
      <c r="V46" s="106"/>
      <c r="W46" s="104"/>
      <c r="X46" s="105"/>
      <c r="Y46" s="106"/>
      <c r="Z46" s="104"/>
      <c r="AA46" s="105"/>
      <c r="AB46" s="106"/>
      <c r="AC46" s="104"/>
      <c r="AD46" s="105"/>
      <c r="AE46" s="107"/>
      <c r="AF46" s="104"/>
      <c r="AG46" s="105"/>
      <c r="AH46" s="106"/>
      <c r="AI46" s="104"/>
      <c r="AJ46" s="105"/>
      <c r="AK46" s="107"/>
      <c r="AL46" s="104"/>
      <c r="AM46" s="105"/>
      <c r="AN46" s="107"/>
      <c r="AO46" s="104"/>
      <c r="AP46" s="105"/>
      <c r="AQ46" s="107"/>
      <c r="AR46" s="104"/>
      <c r="AS46" s="105"/>
      <c r="AT46" s="107"/>
      <c r="AU46" s="104"/>
      <c r="AV46" s="24"/>
      <c r="BA46" s="26"/>
      <c r="BB46" s="27"/>
      <c r="BM46" s="26"/>
      <c r="BN46" s="27"/>
      <c r="BP46" s="26"/>
      <c r="BQ46" s="27"/>
      <c r="BY46" s="26"/>
      <c r="BZ46" s="27"/>
    </row>
    <row r="47" spans="2:78" s="25" customFormat="1" ht="87.6" customHeight="1">
      <c r="B47" s="109" t="s">
        <v>75</v>
      </c>
      <c r="C47" s="28" t="s">
        <v>75</v>
      </c>
      <c r="D47" s="30" t="s">
        <v>199</v>
      </c>
      <c r="E47" s="31" t="s">
        <v>187</v>
      </c>
      <c r="F47" s="32">
        <f>+Q47+T47+W47+Z47+AC47+AF47+AI47+AL47+AO47+AR47+AU47</f>
        <v>538</v>
      </c>
      <c r="G47" s="33">
        <v>63181</v>
      </c>
      <c r="H47" s="22">
        <f t="shared" si="17"/>
        <v>33991378</v>
      </c>
      <c r="I47" s="21"/>
      <c r="J47" s="22">
        <f t="shared" si="10"/>
        <v>12579.028650917784</v>
      </c>
      <c r="K47" s="22">
        <f t="shared" si="11"/>
        <v>631.81000000000006</v>
      </c>
      <c r="L47" s="22">
        <f>+IF(F47=0,"",IFERROR($L$5*G47,""))</f>
        <v>2527.2400000000002</v>
      </c>
      <c r="M47" s="23"/>
      <c r="N47" s="34">
        <f t="shared" si="1"/>
        <v>78919.078650917785</v>
      </c>
      <c r="O47" s="22">
        <f t="shared" si="2"/>
        <v>42458464.31419377</v>
      </c>
      <c r="P47" s="6"/>
      <c r="Q47" s="104">
        <v>15</v>
      </c>
      <c r="R47" s="105">
        <f t="shared" si="4"/>
        <v>947715</v>
      </c>
      <c r="S47" s="106"/>
      <c r="T47" s="104">
        <v>15</v>
      </c>
      <c r="U47" s="105">
        <f t="shared" si="5"/>
        <v>947715</v>
      </c>
      <c r="V47" s="106"/>
      <c r="W47" s="104">
        <v>15</v>
      </c>
      <c r="X47" s="105">
        <f t="shared" si="16"/>
        <v>947715</v>
      </c>
      <c r="Y47" s="106"/>
      <c r="Z47" s="104">
        <v>25</v>
      </c>
      <c r="AA47" s="105">
        <f t="shared" si="12"/>
        <v>1579525</v>
      </c>
      <c r="AB47" s="106"/>
      <c r="AC47" s="104">
        <v>15</v>
      </c>
      <c r="AD47" s="105">
        <f t="shared" si="6"/>
        <v>947715</v>
      </c>
      <c r="AE47" s="107"/>
      <c r="AF47" s="104">
        <v>15</v>
      </c>
      <c r="AG47" s="105">
        <f t="shared" si="7"/>
        <v>947715</v>
      </c>
      <c r="AH47" s="106"/>
      <c r="AI47" s="104">
        <v>25</v>
      </c>
      <c r="AJ47" s="105">
        <f t="shared" si="8"/>
        <v>1579525</v>
      </c>
      <c r="AK47" s="107"/>
      <c r="AL47" s="104">
        <v>15</v>
      </c>
      <c r="AM47" s="105">
        <f t="shared" si="13"/>
        <v>947715</v>
      </c>
      <c r="AN47" s="107"/>
      <c r="AO47" s="104">
        <f>25+343</f>
        <v>368</v>
      </c>
      <c r="AP47" s="105">
        <f t="shared" si="9"/>
        <v>23250608</v>
      </c>
      <c r="AQ47" s="107"/>
      <c r="AR47" s="104">
        <v>15</v>
      </c>
      <c r="AS47" s="105">
        <f t="shared" si="14"/>
        <v>947715</v>
      </c>
      <c r="AT47" s="107"/>
      <c r="AU47" s="104">
        <v>15</v>
      </c>
      <c r="AV47" s="24">
        <f t="shared" si="15"/>
        <v>947715</v>
      </c>
      <c r="BA47" s="26"/>
      <c r="BB47" s="27"/>
      <c r="BM47" s="26"/>
      <c r="BN47" s="27"/>
      <c r="BP47" s="26"/>
      <c r="BQ47" s="27"/>
      <c r="BY47" s="26"/>
      <c r="BZ47" s="27"/>
    </row>
    <row r="48" spans="2:78" s="25" customFormat="1">
      <c r="B48" s="19">
        <v>4</v>
      </c>
      <c r="C48" s="20">
        <v>4</v>
      </c>
      <c r="D48" s="99" t="s">
        <v>76</v>
      </c>
      <c r="E48" s="100"/>
      <c r="F48" s="100"/>
      <c r="G48" s="100"/>
      <c r="H48" s="101"/>
      <c r="I48" s="21"/>
      <c r="J48" s="22"/>
      <c r="K48" s="22"/>
      <c r="L48" s="22"/>
      <c r="M48" s="23"/>
      <c r="N48" s="34"/>
      <c r="O48" s="22"/>
      <c r="P48" s="6"/>
      <c r="Q48" s="104"/>
      <c r="R48" s="105"/>
      <c r="S48" s="106"/>
      <c r="T48" s="104"/>
      <c r="U48" s="105"/>
      <c r="V48" s="106"/>
      <c r="W48" s="104"/>
      <c r="X48" s="105"/>
      <c r="Y48" s="106"/>
      <c r="Z48" s="104"/>
      <c r="AA48" s="105"/>
      <c r="AB48" s="106"/>
      <c r="AC48" s="104"/>
      <c r="AD48" s="105"/>
      <c r="AE48" s="107"/>
      <c r="AF48" s="104"/>
      <c r="AG48" s="105"/>
      <c r="AH48" s="106"/>
      <c r="AI48" s="104"/>
      <c r="AJ48" s="105"/>
      <c r="AK48" s="107"/>
      <c r="AL48" s="104"/>
      <c r="AM48" s="105"/>
      <c r="AN48" s="107"/>
      <c r="AO48" s="104"/>
      <c r="AP48" s="105"/>
      <c r="AQ48" s="107"/>
      <c r="AR48" s="104"/>
      <c r="AS48" s="105"/>
      <c r="AT48" s="107"/>
      <c r="AU48" s="104"/>
      <c r="AV48" s="24"/>
      <c r="BA48" s="26"/>
      <c r="BB48" s="27"/>
      <c r="BM48" s="26"/>
      <c r="BN48" s="27"/>
      <c r="BP48" s="26"/>
      <c r="BQ48" s="27"/>
      <c r="BY48" s="26"/>
      <c r="BZ48" s="27"/>
    </row>
    <row r="49" spans="2:78" s="25" customFormat="1">
      <c r="B49" s="19" t="s">
        <v>77</v>
      </c>
      <c r="C49" s="20" t="s">
        <v>77</v>
      </c>
      <c r="D49" s="99" t="s">
        <v>78</v>
      </c>
      <c r="E49" s="100"/>
      <c r="F49" s="100"/>
      <c r="G49" s="100"/>
      <c r="H49" s="101"/>
      <c r="I49" s="21"/>
      <c r="J49" s="22"/>
      <c r="K49" s="22"/>
      <c r="L49" s="22"/>
      <c r="M49" s="23"/>
      <c r="N49" s="34"/>
      <c r="O49" s="22"/>
      <c r="P49" s="6"/>
      <c r="Q49" s="104"/>
      <c r="R49" s="105"/>
      <c r="S49" s="106"/>
      <c r="T49" s="104"/>
      <c r="U49" s="105"/>
      <c r="V49" s="106"/>
      <c r="W49" s="104"/>
      <c r="X49" s="105"/>
      <c r="Y49" s="106"/>
      <c r="Z49" s="104"/>
      <c r="AA49" s="105"/>
      <c r="AB49" s="106"/>
      <c r="AC49" s="104"/>
      <c r="AD49" s="105"/>
      <c r="AE49" s="107"/>
      <c r="AF49" s="104"/>
      <c r="AG49" s="105"/>
      <c r="AH49" s="106"/>
      <c r="AI49" s="104"/>
      <c r="AJ49" s="105"/>
      <c r="AK49" s="107"/>
      <c r="AL49" s="104"/>
      <c r="AM49" s="105"/>
      <c r="AN49" s="107"/>
      <c r="AO49" s="104"/>
      <c r="AP49" s="105"/>
      <c r="AQ49" s="107"/>
      <c r="AR49" s="104"/>
      <c r="AS49" s="105"/>
      <c r="AT49" s="107"/>
      <c r="AU49" s="104"/>
      <c r="AV49" s="24"/>
      <c r="BA49" s="26"/>
      <c r="BB49" s="27"/>
      <c r="BM49" s="26"/>
      <c r="BN49" s="27"/>
      <c r="BP49" s="26"/>
      <c r="BQ49" s="27"/>
      <c r="BY49" s="26"/>
      <c r="BZ49" s="27"/>
    </row>
    <row r="50" spans="2:78" s="25" customFormat="1" ht="156.6" customHeight="1">
      <c r="B50" s="109" t="s">
        <v>79</v>
      </c>
      <c r="C50" s="29" t="s">
        <v>79</v>
      </c>
      <c r="D50" s="30" t="s">
        <v>200</v>
      </c>
      <c r="E50" s="31" t="s">
        <v>167</v>
      </c>
      <c r="F50" s="32">
        <f>+Q50+T50+W50+Z50+AC50+AF50+AI50+AL50+AO50+AR50+AU50</f>
        <v>80</v>
      </c>
      <c r="G50" s="33">
        <v>290076</v>
      </c>
      <c r="H50" s="22">
        <f t="shared" si="17"/>
        <v>23206080</v>
      </c>
      <c r="I50" s="21"/>
      <c r="J50" s="22">
        <f t="shared" si="10"/>
        <v>57752.715451538075</v>
      </c>
      <c r="K50" s="22">
        <f t="shared" si="11"/>
        <v>2900.76</v>
      </c>
      <c r="L50" s="22">
        <f t="shared" ref="L50:L60" si="25">+IF(F50=0,"",IFERROR($L$5*G50,""))</f>
        <v>11603.04</v>
      </c>
      <c r="M50" s="23"/>
      <c r="N50" s="34">
        <f t="shared" ref="N50:N93" si="26">+IF(F50=0,"",IFERROR(L50+K50+J50+G50,""))</f>
        <v>362332.51545153809</v>
      </c>
      <c r="O50" s="22">
        <f t="shared" ref="O50:O93" si="27">+IF(F50=0,"",IFERROR(F50*N50,""))</f>
        <v>28986601.236123048</v>
      </c>
      <c r="P50" s="6"/>
      <c r="Q50" s="104"/>
      <c r="R50" s="105" t="str">
        <f t="shared" si="4"/>
        <v/>
      </c>
      <c r="S50" s="106"/>
      <c r="T50" s="104"/>
      <c r="U50" s="105" t="str">
        <f t="shared" si="5"/>
        <v/>
      </c>
      <c r="V50" s="106"/>
      <c r="W50" s="104"/>
      <c r="X50" s="105" t="str">
        <f t="shared" si="16"/>
        <v/>
      </c>
      <c r="Y50" s="106"/>
      <c r="Z50" s="104"/>
      <c r="AA50" s="105" t="str">
        <f t="shared" si="12"/>
        <v/>
      </c>
      <c r="AB50" s="106"/>
      <c r="AC50" s="104"/>
      <c r="AD50" s="105" t="str">
        <f t="shared" si="6"/>
        <v/>
      </c>
      <c r="AE50" s="107"/>
      <c r="AF50" s="104"/>
      <c r="AG50" s="105" t="str">
        <f t="shared" si="7"/>
        <v/>
      </c>
      <c r="AH50" s="106"/>
      <c r="AI50" s="104"/>
      <c r="AJ50" s="105" t="str">
        <f t="shared" si="8"/>
        <v/>
      </c>
      <c r="AK50" s="107"/>
      <c r="AL50" s="104"/>
      <c r="AM50" s="105" t="str">
        <f t="shared" si="13"/>
        <v/>
      </c>
      <c r="AN50" s="107"/>
      <c r="AO50" s="104">
        <v>80</v>
      </c>
      <c r="AP50" s="105">
        <f t="shared" si="9"/>
        <v>23206080</v>
      </c>
      <c r="AQ50" s="107"/>
      <c r="AR50" s="104"/>
      <c r="AS50" s="105" t="str">
        <f t="shared" si="14"/>
        <v/>
      </c>
      <c r="AT50" s="107"/>
      <c r="AU50" s="104"/>
      <c r="AV50" s="24" t="str">
        <f t="shared" si="15"/>
        <v/>
      </c>
      <c r="BA50" s="26"/>
      <c r="BB50" s="27"/>
      <c r="BM50" s="26"/>
      <c r="BN50" s="27"/>
      <c r="BP50" s="26"/>
      <c r="BQ50" s="27"/>
      <c r="BY50" s="26"/>
      <c r="BZ50" s="27"/>
    </row>
    <row r="51" spans="2:78" s="25" customFormat="1" ht="112.9" customHeight="1">
      <c r="B51" s="109" t="s">
        <v>80</v>
      </c>
      <c r="C51" s="29" t="s">
        <v>80</v>
      </c>
      <c r="D51" s="30" t="s">
        <v>201</v>
      </c>
      <c r="E51" s="31" t="s">
        <v>167</v>
      </c>
      <c r="F51" s="32">
        <f>+Q51+T51+W51+Z51+AC51+AF51+AI51+AL51+AO51+AR51+AU51</f>
        <v>471</v>
      </c>
      <c r="G51" s="33">
        <v>162715</v>
      </c>
      <c r="H51" s="22">
        <f>+IF(F51=0,"",IFERROR(F51*G51,""))</f>
        <v>76638765</v>
      </c>
      <c r="I51" s="21"/>
      <c r="J51" s="22">
        <f t="shared" si="10"/>
        <v>32395.762126811656</v>
      </c>
      <c r="K51" s="22">
        <f t="shared" si="11"/>
        <v>1627.15</v>
      </c>
      <c r="L51" s="22">
        <f t="shared" si="25"/>
        <v>6508.6</v>
      </c>
      <c r="M51" s="23"/>
      <c r="N51" s="34">
        <f t="shared" si="26"/>
        <v>203246.51212681166</v>
      </c>
      <c r="O51" s="22">
        <f t="shared" si="27"/>
        <v>95729107.21172829</v>
      </c>
      <c r="P51" s="6"/>
      <c r="Q51" s="104">
        <v>25</v>
      </c>
      <c r="R51" s="105">
        <f t="shared" si="4"/>
        <v>4067875</v>
      </c>
      <c r="S51" s="106"/>
      <c r="T51" s="104">
        <v>60</v>
      </c>
      <c r="U51" s="105">
        <f t="shared" si="5"/>
        <v>9762900</v>
      </c>
      <c r="V51" s="106"/>
      <c r="W51" s="104">
        <v>20</v>
      </c>
      <c r="X51" s="105">
        <f t="shared" si="16"/>
        <v>3254300</v>
      </c>
      <c r="Y51" s="106"/>
      <c r="Z51" s="104">
        <v>40</v>
      </c>
      <c r="AA51" s="105">
        <f t="shared" si="12"/>
        <v>6508600</v>
      </c>
      <c r="AB51" s="106"/>
      <c r="AC51" s="104"/>
      <c r="AD51" s="105" t="str">
        <f t="shared" si="6"/>
        <v/>
      </c>
      <c r="AE51" s="107"/>
      <c r="AF51" s="104">
        <v>22</v>
      </c>
      <c r="AG51" s="105">
        <f t="shared" si="7"/>
        <v>3579730</v>
      </c>
      <c r="AH51" s="106"/>
      <c r="AI51" s="104">
        <v>70</v>
      </c>
      <c r="AJ51" s="105">
        <f t="shared" si="8"/>
        <v>11390050</v>
      </c>
      <c r="AK51" s="107"/>
      <c r="AL51" s="104">
        <v>40</v>
      </c>
      <c r="AM51" s="105">
        <f t="shared" si="13"/>
        <v>6508600</v>
      </c>
      <c r="AN51" s="107"/>
      <c r="AO51" s="104">
        <v>50</v>
      </c>
      <c r="AP51" s="105">
        <f t="shared" si="9"/>
        <v>8135750</v>
      </c>
      <c r="AQ51" s="107"/>
      <c r="AR51" s="104">
        <v>60</v>
      </c>
      <c r="AS51" s="105">
        <f t="shared" si="14"/>
        <v>9762900</v>
      </c>
      <c r="AT51" s="107"/>
      <c r="AU51" s="104">
        <f>32*2+20</f>
        <v>84</v>
      </c>
      <c r="AV51" s="24">
        <f t="shared" si="15"/>
        <v>13668060</v>
      </c>
      <c r="BA51" s="26"/>
      <c r="BB51" s="27"/>
      <c r="BM51" s="26"/>
      <c r="BN51" s="27"/>
      <c r="BP51" s="26"/>
      <c r="BQ51" s="27"/>
      <c r="BY51" s="26"/>
      <c r="BZ51" s="27"/>
    </row>
    <row r="52" spans="2:78" s="25" customFormat="1" ht="118.15" customHeight="1">
      <c r="B52" s="109" t="s">
        <v>81</v>
      </c>
      <c r="C52" s="29" t="s">
        <v>81</v>
      </c>
      <c r="D52" s="30" t="s">
        <v>202</v>
      </c>
      <c r="E52" s="31" t="s">
        <v>175</v>
      </c>
      <c r="F52" s="32">
        <f>+Q52+T52+W52+Z52+AC52+AF52+AI52+AL52+AO52+AR52+AU52</f>
        <v>1099</v>
      </c>
      <c r="G52" s="33">
        <v>203492</v>
      </c>
      <c r="H52" s="22">
        <f t="shared" si="17"/>
        <v>223637708</v>
      </c>
      <c r="I52" s="21"/>
      <c r="J52" s="22">
        <f t="shared" si="10"/>
        <v>40514.263753858941</v>
      </c>
      <c r="K52" s="22">
        <f t="shared" si="11"/>
        <v>2034.92</v>
      </c>
      <c r="L52" s="22">
        <f t="shared" si="25"/>
        <v>8139.68</v>
      </c>
      <c r="M52" s="23"/>
      <c r="N52" s="34">
        <f t="shared" si="26"/>
        <v>254180.86375385895</v>
      </c>
      <c r="O52" s="22">
        <f t="shared" si="27"/>
        <v>279344769.26549101</v>
      </c>
      <c r="P52" s="6"/>
      <c r="Q52" s="104"/>
      <c r="R52" s="105" t="str">
        <f t="shared" si="4"/>
        <v/>
      </c>
      <c r="S52" s="106"/>
      <c r="T52" s="104"/>
      <c r="U52" s="105" t="str">
        <f t="shared" si="5"/>
        <v/>
      </c>
      <c r="V52" s="106"/>
      <c r="W52" s="104"/>
      <c r="X52" s="105" t="str">
        <f t="shared" si="16"/>
        <v/>
      </c>
      <c r="Y52" s="106"/>
      <c r="Z52" s="104">
        <v>384</v>
      </c>
      <c r="AA52" s="105">
        <f t="shared" si="12"/>
        <v>78140928</v>
      </c>
      <c r="AB52" s="106"/>
      <c r="AC52" s="104"/>
      <c r="AD52" s="105" t="str">
        <f t="shared" si="6"/>
        <v/>
      </c>
      <c r="AE52" s="107"/>
      <c r="AF52" s="104"/>
      <c r="AG52" s="105" t="str">
        <f t="shared" si="7"/>
        <v/>
      </c>
      <c r="AH52" s="106"/>
      <c r="AI52" s="104">
        <v>340</v>
      </c>
      <c r="AJ52" s="105">
        <f t="shared" si="8"/>
        <v>69187280</v>
      </c>
      <c r="AK52" s="107"/>
      <c r="AL52" s="104"/>
      <c r="AM52" s="105" t="str">
        <f t="shared" si="13"/>
        <v/>
      </c>
      <c r="AN52" s="107"/>
      <c r="AO52" s="104">
        <v>375</v>
      </c>
      <c r="AP52" s="105">
        <f t="shared" si="9"/>
        <v>76309500</v>
      </c>
      <c r="AQ52" s="107"/>
      <c r="AR52" s="104"/>
      <c r="AS52" s="105" t="str">
        <f t="shared" si="14"/>
        <v/>
      </c>
      <c r="AT52" s="107"/>
      <c r="AU52" s="104"/>
      <c r="AV52" s="24" t="str">
        <f t="shared" si="15"/>
        <v/>
      </c>
      <c r="BA52" s="26"/>
      <c r="BB52" s="27"/>
      <c r="BM52" s="26"/>
      <c r="BN52" s="27"/>
      <c r="BP52" s="26"/>
      <c r="BQ52" s="27"/>
      <c r="BY52" s="26"/>
      <c r="BZ52" s="27"/>
    </row>
    <row r="53" spans="2:78" s="25" customFormat="1" ht="118.15" customHeight="1">
      <c r="B53" s="109" t="s">
        <v>82</v>
      </c>
      <c r="C53" s="29" t="s">
        <v>82</v>
      </c>
      <c r="D53" s="30" t="s">
        <v>203</v>
      </c>
      <c r="E53" s="31" t="s">
        <v>167</v>
      </c>
      <c r="F53" s="32">
        <f t="shared" ref="F53" si="28">+Q53+T53+W53+Z53+AC53+AF53+AI53+AL53+AO53+AR53+AU53</f>
        <v>140</v>
      </c>
      <c r="G53" s="33">
        <v>597399</v>
      </c>
      <c r="H53" s="22">
        <f t="shared" si="17"/>
        <v>83635860</v>
      </c>
      <c r="I53" s="21"/>
      <c r="J53" s="22">
        <f t="shared" si="10"/>
        <v>118939.22440337496</v>
      </c>
      <c r="K53" s="22">
        <f t="shared" si="11"/>
        <v>5973.99</v>
      </c>
      <c r="L53" s="22">
        <f t="shared" si="25"/>
        <v>23895.96</v>
      </c>
      <c r="M53" s="23"/>
      <c r="N53" s="34">
        <f t="shared" si="26"/>
        <v>746208.17440337501</v>
      </c>
      <c r="O53" s="22">
        <f t="shared" si="27"/>
        <v>104469144.41647249</v>
      </c>
      <c r="P53" s="6"/>
      <c r="Q53" s="104">
        <v>50</v>
      </c>
      <c r="R53" s="105">
        <f t="shared" si="4"/>
        <v>29869950</v>
      </c>
      <c r="S53" s="106"/>
      <c r="T53" s="104"/>
      <c r="U53" s="105" t="str">
        <f t="shared" si="5"/>
        <v/>
      </c>
      <c r="V53" s="106"/>
      <c r="W53" s="104"/>
      <c r="X53" s="105" t="str">
        <f t="shared" si="16"/>
        <v/>
      </c>
      <c r="Y53" s="106"/>
      <c r="Z53" s="104"/>
      <c r="AA53" s="105" t="str">
        <f t="shared" si="12"/>
        <v/>
      </c>
      <c r="AB53" s="106"/>
      <c r="AC53" s="104"/>
      <c r="AD53" s="105" t="str">
        <f t="shared" si="6"/>
        <v/>
      </c>
      <c r="AE53" s="107"/>
      <c r="AF53" s="104"/>
      <c r="AG53" s="105" t="str">
        <f t="shared" si="7"/>
        <v/>
      </c>
      <c r="AH53" s="106"/>
      <c r="AI53" s="104">
        <v>20</v>
      </c>
      <c r="AJ53" s="105">
        <f t="shared" si="8"/>
        <v>11947980</v>
      </c>
      <c r="AK53" s="107"/>
      <c r="AL53" s="104"/>
      <c r="AM53" s="105" t="str">
        <f t="shared" si="13"/>
        <v/>
      </c>
      <c r="AN53" s="107"/>
      <c r="AO53" s="104">
        <v>70</v>
      </c>
      <c r="AP53" s="105">
        <f t="shared" si="9"/>
        <v>41817930</v>
      </c>
      <c r="AQ53" s="107"/>
      <c r="AR53" s="104"/>
      <c r="AS53" s="105" t="str">
        <f t="shared" si="14"/>
        <v/>
      </c>
      <c r="AT53" s="107"/>
      <c r="AU53" s="104"/>
      <c r="AV53" s="24" t="str">
        <f t="shared" si="15"/>
        <v/>
      </c>
      <c r="BA53" s="26"/>
      <c r="BB53" s="27"/>
      <c r="BM53" s="26"/>
      <c r="BN53" s="27"/>
      <c r="BP53" s="26"/>
      <c r="BQ53" s="27"/>
      <c r="BY53" s="26"/>
      <c r="BZ53" s="27"/>
    </row>
    <row r="54" spans="2:78" s="25" customFormat="1" ht="118.15" customHeight="1">
      <c r="B54" s="109" t="s">
        <v>83</v>
      </c>
      <c r="C54" s="29" t="s">
        <v>83</v>
      </c>
      <c r="D54" s="30" t="s">
        <v>204</v>
      </c>
      <c r="E54" s="31">
        <v>0</v>
      </c>
      <c r="F54" s="32">
        <f>+Q54+T54+W54+Z54+AC54+AF54+AI54+AL54+AO54+AR54+AU54</f>
        <v>34</v>
      </c>
      <c r="G54" s="33">
        <v>828111</v>
      </c>
      <c r="H54" s="22">
        <f t="shared" si="17"/>
        <v>28155774</v>
      </c>
      <c r="I54" s="21"/>
      <c r="J54" s="22">
        <f t="shared" si="10"/>
        <v>164872.85726943507</v>
      </c>
      <c r="K54" s="22">
        <f t="shared" si="11"/>
        <v>8281.11</v>
      </c>
      <c r="L54" s="22">
        <f t="shared" si="25"/>
        <v>33124.44</v>
      </c>
      <c r="M54" s="23"/>
      <c r="N54" s="34">
        <f t="shared" si="26"/>
        <v>1034389.407269435</v>
      </c>
      <c r="O54" s="22">
        <f t="shared" si="27"/>
        <v>35169239.847160786</v>
      </c>
      <c r="P54" s="6"/>
      <c r="Q54" s="104"/>
      <c r="R54" s="105" t="str">
        <f t="shared" si="4"/>
        <v/>
      </c>
      <c r="S54" s="106"/>
      <c r="T54" s="104"/>
      <c r="U54" s="105" t="str">
        <f t="shared" si="5"/>
        <v/>
      </c>
      <c r="V54" s="106"/>
      <c r="W54" s="104"/>
      <c r="X54" s="105" t="str">
        <f t="shared" si="16"/>
        <v/>
      </c>
      <c r="Y54" s="106"/>
      <c r="Z54" s="104"/>
      <c r="AA54" s="105" t="str">
        <f t="shared" si="12"/>
        <v/>
      </c>
      <c r="AB54" s="106"/>
      <c r="AC54" s="104"/>
      <c r="AD54" s="105" t="str">
        <f t="shared" si="6"/>
        <v/>
      </c>
      <c r="AE54" s="107"/>
      <c r="AF54" s="104"/>
      <c r="AG54" s="105" t="str">
        <f t="shared" si="7"/>
        <v/>
      </c>
      <c r="AH54" s="106"/>
      <c r="AI54" s="104"/>
      <c r="AJ54" s="105" t="str">
        <f t="shared" si="8"/>
        <v/>
      </c>
      <c r="AK54" s="107"/>
      <c r="AL54" s="104"/>
      <c r="AM54" s="105" t="str">
        <f t="shared" si="13"/>
        <v/>
      </c>
      <c r="AN54" s="107"/>
      <c r="AO54" s="104">
        <v>34</v>
      </c>
      <c r="AP54" s="105">
        <f t="shared" si="9"/>
        <v>28155774</v>
      </c>
      <c r="AQ54" s="107"/>
      <c r="AR54" s="104"/>
      <c r="AS54" s="105" t="str">
        <f t="shared" si="14"/>
        <v/>
      </c>
      <c r="AT54" s="107"/>
      <c r="AU54" s="104"/>
      <c r="AV54" s="24" t="str">
        <f t="shared" si="15"/>
        <v/>
      </c>
      <c r="BA54" s="26"/>
      <c r="BB54" s="27"/>
      <c r="BM54" s="26"/>
      <c r="BN54" s="27"/>
      <c r="BP54" s="26"/>
      <c r="BQ54" s="27"/>
      <c r="BY54" s="26"/>
      <c r="BZ54" s="27"/>
    </row>
    <row r="55" spans="2:78" s="25" customFormat="1" ht="118.15" customHeight="1">
      <c r="B55" s="109" t="s">
        <v>84</v>
      </c>
      <c r="C55" s="29" t="s">
        <v>84</v>
      </c>
      <c r="D55" s="30" t="s">
        <v>205</v>
      </c>
      <c r="E55" s="31" t="s">
        <v>187</v>
      </c>
      <c r="F55" s="32">
        <f>+Q55+T55+W55+Z55+AC55+AF55+AI55+AL55+AO55+AR55+AU55</f>
        <v>19</v>
      </c>
      <c r="G55" s="33">
        <v>158055</v>
      </c>
      <c r="H55" s="22">
        <f t="shared" si="17"/>
        <v>3003045</v>
      </c>
      <c r="I55" s="21"/>
      <c r="J55" s="22">
        <f t="shared" si="10"/>
        <v>31467.978876890371</v>
      </c>
      <c r="K55" s="22">
        <f t="shared" si="11"/>
        <v>1580.55</v>
      </c>
      <c r="L55" s="22">
        <f t="shared" si="25"/>
        <v>6322.2</v>
      </c>
      <c r="M55" s="23"/>
      <c r="N55" s="34">
        <f t="shared" si="26"/>
        <v>197425.72887689038</v>
      </c>
      <c r="O55" s="22">
        <f t="shared" si="27"/>
        <v>3751088.848660917</v>
      </c>
      <c r="P55" s="6"/>
      <c r="Q55" s="104"/>
      <c r="R55" s="105" t="str">
        <f t="shared" si="4"/>
        <v/>
      </c>
      <c r="S55" s="106"/>
      <c r="T55" s="104"/>
      <c r="U55" s="105" t="str">
        <f t="shared" si="5"/>
        <v/>
      </c>
      <c r="V55" s="106"/>
      <c r="W55" s="104"/>
      <c r="X55" s="105" t="str">
        <f t="shared" si="16"/>
        <v/>
      </c>
      <c r="Y55" s="106"/>
      <c r="Z55" s="104"/>
      <c r="AA55" s="105" t="str">
        <f t="shared" si="12"/>
        <v/>
      </c>
      <c r="AB55" s="106"/>
      <c r="AC55" s="104"/>
      <c r="AD55" s="105" t="str">
        <f t="shared" si="6"/>
        <v/>
      </c>
      <c r="AE55" s="107"/>
      <c r="AF55" s="104"/>
      <c r="AG55" s="105" t="str">
        <f t="shared" si="7"/>
        <v/>
      </c>
      <c r="AH55" s="106"/>
      <c r="AI55" s="104"/>
      <c r="AJ55" s="105" t="str">
        <f t="shared" si="8"/>
        <v/>
      </c>
      <c r="AK55" s="107"/>
      <c r="AL55" s="104"/>
      <c r="AM55" s="105" t="str">
        <f t="shared" si="13"/>
        <v/>
      </c>
      <c r="AN55" s="107"/>
      <c r="AO55" s="104">
        <v>19</v>
      </c>
      <c r="AP55" s="105">
        <f t="shared" si="9"/>
        <v>3003045</v>
      </c>
      <c r="AQ55" s="107"/>
      <c r="AR55" s="104"/>
      <c r="AS55" s="105" t="str">
        <f t="shared" si="14"/>
        <v/>
      </c>
      <c r="AT55" s="107"/>
      <c r="AU55" s="104"/>
      <c r="AV55" s="24" t="str">
        <f t="shared" si="15"/>
        <v/>
      </c>
      <c r="BA55" s="26"/>
      <c r="BB55" s="27"/>
      <c r="BM55" s="26"/>
      <c r="BN55" s="27"/>
      <c r="BP55" s="26"/>
      <c r="BQ55" s="27"/>
      <c r="BY55" s="26"/>
      <c r="BZ55" s="27"/>
    </row>
    <row r="56" spans="2:78" s="25" customFormat="1" ht="118.15" customHeight="1">
      <c r="B56" s="109" t="s">
        <v>85</v>
      </c>
      <c r="C56" s="29" t="s">
        <v>85</v>
      </c>
      <c r="D56" s="30" t="s">
        <v>206</v>
      </c>
      <c r="E56" s="31" t="s">
        <v>167</v>
      </c>
      <c r="F56" s="32">
        <f>+Q56+T56+W56+Z56+AC56+AF56+AI56+AL56+AO56+AR56+AU56</f>
        <v>20</v>
      </c>
      <c r="G56" s="33">
        <v>354707</v>
      </c>
      <c r="H56" s="22">
        <f t="shared" si="17"/>
        <v>7094140</v>
      </c>
      <c r="I56" s="21"/>
      <c r="J56" s="22">
        <f t="shared" si="10"/>
        <v>70620.432023568705</v>
      </c>
      <c r="K56" s="22">
        <f t="shared" si="11"/>
        <v>3547.07</v>
      </c>
      <c r="L56" s="22">
        <f t="shared" si="25"/>
        <v>14188.28</v>
      </c>
      <c r="M56" s="23"/>
      <c r="N56" s="34">
        <f t="shared" si="26"/>
        <v>443062.7820235687</v>
      </c>
      <c r="O56" s="22">
        <f t="shared" si="27"/>
        <v>8861255.6404713746</v>
      </c>
      <c r="P56" s="6"/>
      <c r="Q56" s="104"/>
      <c r="R56" s="105" t="str">
        <f t="shared" si="4"/>
        <v/>
      </c>
      <c r="S56" s="106"/>
      <c r="T56" s="104"/>
      <c r="U56" s="105" t="str">
        <f t="shared" si="5"/>
        <v/>
      </c>
      <c r="V56" s="106"/>
      <c r="W56" s="104"/>
      <c r="X56" s="105" t="str">
        <f t="shared" si="16"/>
        <v/>
      </c>
      <c r="Y56" s="106"/>
      <c r="Z56" s="104"/>
      <c r="AA56" s="105" t="str">
        <f t="shared" si="12"/>
        <v/>
      </c>
      <c r="AB56" s="106"/>
      <c r="AC56" s="104"/>
      <c r="AD56" s="105" t="str">
        <f t="shared" si="6"/>
        <v/>
      </c>
      <c r="AE56" s="107"/>
      <c r="AF56" s="104"/>
      <c r="AG56" s="105" t="str">
        <f t="shared" si="7"/>
        <v/>
      </c>
      <c r="AH56" s="106"/>
      <c r="AI56" s="104"/>
      <c r="AJ56" s="105" t="str">
        <f t="shared" si="8"/>
        <v/>
      </c>
      <c r="AK56" s="107"/>
      <c r="AL56" s="104"/>
      <c r="AM56" s="105" t="str">
        <f t="shared" si="13"/>
        <v/>
      </c>
      <c r="AN56" s="107"/>
      <c r="AO56" s="104">
        <v>20</v>
      </c>
      <c r="AP56" s="105">
        <f t="shared" si="9"/>
        <v>7094140</v>
      </c>
      <c r="AQ56" s="107"/>
      <c r="AR56" s="104"/>
      <c r="AS56" s="105" t="str">
        <f t="shared" si="14"/>
        <v/>
      </c>
      <c r="AT56" s="107"/>
      <c r="AU56" s="104"/>
      <c r="AV56" s="24" t="str">
        <f t="shared" si="15"/>
        <v/>
      </c>
      <c r="BA56" s="26"/>
      <c r="BB56" s="27"/>
      <c r="BM56" s="26"/>
      <c r="BN56" s="27"/>
      <c r="BP56" s="26"/>
      <c r="BQ56" s="27"/>
      <c r="BY56" s="26"/>
      <c r="BZ56" s="27"/>
    </row>
    <row r="57" spans="2:78" s="25" customFormat="1" ht="118.15" customHeight="1">
      <c r="B57" s="109" t="s">
        <v>86</v>
      </c>
      <c r="C57" s="29" t="s">
        <v>86</v>
      </c>
      <c r="D57" s="30" t="s">
        <v>207</v>
      </c>
      <c r="E57" s="31" t="s">
        <v>167</v>
      </c>
      <c r="F57" s="32">
        <f>+Q57+T57+W57+Z57+AC57+AF57+AI57+AL57+AO57+AR57+AU57</f>
        <v>16</v>
      </c>
      <c r="G57" s="33">
        <v>131987</v>
      </c>
      <c r="H57" s="22">
        <f t="shared" si="17"/>
        <v>2111792</v>
      </c>
      <c r="I57" s="21"/>
      <c r="J57" s="22">
        <f t="shared" si="10"/>
        <v>26277.967340635405</v>
      </c>
      <c r="K57" s="22">
        <f t="shared" si="11"/>
        <v>1319.8700000000001</v>
      </c>
      <c r="L57" s="22">
        <f t="shared" si="25"/>
        <v>5279.4800000000005</v>
      </c>
      <c r="M57" s="23"/>
      <c r="N57" s="34">
        <f t="shared" si="26"/>
        <v>164864.3173406354</v>
      </c>
      <c r="O57" s="22">
        <f t="shared" si="27"/>
        <v>2637829.0774501665</v>
      </c>
      <c r="P57" s="6"/>
      <c r="Q57" s="104"/>
      <c r="R57" s="105" t="str">
        <f t="shared" si="4"/>
        <v/>
      </c>
      <c r="S57" s="106"/>
      <c r="T57" s="104"/>
      <c r="U57" s="105" t="str">
        <f t="shared" si="5"/>
        <v/>
      </c>
      <c r="V57" s="106"/>
      <c r="W57" s="104"/>
      <c r="X57" s="105" t="str">
        <f t="shared" si="16"/>
        <v/>
      </c>
      <c r="Y57" s="106"/>
      <c r="Z57" s="104"/>
      <c r="AA57" s="105" t="str">
        <f t="shared" si="12"/>
        <v/>
      </c>
      <c r="AB57" s="106"/>
      <c r="AC57" s="104"/>
      <c r="AD57" s="105" t="str">
        <f t="shared" si="6"/>
        <v/>
      </c>
      <c r="AE57" s="107"/>
      <c r="AF57" s="104"/>
      <c r="AG57" s="105" t="str">
        <f t="shared" si="7"/>
        <v/>
      </c>
      <c r="AH57" s="106"/>
      <c r="AI57" s="104"/>
      <c r="AJ57" s="105" t="str">
        <f t="shared" si="8"/>
        <v/>
      </c>
      <c r="AK57" s="107"/>
      <c r="AL57" s="104"/>
      <c r="AM57" s="105" t="str">
        <f t="shared" si="13"/>
        <v/>
      </c>
      <c r="AN57" s="108" t="str">
        <f>+IF(AL57=0,"",IFERROR(AL57*$G57,""))</f>
        <v/>
      </c>
      <c r="AO57" s="104">
        <v>16</v>
      </c>
      <c r="AP57" s="105">
        <f t="shared" si="9"/>
        <v>2111792</v>
      </c>
      <c r="AQ57" s="107"/>
      <c r="AR57" s="104"/>
      <c r="AS57" s="105" t="str">
        <f t="shared" si="14"/>
        <v/>
      </c>
      <c r="AT57" s="107"/>
      <c r="AU57" s="104"/>
      <c r="AV57" s="24" t="str">
        <f t="shared" si="15"/>
        <v/>
      </c>
      <c r="BA57" s="26"/>
      <c r="BB57" s="27"/>
      <c r="BM57" s="26"/>
      <c r="BN57" s="27"/>
      <c r="BP57" s="26"/>
      <c r="BQ57" s="27"/>
      <c r="BY57" s="26"/>
      <c r="BZ57" s="27"/>
    </row>
    <row r="58" spans="2:78" s="25" customFormat="1" ht="193.9" customHeight="1">
      <c r="B58" s="109" t="s">
        <v>87</v>
      </c>
      <c r="C58" s="29" t="s">
        <v>87</v>
      </c>
      <c r="D58" s="30" t="s">
        <v>208</v>
      </c>
      <c r="E58" s="31" t="s">
        <v>175</v>
      </c>
      <c r="F58" s="32">
        <f>+Q58+T58+W58+Z58+AC58+AF58+AI58+AL58+AO58+AR58+AU58</f>
        <v>14</v>
      </c>
      <c r="G58" s="33">
        <v>210996</v>
      </c>
      <c r="H58" s="22">
        <f t="shared" si="17"/>
        <v>2953944</v>
      </c>
      <c r="I58" s="21"/>
      <c r="J58" s="22">
        <f t="shared" si="10"/>
        <v>42008.273519397429</v>
      </c>
      <c r="K58" s="22">
        <f t="shared" si="11"/>
        <v>2109.96</v>
      </c>
      <c r="L58" s="22">
        <f t="shared" si="25"/>
        <v>8439.84</v>
      </c>
      <c r="M58" s="23"/>
      <c r="N58" s="34">
        <f t="shared" si="26"/>
        <v>263554.07351939741</v>
      </c>
      <c r="O58" s="22">
        <f t="shared" si="27"/>
        <v>3689757.0292715635</v>
      </c>
      <c r="P58" s="6"/>
      <c r="Q58" s="104"/>
      <c r="R58" s="105" t="str">
        <f t="shared" si="4"/>
        <v/>
      </c>
      <c r="S58" s="106"/>
      <c r="T58" s="104"/>
      <c r="U58" s="105" t="str">
        <f t="shared" si="5"/>
        <v/>
      </c>
      <c r="V58" s="106"/>
      <c r="W58" s="104"/>
      <c r="X58" s="105" t="str">
        <f t="shared" si="16"/>
        <v/>
      </c>
      <c r="Y58" s="106"/>
      <c r="Z58" s="104"/>
      <c r="AA58" s="105" t="str">
        <f t="shared" si="12"/>
        <v/>
      </c>
      <c r="AB58" s="106"/>
      <c r="AC58" s="104"/>
      <c r="AD58" s="105" t="str">
        <f t="shared" si="6"/>
        <v/>
      </c>
      <c r="AE58" s="107"/>
      <c r="AF58" s="104"/>
      <c r="AG58" s="105" t="str">
        <f t="shared" si="7"/>
        <v/>
      </c>
      <c r="AH58" s="106"/>
      <c r="AI58" s="104"/>
      <c r="AJ58" s="105" t="str">
        <f t="shared" si="8"/>
        <v/>
      </c>
      <c r="AK58" s="107"/>
      <c r="AL58" s="104"/>
      <c r="AM58" s="105" t="str">
        <f t="shared" si="13"/>
        <v/>
      </c>
      <c r="AN58" s="27"/>
      <c r="AO58" s="104">
        <v>14</v>
      </c>
      <c r="AP58" s="105">
        <f t="shared" si="9"/>
        <v>2953944</v>
      </c>
      <c r="AQ58" s="107"/>
      <c r="AR58" s="104"/>
      <c r="AS58" s="105" t="str">
        <f t="shared" si="14"/>
        <v/>
      </c>
      <c r="AT58" s="107"/>
      <c r="AU58" s="104"/>
      <c r="AV58" s="24" t="str">
        <f t="shared" si="15"/>
        <v/>
      </c>
      <c r="BA58" s="26"/>
      <c r="BB58" s="27"/>
      <c r="BM58" s="26"/>
      <c r="BN58" s="27"/>
      <c r="BP58" s="26"/>
      <c r="BQ58" s="27"/>
      <c r="BY58" s="26"/>
      <c r="BZ58" s="27"/>
    </row>
    <row r="59" spans="2:78" s="25" customFormat="1" ht="14.45" customHeight="1">
      <c r="B59" s="19" t="s">
        <v>88</v>
      </c>
      <c r="C59" s="20" t="s">
        <v>88</v>
      </c>
      <c r="D59" s="99" t="s">
        <v>89</v>
      </c>
      <c r="E59" s="100"/>
      <c r="F59" s="100"/>
      <c r="G59" s="100"/>
      <c r="H59" s="101"/>
      <c r="I59" s="21"/>
      <c r="J59" s="22" t="str">
        <f t="shared" si="10"/>
        <v/>
      </c>
      <c r="K59" s="22" t="str">
        <f t="shared" si="11"/>
        <v/>
      </c>
      <c r="L59" s="22" t="str">
        <f t="shared" si="25"/>
        <v/>
      </c>
      <c r="M59" s="23"/>
      <c r="N59" s="34" t="str">
        <f t="shared" si="26"/>
        <v/>
      </c>
      <c r="O59" s="22" t="str">
        <f t="shared" si="27"/>
        <v/>
      </c>
      <c r="P59" s="6"/>
      <c r="Q59" s="104"/>
      <c r="R59" s="105"/>
      <c r="S59" s="106"/>
      <c r="T59" s="104"/>
      <c r="U59" s="105"/>
      <c r="V59" s="106"/>
      <c r="W59" s="104"/>
      <c r="X59" s="105"/>
      <c r="Y59" s="106"/>
      <c r="Z59" s="104"/>
      <c r="AA59" s="105"/>
      <c r="AB59" s="106"/>
      <c r="AC59" s="104"/>
      <c r="AD59" s="105"/>
      <c r="AE59" s="107"/>
      <c r="AF59" s="104"/>
      <c r="AG59" s="105"/>
      <c r="AH59" s="106"/>
      <c r="AI59" s="104"/>
      <c r="AJ59" s="105"/>
      <c r="AK59" s="107"/>
      <c r="AL59" s="104"/>
      <c r="AM59" s="105"/>
      <c r="AN59" s="107"/>
      <c r="AO59" s="104"/>
      <c r="AP59" s="105"/>
      <c r="AQ59" s="107"/>
      <c r="AR59" s="104"/>
      <c r="AS59" s="105"/>
      <c r="AT59" s="107"/>
      <c r="AU59" s="104"/>
      <c r="AV59" s="24"/>
      <c r="BA59" s="26"/>
      <c r="BB59" s="27"/>
      <c r="BM59" s="26"/>
      <c r="BN59" s="27"/>
      <c r="BP59" s="26"/>
      <c r="BQ59" s="27"/>
      <c r="BY59" s="26"/>
      <c r="BZ59" s="27"/>
    </row>
    <row r="60" spans="2:78" s="25" customFormat="1" ht="84" customHeight="1">
      <c r="B60" s="109" t="s">
        <v>90</v>
      </c>
      <c r="C60" s="29" t="s">
        <v>90</v>
      </c>
      <c r="D60" s="30" t="s">
        <v>209</v>
      </c>
      <c r="E60" s="31" t="s">
        <v>175</v>
      </c>
      <c r="F60" s="32">
        <f>+Q60+T60+W60+Z60+AC60+AF60+AI60+AL60+AO60+AR60+AU60</f>
        <v>25</v>
      </c>
      <c r="G60" s="33">
        <v>44404</v>
      </c>
      <c r="H60" s="22">
        <f t="shared" si="17"/>
        <v>1110100</v>
      </c>
      <c r="I60" s="21"/>
      <c r="J60" s="22">
        <f t="shared" si="10"/>
        <v>8840.6196200654194</v>
      </c>
      <c r="K60" s="22">
        <f t="shared" si="11"/>
        <v>444.04</v>
      </c>
      <c r="L60" s="22">
        <f t="shared" si="25"/>
        <v>1776.16</v>
      </c>
      <c r="M60" s="23"/>
      <c r="N60" s="34">
        <f t="shared" si="26"/>
        <v>55464.81962006542</v>
      </c>
      <c r="O60" s="22">
        <f t="shared" si="27"/>
        <v>1386620.4905016355</v>
      </c>
      <c r="P60" s="6"/>
      <c r="Q60" s="104"/>
      <c r="R60" s="105" t="str">
        <f t="shared" si="4"/>
        <v/>
      </c>
      <c r="S60" s="106"/>
      <c r="T60" s="104"/>
      <c r="U60" s="105" t="str">
        <f t="shared" si="5"/>
        <v/>
      </c>
      <c r="V60" s="106"/>
      <c r="W60" s="104"/>
      <c r="X60" s="105" t="str">
        <f t="shared" si="16"/>
        <v/>
      </c>
      <c r="Y60" s="106"/>
      <c r="Z60" s="104"/>
      <c r="AA60" s="105" t="str">
        <f t="shared" si="12"/>
        <v/>
      </c>
      <c r="AB60" s="106"/>
      <c r="AC60" s="104"/>
      <c r="AD60" s="105" t="str">
        <f t="shared" si="6"/>
        <v/>
      </c>
      <c r="AE60" s="107"/>
      <c r="AF60" s="104"/>
      <c r="AG60" s="105" t="str">
        <f t="shared" si="7"/>
        <v/>
      </c>
      <c r="AH60" s="106"/>
      <c r="AI60" s="104"/>
      <c r="AJ60" s="105" t="str">
        <f t="shared" si="8"/>
        <v/>
      </c>
      <c r="AK60" s="107"/>
      <c r="AL60" s="104"/>
      <c r="AM60" s="105" t="str">
        <f t="shared" si="13"/>
        <v/>
      </c>
      <c r="AN60" s="107"/>
      <c r="AO60" s="104">
        <v>25</v>
      </c>
      <c r="AP60" s="105">
        <f t="shared" si="9"/>
        <v>1110100</v>
      </c>
      <c r="AQ60" s="107"/>
      <c r="AR60" s="104"/>
      <c r="AS60" s="105" t="str">
        <f t="shared" si="14"/>
        <v/>
      </c>
      <c r="AT60" s="107"/>
      <c r="AU60" s="104"/>
      <c r="AV60" s="24" t="str">
        <f t="shared" si="15"/>
        <v/>
      </c>
      <c r="BA60" s="26"/>
      <c r="BB60" s="27"/>
      <c r="BM60" s="26"/>
      <c r="BN60" s="27"/>
      <c r="BP60" s="26"/>
      <c r="BQ60" s="27"/>
      <c r="BY60" s="26"/>
      <c r="BZ60" s="27"/>
    </row>
    <row r="61" spans="2:78" s="25" customFormat="1">
      <c r="B61" s="19">
        <v>5</v>
      </c>
      <c r="C61" s="20">
        <v>5</v>
      </c>
      <c r="D61" s="99" t="s">
        <v>91</v>
      </c>
      <c r="E61" s="100"/>
      <c r="F61" s="100"/>
      <c r="G61" s="100"/>
      <c r="H61" s="101"/>
      <c r="I61" s="21"/>
      <c r="J61" s="22"/>
      <c r="K61" s="22"/>
      <c r="L61" s="22"/>
      <c r="M61" s="23"/>
      <c r="N61" s="34"/>
      <c r="O61" s="22"/>
      <c r="P61" s="6"/>
      <c r="Q61" s="104"/>
      <c r="R61" s="105"/>
      <c r="S61" s="106"/>
      <c r="T61" s="104"/>
      <c r="U61" s="105"/>
      <c r="V61" s="106"/>
      <c r="W61" s="104"/>
      <c r="X61" s="105"/>
      <c r="Y61" s="106"/>
      <c r="Z61" s="104"/>
      <c r="AA61" s="105"/>
      <c r="AB61" s="106"/>
      <c r="AC61" s="104"/>
      <c r="AD61" s="105"/>
      <c r="AE61" s="107"/>
      <c r="AF61" s="104"/>
      <c r="AG61" s="105"/>
      <c r="AH61" s="106"/>
      <c r="AI61" s="104"/>
      <c r="AJ61" s="105"/>
      <c r="AK61" s="107"/>
      <c r="AL61" s="104"/>
      <c r="AM61" s="105"/>
      <c r="AN61" s="107"/>
      <c r="AO61" s="104"/>
      <c r="AP61" s="105"/>
      <c r="AQ61" s="107"/>
      <c r="AR61" s="104"/>
      <c r="AS61" s="105"/>
      <c r="AT61" s="107"/>
      <c r="AU61" s="104"/>
      <c r="AV61" s="24"/>
      <c r="BA61" s="26"/>
      <c r="BB61" s="27"/>
      <c r="BM61" s="26"/>
      <c r="BN61" s="27"/>
      <c r="BP61" s="26"/>
      <c r="BQ61" s="27"/>
      <c r="BY61" s="26"/>
      <c r="BZ61" s="27"/>
    </row>
    <row r="62" spans="2:78" s="25" customFormat="1">
      <c r="B62" s="19" t="s">
        <v>92</v>
      </c>
      <c r="C62" s="20" t="s">
        <v>92</v>
      </c>
      <c r="D62" s="99" t="s">
        <v>93</v>
      </c>
      <c r="E62" s="100"/>
      <c r="F62" s="100"/>
      <c r="G62" s="100"/>
      <c r="H62" s="101"/>
      <c r="I62" s="21"/>
      <c r="J62" s="22"/>
      <c r="K62" s="22"/>
      <c r="L62" s="22"/>
      <c r="M62" s="23"/>
      <c r="N62" s="34"/>
      <c r="O62" s="22"/>
      <c r="P62" s="6"/>
      <c r="Q62" s="104"/>
      <c r="R62" s="105"/>
      <c r="S62" s="106"/>
      <c r="T62" s="104"/>
      <c r="U62" s="105"/>
      <c r="V62" s="106"/>
      <c r="W62" s="104"/>
      <c r="X62" s="105"/>
      <c r="Y62" s="106"/>
      <c r="Z62" s="104"/>
      <c r="AA62" s="105"/>
      <c r="AB62" s="106"/>
      <c r="AC62" s="104"/>
      <c r="AD62" s="105"/>
      <c r="AE62" s="107"/>
      <c r="AF62" s="104"/>
      <c r="AG62" s="105"/>
      <c r="AH62" s="106"/>
      <c r="AI62" s="104"/>
      <c r="AJ62" s="105"/>
      <c r="AK62" s="107"/>
      <c r="AL62" s="104"/>
      <c r="AM62" s="105"/>
      <c r="AN62" s="107"/>
      <c r="AO62" s="104"/>
      <c r="AP62" s="105"/>
      <c r="AQ62" s="107"/>
      <c r="AR62" s="104"/>
      <c r="AS62" s="105"/>
      <c r="AT62" s="107"/>
      <c r="AU62" s="104"/>
      <c r="AV62" s="24"/>
      <c r="BA62" s="26"/>
      <c r="BB62" s="27"/>
      <c r="BM62" s="26"/>
      <c r="BN62" s="27"/>
      <c r="BP62" s="26"/>
      <c r="BQ62" s="27"/>
      <c r="BY62" s="26"/>
      <c r="BZ62" s="27"/>
    </row>
    <row r="63" spans="2:78" s="25" customFormat="1" ht="140.44999999999999" customHeight="1">
      <c r="B63" s="109" t="s">
        <v>94</v>
      </c>
      <c r="C63" s="29" t="s">
        <v>94</v>
      </c>
      <c r="D63" s="30" t="s">
        <v>210</v>
      </c>
      <c r="E63" s="31" t="s">
        <v>175</v>
      </c>
      <c r="F63" s="32">
        <f>+Q63+T63+W63+Z63+AC63+AF63+AI63+AL63+AO63+AR63+AU63</f>
        <v>28</v>
      </c>
      <c r="G63" s="33">
        <v>176809</v>
      </c>
      <c r="H63" s="22">
        <f t="shared" si="17"/>
        <v>4950652</v>
      </c>
      <c r="I63" s="21"/>
      <c r="J63" s="22">
        <f t="shared" si="10"/>
        <v>35201.80872002853</v>
      </c>
      <c r="K63" s="22">
        <f t="shared" si="11"/>
        <v>1768.0900000000001</v>
      </c>
      <c r="L63" s="22">
        <f>+IF(F63=0,"",IFERROR($L$5*G63,""))</f>
        <v>7072.3600000000006</v>
      </c>
      <c r="M63" s="23"/>
      <c r="N63" s="34">
        <f t="shared" si="26"/>
        <v>220851.25872002853</v>
      </c>
      <c r="O63" s="22">
        <f t="shared" si="27"/>
        <v>6183835.2441607993</v>
      </c>
      <c r="P63" s="6"/>
      <c r="Q63" s="104">
        <v>3</v>
      </c>
      <c r="R63" s="105">
        <f t="shared" si="4"/>
        <v>530427</v>
      </c>
      <c r="S63" s="106"/>
      <c r="T63" s="104"/>
      <c r="U63" s="105" t="str">
        <f t="shared" si="5"/>
        <v/>
      </c>
      <c r="V63" s="106"/>
      <c r="W63" s="104">
        <f>1*2</f>
        <v>2</v>
      </c>
      <c r="X63" s="105">
        <f t="shared" si="16"/>
        <v>353618</v>
      </c>
      <c r="Y63" s="106"/>
      <c r="Z63" s="104">
        <f>3*3</f>
        <v>9</v>
      </c>
      <c r="AA63" s="105">
        <f t="shared" si="12"/>
        <v>1591281</v>
      </c>
      <c r="AB63" s="106"/>
      <c r="AC63" s="104"/>
      <c r="AD63" s="105" t="str">
        <f t="shared" si="6"/>
        <v/>
      </c>
      <c r="AE63" s="107"/>
      <c r="AF63" s="104"/>
      <c r="AG63" s="105" t="str">
        <f t="shared" si="7"/>
        <v/>
      </c>
      <c r="AH63" s="106"/>
      <c r="AI63" s="104"/>
      <c r="AJ63" s="105" t="str">
        <f t="shared" si="8"/>
        <v/>
      </c>
      <c r="AK63" s="107"/>
      <c r="AL63" s="104"/>
      <c r="AM63" s="105" t="str">
        <f t="shared" si="13"/>
        <v/>
      </c>
      <c r="AN63" s="107"/>
      <c r="AO63" s="104"/>
      <c r="AP63" s="105" t="str">
        <f t="shared" si="9"/>
        <v/>
      </c>
      <c r="AQ63" s="107"/>
      <c r="AR63" s="104">
        <f>2*2.5</f>
        <v>5</v>
      </c>
      <c r="AS63" s="105">
        <f t="shared" si="14"/>
        <v>884045</v>
      </c>
      <c r="AT63" s="107"/>
      <c r="AU63" s="104">
        <v>9</v>
      </c>
      <c r="AV63" s="24">
        <f t="shared" si="15"/>
        <v>1591281</v>
      </c>
      <c r="BA63" s="26"/>
      <c r="BB63" s="27"/>
      <c r="BM63" s="26"/>
      <c r="BN63" s="27"/>
      <c r="BP63" s="26"/>
      <c r="BQ63" s="27"/>
      <c r="BY63" s="26"/>
      <c r="BZ63" s="27"/>
    </row>
    <row r="64" spans="2:78" s="25" customFormat="1" ht="409.6" customHeight="1">
      <c r="B64" s="109" t="s">
        <v>95</v>
      </c>
      <c r="C64" s="29" t="s">
        <v>95</v>
      </c>
      <c r="D64" s="30" t="s">
        <v>211</v>
      </c>
      <c r="E64" s="31" t="s">
        <v>175</v>
      </c>
      <c r="F64" s="32">
        <f>+Q64+T64+W64+Z64+AC64+AF64+AI64+AL64+AO64+AR64+AU64</f>
        <v>3570</v>
      </c>
      <c r="G64" s="33">
        <v>131738</v>
      </c>
      <c r="H64" s="22">
        <f t="shared" si="17"/>
        <v>470304660</v>
      </c>
      <c r="I64" s="21"/>
      <c r="J64" s="22">
        <f t="shared" si="10"/>
        <v>26228.392656251199</v>
      </c>
      <c r="K64" s="22">
        <f t="shared" si="11"/>
        <v>1317.38</v>
      </c>
      <c r="L64" s="22">
        <f>+IF(F64=0,"",IFERROR($L$5*G64,""))</f>
        <v>5269.52</v>
      </c>
      <c r="M64" s="23"/>
      <c r="N64" s="34">
        <f t="shared" si="26"/>
        <v>164553.2926562512</v>
      </c>
      <c r="O64" s="22">
        <f t="shared" si="27"/>
        <v>587455254.78281677</v>
      </c>
      <c r="P64" s="6"/>
      <c r="Q64" s="104">
        <v>400</v>
      </c>
      <c r="R64" s="105">
        <f t="shared" si="4"/>
        <v>52695200</v>
      </c>
      <c r="S64" s="106"/>
      <c r="T64" s="104">
        <v>130</v>
      </c>
      <c r="U64" s="105">
        <f t="shared" si="5"/>
        <v>17125940</v>
      </c>
      <c r="V64" s="106"/>
      <c r="W64" s="104">
        <f>2*3.5*27+3.5*19+19*5.5</f>
        <v>360</v>
      </c>
      <c r="X64" s="105">
        <f t="shared" si="16"/>
        <v>47425680</v>
      </c>
      <c r="Y64" s="106"/>
      <c r="Z64" s="104">
        <f>64*6</f>
        <v>384</v>
      </c>
      <c r="AA64" s="105">
        <f t="shared" si="12"/>
        <v>50587392</v>
      </c>
      <c r="AB64" s="106"/>
      <c r="AC64" s="104">
        <v>310</v>
      </c>
      <c r="AD64" s="105">
        <f t="shared" si="6"/>
        <v>40838780</v>
      </c>
      <c r="AE64" s="107"/>
      <c r="AF64" s="104">
        <v>200</v>
      </c>
      <c r="AG64" s="105">
        <f t="shared" si="7"/>
        <v>26347600</v>
      </c>
      <c r="AH64" s="106"/>
      <c r="AI64" s="104">
        <v>550</v>
      </c>
      <c r="AJ64" s="105">
        <f t="shared" si="8"/>
        <v>72455900</v>
      </c>
      <c r="AK64" s="107"/>
      <c r="AL64" s="104">
        <f>(36+20)*6</f>
        <v>336</v>
      </c>
      <c r="AM64" s="105">
        <f t="shared" si="13"/>
        <v>44263968</v>
      </c>
      <c r="AN64" s="107"/>
      <c r="AO64" s="104"/>
      <c r="AP64" s="105" t="str">
        <f t="shared" si="9"/>
        <v/>
      </c>
      <c r="AQ64" s="107"/>
      <c r="AR64" s="104">
        <v>500</v>
      </c>
      <c r="AS64" s="105">
        <f t="shared" si="14"/>
        <v>65869000</v>
      </c>
      <c r="AT64" s="107"/>
      <c r="AU64" s="104">
        <v>400</v>
      </c>
      <c r="AV64" s="24">
        <f t="shared" si="15"/>
        <v>52695200</v>
      </c>
      <c r="BA64" s="26"/>
      <c r="BB64" s="27"/>
      <c r="BM64" s="26"/>
      <c r="BN64" s="27"/>
      <c r="BP64" s="26"/>
      <c r="BQ64" s="27"/>
      <c r="BY64" s="26"/>
      <c r="BZ64" s="27"/>
    </row>
    <row r="65" spans="2:78" s="25" customFormat="1" ht="260.45" customHeight="1">
      <c r="B65" s="109" t="s">
        <v>96</v>
      </c>
      <c r="C65" s="29" t="s">
        <v>96</v>
      </c>
      <c r="D65" s="30" t="s">
        <v>212</v>
      </c>
      <c r="E65" s="31" t="s">
        <v>167</v>
      </c>
      <c r="F65" s="32">
        <f>+Q65+T65+W65+Z65+AC65+AF65+AI65+AL65+AO65+AR65+AU65</f>
        <v>112</v>
      </c>
      <c r="G65" s="33">
        <v>327126</v>
      </c>
      <c r="H65" s="22">
        <f t="shared" si="17"/>
        <v>36638112</v>
      </c>
      <c r="I65" s="21"/>
      <c r="J65" s="22">
        <f t="shared" si="10"/>
        <v>65129.189573766344</v>
      </c>
      <c r="K65" s="22">
        <f t="shared" si="11"/>
        <v>3271.26</v>
      </c>
      <c r="L65" s="22">
        <f>+IF(F65=0,"",IFERROR($L$5*G65,""))</f>
        <v>13085.04</v>
      </c>
      <c r="M65" s="23"/>
      <c r="N65" s="34">
        <f t="shared" si="26"/>
        <v>408611.48957376636</v>
      </c>
      <c r="O65" s="22">
        <f>+IF(F65=0,"",IFERROR(F65*N65,""))</f>
        <v>45764486.832261831</v>
      </c>
      <c r="P65" s="6"/>
      <c r="Q65" s="104"/>
      <c r="R65" s="105" t="str">
        <f t="shared" si="4"/>
        <v/>
      </c>
      <c r="S65" s="106"/>
      <c r="T65" s="104"/>
      <c r="U65" s="105" t="str">
        <f t="shared" si="5"/>
        <v/>
      </c>
      <c r="V65" s="106"/>
      <c r="W65" s="104"/>
      <c r="X65" s="105" t="str">
        <f t="shared" si="16"/>
        <v/>
      </c>
      <c r="Y65" s="106"/>
      <c r="Z65" s="104">
        <v>10</v>
      </c>
      <c r="AA65" s="105">
        <f t="shared" si="12"/>
        <v>3271260</v>
      </c>
      <c r="AB65" s="106"/>
      <c r="AC65" s="104"/>
      <c r="AD65" s="105" t="str">
        <f t="shared" si="6"/>
        <v/>
      </c>
      <c r="AE65" s="107"/>
      <c r="AF65" s="104"/>
      <c r="AG65" s="105" t="str">
        <f t="shared" si="7"/>
        <v/>
      </c>
      <c r="AH65" s="106"/>
      <c r="AI65" s="104">
        <f>34*3</f>
        <v>102</v>
      </c>
      <c r="AJ65" s="105">
        <f t="shared" si="8"/>
        <v>33366852</v>
      </c>
      <c r="AK65" s="107"/>
      <c r="AL65" s="104"/>
      <c r="AM65" s="105" t="str">
        <f t="shared" si="13"/>
        <v/>
      </c>
      <c r="AN65" s="107"/>
      <c r="AO65" s="104"/>
      <c r="AP65" s="105" t="str">
        <f t="shared" si="9"/>
        <v/>
      </c>
      <c r="AQ65" s="107"/>
      <c r="AR65" s="104"/>
      <c r="AS65" s="105" t="str">
        <f t="shared" si="14"/>
        <v/>
      </c>
      <c r="AT65" s="107"/>
      <c r="AU65" s="104"/>
      <c r="AV65" s="24" t="str">
        <f t="shared" si="15"/>
        <v/>
      </c>
      <c r="BA65" s="26"/>
      <c r="BB65" s="27"/>
      <c r="BM65" s="26"/>
      <c r="BN65" s="27"/>
      <c r="BP65" s="26"/>
      <c r="BQ65" s="27"/>
      <c r="BY65" s="26"/>
      <c r="BZ65" s="27"/>
    </row>
    <row r="66" spans="2:78" s="25" customFormat="1" ht="307.14999999999998" customHeight="1">
      <c r="B66" s="109" t="s">
        <v>97</v>
      </c>
      <c r="C66" s="29" t="s">
        <v>97</v>
      </c>
      <c r="D66" s="30" t="s">
        <v>213</v>
      </c>
      <c r="E66" s="31" t="s">
        <v>167</v>
      </c>
      <c r="F66" s="32">
        <f>+Q66+T66+W66+Z66+AC66+AF66+AI66+AL66+AO66+AR66+AU66</f>
        <v>80</v>
      </c>
      <c r="G66" s="33">
        <v>1087276</v>
      </c>
      <c r="H66" s="22">
        <f t="shared" si="17"/>
        <v>86982080</v>
      </c>
      <c r="I66" s="21"/>
      <c r="J66" s="22">
        <f t="shared" si="10"/>
        <v>216471.34352820128</v>
      </c>
      <c r="K66" s="22">
        <f t="shared" si="11"/>
        <v>10872.76</v>
      </c>
      <c r="L66" s="22">
        <f>+IF(F66=0,"",IFERROR($L$5*G66,""))</f>
        <v>43491.040000000001</v>
      </c>
      <c r="M66" s="23"/>
      <c r="N66" s="34">
        <f t="shared" si="26"/>
        <v>1358111.1435282012</v>
      </c>
      <c r="O66" s="22">
        <f>+IF(F66=0,"",IFERROR(F66*N66,""))</f>
        <v>108648891.48225608</v>
      </c>
      <c r="P66" s="6"/>
      <c r="Q66" s="104"/>
      <c r="R66" s="105" t="str">
        <f t="shared" si="4"/>
        <v/>
      </c>
      <c r="S66" s="106"/>
      <c r="T66" s="104"/>
      <c r="U66" s="105" t="str">
        <f t="shared" si="5"/>
        <v/>
      </c>
      <c r="V66" s="106"/>
      <c r="W66" s="104"/>
      <c r="X66" s="105" t="str">
        <f t="shared" si="16"/>
        <v/>
      </c>
      <c r="Y66" s="106"/>
      <c r="Z66" s="104"/>
      <c r="AA66" s="105" t="str">
        <f t="shared" si="12"/>
        <v/>
      </c>
      <c r="AB66" s="106"/>
      <c r="AC66" s="104"/>
      <c r="AD66" s="105" t="str">
        <f t="shared" si="6"/>
        <v/>
      </c>
      <c r="AE66" s="107"/>
      <c r="AF66" s="104"/>
      <c r="AG66" s="105" t="str">
        <f t="shared" si="7"/>
        <v/>
      </c>
      <c r="AH66" s="106"/>
      <c r="AI66" s="104"/>
      <c r="AJ66" s="105" t="str">
        <f t="shared" si="8"/>
        <v/>
      </c>
      <c r="AK66" s="107"/>
      <c r="AL66" s="104"/>
      <c r="AM66" s="105" t="str">
        <f t="shared" si="13"/>
        <v/>
      </c>
      <c r="AN66" s="107"/>
      <c r="AO66" s="104">
        <v>80</v>
      </c>
      <c r="AP66" s="105">
        <f t="shared" si="9"/>
        <v>86982080</v>
      </c>
      <c r="AQ66" s="107"/>
      <c r="AR66" s="104"/>
      <c r="AS66" s="105" t="str">
        <f t="shared" si="14"/>
        <v/>
      </c>
      <c r="AT66" s="107"/>
      <c r="AU66" s="104"/>
      <c r="AV66" s="24" t="str">
        <f t="shared" si="15"/>
        <v/>
      </c>
      <c r="BA66" s="26"/>
      <c r="BB66" s="27"/>
      <c r="BM66" s="26"/>
      <c r="BN66" s="27"/>
      <c r="BP66" s="26"/>
      <c r="BQ66" s="27"/>
      <c r="BY66" s="26"/>
      <c r="BZ66" s="27"/>
    </row>
    <row r="67" spans="2:78" s="25" customFormat="1" ht="102.6" customHeight="1">
      <c r="B67" s="109" t="s">
        <v>98</v>
      </c>
      <c r="C67" s="29" t="s">
        <v>98</v>
      </c>
      <c r="D67" s="30" t="s">
        <v>214</v>
      </c>
      <c r="E67" s="31" t="s">
        <v>167</v>
      </c>
      <c r="F67" s="32">
        <f t="shared" ref="F67" si="29">+Q67+T67+W67+Z67+AC67+AF67+AI67+AL67+AO67+AR67+AU67</f>
        <v>60</v>
      </c>
      <c r="G67" s="33">
        <v>488139</v>
      </c>
      <c r="H67" s="22">
        <f t="shared" si="17"/>
        <v>29288340</v>
      </c>
      <c r="I67" s="21"/>
      <c r="J67" s="22">
        <f t="shared" si="10"/>
        <v>97186.091809726917</v>
      </c>
      <c r="K67" s="22">
        <f t="shared" si="11"/>
        <v>4881.3900000000003</v>
      </c>
      <c r="L67" s="22">
        <f>+IF(F67=0,"",IFERROR($L$5*G67,""))</f>
        <v>19525.560000000001</v>
      </c>
      <c r="M67" s="23"/>
      <c r="N67" s="34">
        <f t="shared" si="26"/>
        <v>609732.04180972697</v>
      </c>
      <c r="O67" s="22">
        <f>+IF(F67=0,"",IFERROR(F67*N67,""))</f>
        <v>36583922.50858362</v>
      </c>
      <c r="P67" s="6"/>
      <c r="Q67" s="104">
        <v>20</v>
      </c>
      <c r="R67" s="105">
        <f t="shared" si="4"/>
        <v>9762780</v>
      </c>
      <c r="S67" s="106"/>
      <c r="T67" s="104"/>
      <c r="U67" s="105" t="str">
        <f t="shared" si="5"/>
        <v/>
      </c>
      <c r="V67" s="106"/>
      <c r="W67" s="104"/>
      <c r="X67" s="105" t="str">
        <f t="shared" si="16"/>
        <v/>
      </c>
      <c r="Y67" s="106"/>
      <c r="Z67" s="104"/>
      <c r="AA67" s="105" t="str">
        <f t="shared" si="12"/>
        <v/>
      </c>
      <c r="AB67" s="106"/>
      <c r="AC67" s="104"/>
      <c r="AD67" s="105" t="str">
        <f t="shared" si="6"/>
        <v/>
      </c>
      <c r="AE67" s="107"/>
      <c r="AF67" s="104">
        <v>20</v>
      </c>
      <c r="AG67" s="105">
        <f t="shared" si="7"/>
        <v>9762780</v>
      </c>
      <c r="AH67" s="106"/>
      <c r="AI67" s="104"/>
      <c r="AJ67" s="105" t="str">
        <f t="shared" si="8"/>
        <v/>
      </c>
      <c r="AK67" s="107"/>
      <c r="AL67" s="104"/>
      <c r="AM67" s="105" t="str">
        <f t="shared" si="13"/>
        <v/>
      </c>
      <c r="AN67" s="107"/>
      <c r="AO67" s="104"/>
      <c r="AP67" s="105" t="str">
        <f t="shared" si="9"/>
        <v/>
      </c>
      <c r="AQ67" s="107"/>
      <c r="AR67" s="104"/>
      <c r="AS67" s="105" t="str">
        <f t="shared" si="14"/>
        <v/>
      </c>
      <c r="AT67" s="107"/>
      <c r="AU67" s="104">
        <v>20</v>
      </c>
      <c r="AV67" s="24">
        <f t="shared" si="15"/>
        <v>9762780</v>
      </c>
      <c r="BA67" s="26"/>
      <c r="BB67" s="27"/>
      <c r="BM67" s="26"/>
      <c r="BN67" s="27"/>
      <c r="BP67" s="26"/>
      <c r="BQ67" s="27"/>
      <c r="BY67" s="26"/>
      <c r="BZ67" s="27"/>
    </row>
    <row r="68" spans="2:78" s="25" customFormat="1" ht="15.6" customHeight="1">
      <c r="B68" s="19">
        <v>6</v>
      </c>
      <c r="C68" s="35">
        <v>6</v>
      </c>
      <c r="D68" s="99" t="s">
        <v>99</v>
      </c>
      <c r="E68" s="100"/>
      <c r="F68" s="100"/>
      <c r="G68" s="100"/>
      <c r="H68" s="101"/>
      <c r="I68" s="21"/>
      <c r="J68" s="22"/>
      <c r="K68" s="22"/>
      <c r="L68" s="22"/>
      <c r="M68" s="23"/>
      <c r="N68" s="34"/>
      <c r="O68" s="22"/>
      <c r="P68" s="6"/>
      <c r="Q68" s="104"/>
      <c r="R68" s="105"/>
      <c r="S68" s="106"/>
      <c r="T68" s="104"/>
      <c r="U68" s="105"/>
      <c r="V68" s="106"/>
      <c r="W68" s="104"/>
      <c r="X68" s="105"/>
      <c r="Y68" s="106"/>
      <c r="Z68" s="104"/>
      <c r="AA68" s="105"/>
      <c r="AB68" s="106"/>
      <c r="AC68" s="104"/>
      <c r="AD68" s="105"/>
      <c r="AE68" s="107"/>
      <c r="AF68" s="104"/>
      <c r="AG68" s="105"/>
      <c r="AH68" s="106"/>
      <c r="AI68" s="104"/>
      <c r="AJ68" s="105"/>
      <c r="AK68" s="107"/>
      <c r="AL68" s="104"/>
      <c r="AM68" s="105"/>
      <c r="AN68" s="107"/>
      <c r="AO68" s="104"/>
      <c r="AP68" s="105"/>
      <c r="AQ68" s="107"/>
      <c r="AR68" s="104"/>
      <c r="AS68" s="105"/>
      <c r="AT68" s="107"/>
      <c r="AU68" s="104"/>
      <c r="AV68" s="24"/>
      <c r="BA68" s="26"/>
      <c r="BB68" s="27"/>
      <c r="BM68" s="26"/>
      <c r="BN68" s="27"/>
      <c r="BP68" s="26"/>
      <c r="BQ68" s="27"/>
      <c r="BY68" s="26"/>
      <c r="BZ68" s="27"/>
    </row>
    <row r="69" spans="2:78" s="25" customFormat="1" ht="15.6" customHeight="1">
      <c r="B69" s="36" t="s">
        <v>100</v>
      </c>
      <c r="C69" s="35">
        <v>6</v>
      </c>
      <c r="D69" s="99" t="s">
        <v>93</v>
      </c>
      <c r="E69" s="100"/>
      <c r="F69" s="100"/>
      <c r="G69" s="100"/>
      <c r="H69" s="101"/>
      <c r="I69" s="21"/>
      <c r="J69" s="22"/>
      <c r="K69" s="22"/>
      <c r="L69" s="22"/>
      <c r="M69" s="23"/>
      <c r="N69" s="34"/>
      <c r="O69" s="22"/>
      <c r="P69" s="6"/>
      <c r="Q69" s="104"/>
      <c r="R69" s="105"/>
      <c r="S69" s="106"/>
      <c r="T69" s="104"/>
      <c r="U69" s="105"/>
      <c r="V69" s="106"/>
      <c r="W69" s="104"/>
      <c r="X69" s="105"/>
      <c r="Y69" s="106"/>
      <c r="Z69" s="104"/>
      <c r="AA69" s="105"/>
      <c r="AB69" s="106"/>
      <c r="AC69" s="104"/>
      <c r="AD69" s="105"/>
      <c r="AE69" s="107"/>
      <c r="AF69" s="104"/>
      <c r="AG69" s="105"/>
      <c r="AH69" s="106"/>
      <c r="AI69" s="104"/>
      <c r="AJ69" s="105"/>
      <c r="AK69" s="107"/>
      <c r="AL69" s="104"/>
      <c r="AM69" s="105"/>
      <c r="AN69" s="107"/>
      <c r="AO69" s="104"/>
      <c r="AP69" s="105"/>
      <c r="AQ69" s="107"/>
      <c r="AR69" s="104"/>
      <c r="AS69" s="105"/>
      <c r="AT69" s="107"/>
      <c r="AU69" s="104"/>
      <c r="AV69" s="24"/>
      <c r="BA69" s="26"/>
      <c r="BB69" s="27"/>
      <c r="BM69" s="26"/>
      <c r="BN69" s="27"/>
      <c r="BP69" s="26"/>
      <c r="BQ69" s="27"/>
      <c r="BY69" s="26"/>
      <c r="BZ69" s="27"/>
    </row>
    <row r="70" spans="2:78" s="25" customFormat="1" ht="97.9" customHeight="1">
      <c r="B70" s="109" t="s">
        <v>101</v>
      </c>
      <c r="C70" s="29" t="s">
        <v>101</v>
      </c>
      <c r="D70" s="30" t="s">
        <v>215</v>
      </c>
      <c r="E70" s="31" t="s">
        <v>175</v>
      </c>
      <c r="F70" s="32">
        <f>+Q70+T70+W70+Z70+AC70+AF70+AI70+AL70+AO70+AR70+AU70</f>
        <v>39</v>
      </c>
      <c r="G70" s="33">
        <v>53213</v>
      </c>
      <c r="H70" s="22">
        <f t="shared" ref="H70" si="30">+IF(F70=0,"",IFERROR(F70*G70,""))</f>
        <v>2075307</v>
      </c>
      <c r="I70" s="21"/>
      <c r="J70" s="22">
        <f t="shared" ref="J70" si="31">+IF(F70=0,"",IFERROR($J$5*G70,""))</f>
        <v>10594.448514605469</v>
      </c>
      <c r="K70" s="22">
        <f t="shared" ref="K70" si="32">+IF(F70=0,"",IFERROR($K$5*G70,""))</f>
        <v>532.13</v>
      </c>
      <c r="L70" s="22">
        <f>+IF(F70=0,"",IFERROR($L$5*G70,""))</f>
        <v>2128.52</v>
      </c>
      <c r="M70" s="23"/>
      <c r="N70" s="34">
        <v>512545.95</v>
      </c>
      <c r="O70" s="22">
        <v>30752757</v>
      </c>
      <c r="P70" s="6"/>
      <c r="Q70" s="104"/>
      <c r="R70" s="105" t="str">
        <f t="shared" si="4"/>
        <v/>
      </c>
      <c r="S70" s="106"/>
      <c r="T70" s="104"/>
      <c r="U70" s="105" t="str">
        <f t="shared" si="5"/>
        <v/>
      </c>
      <c r="V70" s="106"/>
      <c r="W70" s="104"/>
      <c r="X70" s="105" t="str">
        <f t="shared" si="16"/>
        <v/>
      </c>
      <c r="Y70" s="106"/>
      <c r="Z70" s="104"/>
      <c r="AA70" s="105" t="str">
        <f t="shared" si="12"/>
        <v/>
      </c>
      <c r="AB70" s="106"/>
      <c r="AC70" s="104"/>
      <c r="AD70" s="105" t="str">
        <f t="shared" si="6"/>
        <v/>
      </c>
      <c r="AE70" s="107"/>
      <c r="AF70" s="104"/>
      <c r="AG70" s="105" t="str">
        <f t="shared" si="7"/>
        <v/>
      </c>
      <c r="AH70" s="106"/>
      <c r="AI70" s="104"/>
      <c r="AJ70" s="105" t="str">
        <f t="shared" si="8"/>
        <v/>
      </c>
      <c r="AK70" s="107"/>
      <c r="AL70" s="104"/>
      <c r="AM70" s="105" t="str">
        <f t="shared" si="13"/>
        <v/>
      </c>
      <c r="AN70" s="107"/>
      <c r="AO70" s="104">
        <v>39</v>
      </c>
      <c r="AP70" s="105">
        <f t="shared" si="9"/>
        <v>2075307</v>
      </c>
      <c r="AQ70" s="107"/>
      <c r="AR70" s="104"/>
      <c r="AS70" s="105" t="str">
        <f t="shared" si="14"/>
        <v/>
      </c>
      <c r="AT70" s="107"/>
      <c r="AU70" s="104"/>
      <c r="AV70" s="24" t="str">
        <f t="shared" si="15"/>
        <v/>
      </c>
      <c r="BA70" s="26"/>
      <c r="BB70" s="27"/>
      <c r="BM70" s="26"/>
      <c r="BN70" s="27"/>
      <c r="BP70" s="26"/>
      <c r="BQ70" s="27"/>
      <c r="BY70" s="26"/>
      <c r="BZ70" s="27"/>
    </row>
    <row r="71" spans="2:78" s="25" customFormat="1">
      <c r="B71" s="19">
        <v>7</v>
      </c>
      <c r="C71" s="35">
        <v>8</v>
      </c>
      <c r="D71" s="99" t="s">
        <v>102</v>
      </c>
      <c r="E71" s="100"/>
      <c r="F71" s="100"/>
      <c r="G71" s="100"/>
      <c r="H71" s="101"/>
      <c r="I71" s="21"/>
      <c r="J71" s="22" t="str">
        <f t="shared" si="10"/>
        <v/>
      </c>
      <c r="K71" s="22" t="str">
        <f t="shared" si="11"/>
        <v/>
      </c>
      <c r="L71" s="22" t="str">
        <f t="shared" ref="L71:L73" si="33">+IF(F71=0,"",IFERROR($L$5*G71,""))</f>
        <v/>
      </c>
      <c r="M71" s="23"/>
      <c r="N71" s="34" t="str">
        <f t="shared" si="26"/>
        <v/>
      </c>
      <c r="O71" s="22" t="str">
        <f t="shared" ref="O71:O73" si="34">+IF(F71=0,"",IFERROR(F71*N71,""))</f>
        <v/>
      </c>
      <c r="P71" s="6"/>
      <c r="Q71" s="104"/>
      <c r="R71" s="105"/>
      <c r="S71" s="106"/>
      <c r="T71" s="104"/>
      <c r="U71" s="105"/>
      <c r="V71" s="106"/>
      <c r="W71" s="104"/>
      <c r="X71" s="105"/>
      <c r="Y71" s="106"/>
      <c r="Z71" s="104"/>
      <c r="AA71" s="105"/>
      <c r="AB71" s="106"/>
      <c r="AC71" s="104"/>
      <c r="AD71" s="105"/>
      <c r="AE71" s="107"/>
      <c r="AF71" s="104"/>
      <c r="AG71" s="105"/>
      <c r="AH71" s="106"/>
      <c r="AI71" s="104"/>
      <c r="AJ71" s="105"/>
      <c r="AK71" s="107"/>
      <c r="AL71" s="104"/>
      <c r="AM71" s="105"/>
      <c r="AN71" s="107"/>
      <c r="AO71" s="104"/>
      <c r="AP71" s="105"/>
      <c r="AQ71" s="107"/>
      <c r="AR71" s="104"/>
      <c r="AS71" s="105"/>
      <c r="AT71" s="107"/>
      <c r="AU71" s="104"/>
      <c r="AV71" s="24"/>
      <c r="BA71" s="26"/>
      <c r="BB71" s="27"/>
      <c r="BM71" s="26"/>
      <c r="BN71" s="27"/>
      <c r="BP71" s="26"/>
      <c r="BQ71" s="27"/>
      <c r="BY71" s="26"/>
      <c r="BZ71" s="27"/>
    </row>
    <row r="72" spans="2:78" s="25" customFormat="1">
      <c r="B72" s="36" t="s">
        <v>245</v>
      </c>
      <c r="C72" s="20" t="s">
        <v>103</v>
      </c>
      <c r="D72" s="99" t="s">
        <v>104</v>
      </c>
      <c r="E72" s="100"/>
      <c r="F72" s="100"/>
      <c r="G72" s="100"/>
      <c r="H72" s="101"/>
      <c r="I72" s="21"/>
      <c r="J72" s="22" t="str">
        <f t="shared" si="10"/>
        <v/>
      </c>
      <c r="K72" s="22" t="str">
        <f t="shared" si="11"/>
        <v/>
      </c>
      <c r="L72" s="22" t="str">
        <f t="shared" si="33"/>
        <v/>
      </c>
      <c r="M72" s="23"/>
      <c r="N72" s="34" t="str">
        <f t="shared" si="26"/>
        <v/>
      </c>
      <c r="O72" s="22" t="str">
        <f t="shared" si="34"/>
        <v/>
      </c>
      <c r="P72" s="6"/>
      <c r="Q72" s="104"/>
      <c r="R72" s="105"/>
      <c r="S72" s="106"/>
      <c r="T72" s="104"/>
      <c r="U72" s="105"/>
      <c r="V72" s="106"/>
      <c r="W72" s="104"/>
      <c r="X72" s="105"/>
      <c r="Y72" s="106"/>
      <c r="Z72" s="104"/>
      <c r="AA72" s="105"/>
      <c r="AB72" s="106"/>
      <c r="AC72" s="104"/>
      <c r="AD72" s="105"/>
      <c r="AE72" s="107"/>
      <c r="AF72" s="104"/>
      <c r="AG72" s="105"/>
      <c r="AH72" s="106"/>
      <c r="AI72" s="104"/>
      <c r="AJ72" s="105"/>
      <c r="AK72" s="107"/>
      <c r="AL72" s="104"/>
      <c r="AM72" s="105"/>
      <c r="AN72" s="107"/>
      <c r="AO72" s="104"/>
      <c r="AP72" s="105"/>
      <c r="AQ72" s="107"/>
      <c r="AR72" s="104"/>
      <c r="AS72" s="105"/>
      <c r="AT72" s="107"/>
      <c r="AU72" s="104"/>
      <c r="AV72" s="24"/>
      <c r="BA72" s="26"/>
      <c r="BB72" s="27"/>
      <c r="BM72" s="26"/>
      <c r="BN72" s="27"/>
      <c r="BP72" s="26"/>
      <c r="BQ72" s="27"/>
      <c r="BY72" s="26"/>
      <c r="BZ72" s="27"/>
    </row>
    <row r="73" spans="2:78" s="25" customFormat="1" ht="106.9" customHeight="1">
      <c r="B73" s="110" t="s">
        <v>246</v>
      </c>
      <c r="C73" s="29" t="s">
        <v>105</v>
      </c>
      <c r="D73" s="30" t="s">
        <v>216</v>
      </c>
      <c r="E73" s="31" t="s">
        <v>175</v>
      </c>
      <c r="F73" s="32">
        <f>+Q73+T73+W73+Z73+AC73+AF73+AI73+AL73+AO73+AR73+AU73</f>
        <v>2217</v>
      </c>
      <c r="G73" s="33">
        <v>32997</v>
      </c>
      <c r="H73" s="22">
        <f t="shared" ref="H73" si="35">+IF(F73=0,"",IFERROR(F73*G73,""))</f>
        <v>73154349</v>
      </c>
      <c r="I73" s="21"/>
      <c r="J73" s="22">
        <f t="shared" si="10"/>
        <v>6569.5416089383534</v>
      </c>
      <c r="K73" s="22">
        <f t="shared" si="11"/>
        <v>329.97</v>
      </c>
      <c r="L73" s="22">
        <f t="shared" si="33"/>
        <v>1319.88</v>
      </c>
      <c r="M73" s="23"/>
      <c r="N73" s="34">
        <f t="shared" si="26"/>
        <v>41216.391608938357</v>
      </c>
      <c r="O73" s="22">
        <f t="shared" si="34"/>
        <v>91376740.197016343</v>
      </c>
      <c r="P73" s="6"/>
      <c r="Q73" s="104"/>
      <c r="R73" s="105" t="str">
        <f t="shared" ref="R73:R110" si="36">+IF(Q73=0,"",IFERROR(Q73*$G73,""))</f>
        <v/>
      </c>
      <c r="S73" s="106"/>
      <c r="T73" s="104"/>
      <c r="U73" s="105" t="str">
        <f t="shared" ref="U73:U110" si="37">+IF(T73=0,"",IFERROR(T73*$G73,""))</f>
        <v/>
      </c>
      <c r="V73" s="106"/>
      <c r="W73" s="104"/>
      <c r="X73" s="105" t="str">
        <f t="shared" si="16"/>
        <v/>
      </c>
      <c r="Y73" s="106"/>
      <c r="Z73" s="104"/>
      <c r="AA73" s="105" t="str">
        <f t="shared" si="12"/>
        <v/>
      </c>
      <c r="AB73" s="106"/>
      <c r="AC73" s="104">
        <f>27*12</f>
        <v>324</v>
      </c>
      <c r="AD73" s="105">
        <f t="shared" ref="AD73:AD110" si="38">+IF(AC73=0,"",IFERROR(AC73*$G73,""))</f>
        <v>10691028</v>
      </c>
      <c r="AE73" s="107"/>
      <c r="AF73" s="104">
        <f>22*9</f>
        <v>198</v>
      </c>
      <c r="AG73" s="105">
        <f t="shared" ref="AG73:AG110" si="39">+IF(AF73=0,"",IFERROR(AF73*$G73,""))</f>
        <v>6533406</v>
      </c>
      <c r="AH73" s="106"/>
      <c r="AI73" s="104">
        <f>34*20</f>
        <v>680</v>
      </c>
      <c r="AJ73" s="105">
        <f t="shared" ref="AJ73:AJ110" si="40">+IF(AI73=0,"",IFERROR(AI73*$G73,""))</f>
        <v>22437960</v>
      </c>
      <c r="AK73" s="107"/>
      <c r="AL73" s="104"/>
      <c r="AM73" s="105" t="str">
        <f t="shared" si="13"/>
        <v/>
      </c>
      <c r="AN73" s="107"/>
      <c r="AO73" s="104">
        <v>375</v>
      </c>
      <c r="AP73" s="105">
        <f t="shared" ref="AP73:AP110" si="41">+IF(AO73=0,"",IFERROR(AO73*$G73,""))</f>
        <v>12373875</v>
      </c>
      <c r="AQ73" s="107"/>
      <c r="AR73" s="104"/>
      <c r="AS73" s="105" t="str">
        <f t="shared" si="14"/>
        <v/>
      </c>
      <c r="AT73" s="107"/>
      <c r="AU73" s="104">
        <f>32*20</f>
        <v>640</v>
      </c>
      <c r="AV73" s="24">
        <f t="shared" si="15"/>
        <v>21118080</v>
      </c>
      <c r="BA73" s="26"/>
      <c r="BB73" s="27"/>
      <c r="BM73" s="26"/>
      <c r="BN73" s="27"/>
      <c r="BP73" s="26"/>
      <c r="BQ73" s="27"/>
      <c r="BY73" s="26"/>
      <c r="BZ73" s="27"/>
    </row>
    <row r="74" spans="2:78" s="25" customFormat="1" ht="116.45" customHeight="1">
      <c r="B74" s="110" t="s">
        <v>247</v>
      </c>
      <c r="C74" s="29" t="s">
        <v>106</v>
      </c>
      <c r="D74" s="30" t="s">
        <v>217</v>
      </c>
      <c r="E74" s="31" t="s">
        <v>175</v>
      </c>
      <c r="F74" s="32">
        <f t="shared" ref="F74:F77" si="42">+Q74+T74+W74+Z74+AC74+AF74+AI74+AL74+AO74+AR74+AU74</f>
        <v>1109</v>
      </c>
      <c r="G74" s="33">
        <v>207949</v>
      </c>
      <c r="H74" s="22">
        <f t="shared" si="17"/>
        <v>230615441</v>
      </c>
      <c r="I74" s="21"/>
      <c r="J74" s="22">
        <f t="shared" si="10"/>
        <v>41401.630694824431</v>
      </c>
      <c r="K74" s="22">
        <f t="shared" si="11"/>
        <v>2079.4900000000002</v>
      </c>
      <c r="L74" s="22">
        <f>+IF(F74=0,"",IFERROR($L$5*G74,""))</f>
        <v>8317.9600000000009</v>
      </c>
      <c r="M74" s="23"/>
      <c r="N74" s="34">
        <f t="shared" si="26"/>
        <v>259748.08069482443</v>
      </c>
      <c r="O74" s="22">
        <f t="shared" si="27"/>
        <v>288060621.49056029</v>
      </c>
      <c r="P74" s="6"/>
      <c r="Q74" s="104">
        <v>159</v>
      </c>
      <c r="R74" s="105">
        <f t="shared" si="36"/>
        <v>33063891</v>
      </c>
      <c r="S74" s="106"/>
      <c r="T74" s="104">
        <v>118</v>
      </c>
      <c r="U74" s="105">
        <f t="shared" si="37"/>
        <v>24537982</v>
      </c>
      <c r="V74" s="106"/>
      <c r="W74" s="104">
        <v>103</v>
      </c>
      <c r="X74" s="105">
        <f t="shared" si="16"/>
        <v>21418747</v>
      </c>
      <c r="Y74" s="106"/>
      <c r="Z74" s="104">
        <f>24*20*0.2</f>
        <v>96</v>
      </c>
      <c r="AA74" s="105">
        <f t="shared" ref="AA74:AA110" si="43">+IF(Z74=0,"",IFERROR(Z74*$G74,""))</f>
        <v>19963104</v>
      </c>
      <c r="AB74" s="106"/>
      <c r="AC74" s="104">
        <v>65</v>
      </c>
      <c r="AD74" s="105">
        <f t="shared" si="38"/>
        <v>13516685</v>
      </c>
      <c r="AE74" s="107"/>
      <c r="AF74" s="104">
        <v>40</v>
      </c>
      <c r="AG74" s="105">
        <f t="shared" si="39"/>
        <v>8317960</v>
      </c>
      <c r="AH74" s="106"/>
      <c r="AI74" s="104">
        <f>34*20*0.2</f>
        <v>136</v>
      </c>
      <c r="AJ74" s="105">
        <f t="shared" si="40"/>
        <v>28281064</v>
      </c>
      <c r="AK74" s="107"/>
      <c r="AL74" s="104">
        <f>36*20*0.2</f>
        <v>144</v>
      </c>
      <c r="AM74" s="105">
        <f t="shared" ref="AM74:AM110" si="44">+IF(AL74=0,"",IFERROR(AL74*$G74,""))</f>
        <v>29944656</v>
      </c>
      <c r="AN74" s="107"/>
      <c r="AO74" s="104"/>
      <c r="AP74" s="105" t="str">
        <f t="shared" si="41"/>
        <v/>
      </c>
      <c r="AQ74" s="107"/>
      <c r="AR74" s="104">
        <f>30*20*0.2</f>
        <v>120</v>
      </c>
      <c r="AS74" s="105">
        <f t="shared" ref="AS74:AS110" si="45">+IF(AR74=0,"",IFERROR(AR74*$G74,""))</f>
        <v>24953880</v>
      </c>
      <c r="AT74" s="107"/>
      <c r="AU74" s="104">
        <f>32*20*0.2</f>
        <v>128</v>
      </c>
      <c r="AV74" s="24">
        <f t="shared" ref="AV74:AV110" si="46">+IF(AU74=0,"",IFERROR(AU74*$G74,""))</f>
        <v>26617472</v>
      </c>
      <c r="BA74" s="26"/>
      <c r="BB74" s="27"/>
      <c r="BM74" s="26"/>
      <c r="BN74" s="27"/>
      <c r="BP74" s="26"/>
      <c r="BQ74" s="27"/>
      <c r="BY74" s="26"/>
      <c r="BZ74" s="27"/>
    </row>
    <row r="75" spans="2:78" s="25" customFormat="1" ht="108.6" customHeight="1">
      <c r="B75" s="110" t="s">
        <v>248</v>
      </c>
      <c r="C75" s="29" t="s">
        <v>107</v>
      </c>
      <c r="D75" s="30" t="s">
        <v>218</v>
      </c>
      <c r="E75" s="31" t="s">
        <v>167</v>
      </c>
      <c r="F75" s="32">
        <f t="shared" si="42"/>
        <v>8956</v>
      </c>
      <c r="G75" s="33">
        <v>22980</v>
      </c>
      <c r="H75" s="22">
        <f t="shared" si="17"/>
        <v>205808880</v>
      </c>
      <c r="I75" s="21"/>
      <c r="J75" s="22">
        <f t="shared" si="10"/>
        <v>4575.2058118436034</v>
      </c>
      <c r="K75" s="22">
        <f t="shared" si="11"/>
        <v>229.8</v>
      </c>
      <c r="L75" s="22">
        <f>+IF(F75=0,"",IFERROR($L$5*G75,""))</f>
        <v>919.2</v>
      </c>
      <c r="M75" s="23"/>
      <c r="N75" s="34">
        <f t="shared" si="26"/>
        <v>28704.205811843603</v>
      </c>
      <c r="O75" s="22">
        <f t="shared" si="27"/>
        <v>257074867.2508713</v>
      </c>
      <c r="P75" s="6"/>
      <c r="Q75" s="104">
        <f>(36*17)+(17*22)</f>
        <v>986</v>
      </c>
      <c r="R75" s="105">
        <f t="shared" si="36"/>
        <v>22658280</v>
      </c>
      <c r="S75" s="106"/>
      <c r="T75" s="104">
        <f>(21*17)+(17*28)</f>
        <v>833</v>
      </c>
      <c r="U75" s="105">
        <f t="shared" si="37"/>
        <v>19142340</v>
      </c>
      <c r="V75" s="106"/>
      <c r="W75" s="104">
        <f>27*17+17*19</f>
        <v>782</v>
      </c>
      <c r="X75" s="105">
        <f t="shared" ref="X75:X110" si="47">+IF(W75=0,"",IFERROR(W75*$G75,""))</f>
        <v>17970360</v>
      </c>
      <c r="Y75" s="106"/>
      <c r="Z75" s="104">
        <f>40*17+17*24</f>
        <v>1088</v>
      </c>
      <c r="AA75" s="105">
        <f t="shared" si="43"/>
        <v>25002240</v>
      </c>
      <c r="AB75" s="106"/>
      <c r="AC75" s="104">
        <f>(27*17)+(12*17)</f>
        <v>663</v>
      </c>
      <c r="AD75" s="105">
        <f t="shared" si="38"/>
        <v>15235740</v>
      </c>
      <c r="AE75" s="107"/>
      <c r="AF75" s="104">
        <v>320</v>
      </c>
      <c r="AG75" s="105">
        <f t="shared" si="39"/>
        <v>7353600</v>
      </c>
      <c r="AH75" s="106"/>
      <c r="AI75" s="104">
        <f>(34*17)+(17*20)</f>
        <v>918</v>
      </c>
      <c r="AJ75" s="105">
        <f t="shared" si="40"/>
        <v>21095640</v>
      </c>
      <c r="AK75" s="107"/>
      <c r="AL75" s="104">
        <f>(36*17)+(17*20)</f>
        <v>952</v>
      </c>
      <c r="AM75" s="105">
        <f t="shared" si="44"/>
        <v>21876960</v>
      </c>
      <c r="AN75" s="107"/>
      <c r="AO75" s="104">
        <v>680</v>
      </c>
      <c r="AP75" s="105">
        <f t="shared" si="41"/>
        <v>15626400</v>
      </c>
      <c r="AQ75" s="107"/>
      <c r="AR75" s="104">
        <f>(30*17)+(17*20)</f>
        <v>850</v>
      </c>
      <c r="AS75" s="105">
        <f t="shared" si="45"/>
        <v>19533000</v>
      </c>
      <c r="AT75" s="107"/>
      <c r="AU75" s="104">
        <f>(32*17)+(17*20)</f>
        <v>884</v>
      </c>
      <c r="AV75" s="24">
        <f t="shared" si="46"/>
        <v>20314320</v>
      </c>
      <c r="BA75" s="26"/>
      <c r="BB75" s="27"/>
      <c r="BM75" s="26"/>
      <c r="BN75" s="27"/>
      <c r="BP75" s="26"/>
      <c r="BQ75" s="27"/>
      <c r="BY75" s="26"/>
      <c r="BZ75" s="27"/>
    </row>
    <row r="76" spans="2:78" s="25" customFormat="1" ht="118.15" customHeight="1">
      <c r="B76" s="110" t="s">
        <v>249</v>
      </c>
      <c r="C76" s="29" t="s">
        <v>108</v>
      </c>
      <c r="D76" s="30" t="s">
        <v>219</v>
      </c>
      <c r="E76" s="31" t="s">
        <v>167</v>
      </c>
      <c r="F76" s="32">
        <f t="shared" si="42"/>
        <v>220</v>
      </c>
      <c r="G76" s="33">
        <v>45871</v>
      </c>
      <c r="H76" s="22">
        <f t="shared" si="17"/>
        <v>10091620</v>
      </c>
      <c r="I76" s="21"/>
      <c r="J76" s="22">
        <f t="shared" si="10"/>
        <v>9132.6921581844181</v>
      </c>
      <c r="K76" s="22">
        <f t="shared" si="11"/>
        <v>458.71000000000004</v>
      </c>
      <c r="L76" s="22">
        <f>+IF(F76=0,"",IFERROR($L$5*G76,""))</f>
        <v>1834.8400000000001</v>
      </c>
      <c r="M76" s="23"/>
      <c r="N76" s="34">
        <f t="shared" si="26"/>
        <v>57297.242158184417</v>
      </c>
      <c r="O76" s="22">
        <f t="shared" si="27"/>
        <v>12605393.274800573</v>
      </c>
      <c r="P76" s="6"/>
      <c r="Q76" s="104">
        <v>20</v>
      </c>
      <c r="R76" s="105">
        <f t="shared" si="36"/>
        <v>917420</v>
      </c>
      <c r="S76" s="106"/>
      <c r="T76" s="104">
        <v>20</v>
      </c>
      <c r="U76" s="105">
        <f t="shared" si="37"/>
        <v>917420</v>
      </c>
      <c r="V76" s="106"/>
      <c r="W76" s="104">
        <v>30</v>
      </c>
      <c r="X76" s="105">
        <f t="shared" si="47"/>
        <v>1376130</v>
      </c>
      <c r="Y76" s="106"/>
      <c r="Z76" s="104">
        <v>30</v>
      </c>
      <c r="AA76" s="105">
        <f t="shared" si="43"/>
        <v>1376130</v>
      </c>
      <c r="AB76" s="106"/>
      <c r="AC76" s="104">
        <v>40</v>
      </c>
      <c r="AD76" s="105">
        <f t="shared" si="38"/>
        <v>1834840</v>
      </c>
      <c r="AE76" s="107"/>
      <c r="AF76" s="104">
        <v>30</v>
      </c>
      <c r="AG76" s="105">
        <f t="shared" si="39"/>
        <v>1376130</v>
      </c>
      <c r="AH76" s="106"/>
      <c r="AI76" s="104">
        <v>20</v>
      </c>
      <c r="AJ76" s="105">
        <f t="shared" si="40"/>
        <v>917420</v>
      </c>
      <c r="AK76" s="107"/>
      <c r="AL76" s="104">
        <v>10</v>
      </c>
      <c r="AM76" s="105">
        <f t="shared" si="44"/>
        <v>458710</v>
      </c>
      <c r="AN76" s="107"/>
      <c r="AO76" s="104"/>
      <c r="AP76" s="105" t="str">
        <f t="shared" si="41"/>
        <v/>
      </c>
      <c r="AQ76" s="107"/>
      <c r="AR76" s="104">
        <v>20</v>
      </c>
      <c r="AS76" s="105">
        <f t="shared" si="45"/>
        <v>917420</v>
      </c>
      <c r="AT76" s="107"/>
      <c r="AU76" s="104"/>
      <c r="AV76" s="24" t="str">
        <f t="shared" si="46"/>
        <v/>
      </c>
      <c r="BA76" s="26"/>
      <c r="BB76" s="27"/>
      <c r="BM76" s="26"/>
      <c r="BN76" s="27"/>
      <c r="BP76" s="26"/>
      <c r="BQ76" s="27"/>
      <c r="BY76" s="26"/>
      <c r="BZ76" s="27"/>
    </row>
    <row r="77" spans="2:78" s="25" customFormat="1" ht="277.14999999999998" customHeight="1">
      <c r="B77" s="110" t="s">
        <v>250</v>
      </c>
      <c r="C77" s="29" t="s">
        <v>109</v>
      </c>
      <c r="D77" s="30" t="s">
        <v>220</v>
      </c>
      <c r="E77" s="31" t="s">
        <v>175</v>
      </c>
      <c r="F77" s="32">
        <f t="shared" si="42"/>
        <v>6310</v>
      </c>
      <c r="G77" s="33">
        <v>135426</v>
      </c>
      <c r="H77" s="22">
        <f t="shared" si="17"/>
        <v>854538060</v>
      </c>
      <c r="I77" s="21"/>
      <c r="J77" s="22">
        <f t="shared" si="10"/>
        <v>26962.655451467876</v>
      </c>
      <c r="K77" s="22">
        <f t="shared" si="11"/>
        <v>1354.26</v>
      </c>
      <c r="L77" s="22">
        <f>+IF(F77=0,"",IFERROR($L$5*G77,""))</f>
        <v>5417.04</v>
      </c>
      <c r="M77" s="23"/>
      <c r="N77" s="34">
        <f t="shared" si="26"/>
        <v>169159.95545146789</v>
      </c>
      <c r="O77" s="22">
        <f t="shared" si="27"/>
        <v>1067399318.8987623</v>
      </c>
      <c r="P77" s="6"/>
      <c r="Q77" s="104">
        <f>36*22</f>
        <v>792</v>
      </c>
      <c r="R77" s="105">
        <f t="shared" si="36"/>
        <v>107257392</v>
      </c>
      <c r="S77" s="106"/>
      <c r="T77" s="104">
        <v>500</v>
      </c>
      <c r="U77" s="105">
        <f t="shared" si="37"/>
        <v>67713000</v>
      </c>
      <c r="V77" s="106"/>
      <c r="W77" s="104">
        <v>515</v>
      </c>
      <c r="X77" s="105">
        <f t="shared" si="47"/>
        <v>69744390</v>
      </c>
      <c r="Y77" s="106"/>
      <c r="Z77" s="104">
        <f>40*24</f>
        <v>960</v>
      </c>
      <c r="AA77" s="105">
        <f t="shared" si="43"/>
        <v>130008960</v>
      </c>
      <c r="AB77" s="106"/>
      <c r="AC77" s="104">
        <v>330</v>
      </c>
      <c r="AD77" s="105">
        <f t="shared" si="38"/>
        <v>44690580</v>
      </c>
      <c r="AE77" s="107"/>
      <c r="AF77" s="104">
        <f>22*9</f>
        <v>198</v>
      </c>
      <c r="AG77" s="105">
        <f t="shared" si="39"/>
        <v>26814348</v>
      </c>
      <c r="AH77" s="106"/>
      <c r="AI77" s="104">
        <f>34*20</f>
        <v>680</v>
      </c>
      <c r="AJ77" s="105">
        <f t="shared" si="40"/>
        <v>92089680</v>
      </c>
      <c r="AK77" s="107"/>
      <c r="AL77" s="104">
        <f>36*20</f>
        <v>720</v>
      </c>
      <c r="AM77" s="105">
        <f t="shared" si="44"/>
        <v>97506720</v>
      </c>
      <c r="AN77" s="107"/>
      <c r="AO77" s="104">
        <v>375</v>
      </c>
      <c r="AP77" s="105">
        <f t="shared" si="41"/>
        <v>50784750</v>
      </c>
      <c r="AQ77" s="107"/>
      <c r="AR77" s="104">
        <f>30*20</f>
        <v>600</v>
      </c>
      <c r="AS77" s="105">
        <f t="shared" si="45"/>
        <v>81255600</v>
      </c>
      <c r="AT77" s="107"/>
      <c r="AU77" s="104">
        <f>32*20</f>
        <v>640</v>
      </c>
      <c r="AV77" s="24">
        <f t="shared" si="46"/>
        <v>86672640</v>
      </c>
      <c r="BA77" s="26"/>
      <c r="BB77" s="27"/>
      <c r="BM77" s="26"/>
      <c r="BN77" s="27"/>
      <c r="BP77" s="26"/>
      <c r="BQ77" s="27"/>
      <c r="BY77" s="26"/>
      <c r="BZ77" s="27"/>
    </row>
    <row r="78" spans="2:78" s="25" customFormat="1" ht="13.15" customHeight="1">
      <c r="B78" s="36" t="s">
        <v>251</v>
      </c>
      <c r="C78" s="20" t="s">
        <v>110</v>
      </c>
      <c r="D78" s="99" t="s">
        <v>111</v>
      </c>
      <c r="E78" s="100"/>
      <c r="F78" s="100"/>
      <c r="G78" s="100"/>
      <c r="H78" s="101"/>
      <c r="I78" s="21"/>
      <c r="J78" s="22"/>
      <c r="K78" s="22"/>
      <c r="L78" s="22"/>
      <c r="M78" s="23"/>
      <c r="N78" s="34"/>
      <c r="O78" s="22"/>
      <c r="P78" s="6"/>
      <c r="Q78" s="104"/>
      <c r="R78" s="105"/>
      <c r="S78" s="106"/>
      <c r="T78" s="104"/>
      <c r="U78" s="105"/>
      <c r="V78" s="106"/>
      <c r="W78" s="104"/>
      <c r="X78" s="105"/>
      <c r="Y78" s="106"/>
      <c r="Z78" s="104"/>
      <c r="AA78" s="105"/>
      <c r="AB78" s="106"/>
      <c r="AC78" s="104"/>
      <c r="AD78" s="105"/>
      <c r="AE78" s="107"/>
      <c r="AF78" s="104"/>
      <c r="AG78" s="105"/>
      <c r="AH78" s="106"/>
      <c r="AI78" s="104"/>
      <c r="AJ78" s="105"/>
      <c r="AK78" s="107"/>
      <c r="AL78" s="104"/>
      <c r="AM78" s="105"/>
      <c r="AN78" s="107"/>
      <c r="AO78" s="104"/>
      <c r="AP78" s="105"/>
      <c r="AQ78" s="107"/>
      <c r="AR78" s="104"/>
      <c r="AS78" s="105"/>
      <c r="AT78" s="107"/>
      <c r="AU78" s="104"/>
      <c r="AV78" s="24"/>
      <c r="BA78" s="26"/>
      <c r="BB78" s="27"/>
      <c r="BM78" s="26"/>
      <c r="BN78" s="27"/>
      <c r="BP78" s="26"/>
      <c r="BQ78" s="27"/>
      <c r="BY78" s="26"/>
      <c r="BZ78" s="27"/>
    </row>
    <row r="79" spans="2:78" s="25" customFormat="1" ht="409.15" customHeight="1">
      <c r="B79" s="110" t="s">
        <v>252</v>
      </c>
      <c r="C79" s="29" t="s">
        <v>112</v>
      </c>
      <c r="D79" s="30" t="s">
        <v>221</v>
      </c>
      <c r="E79" s="31" t="s">
        <v>222</v>
      </c>
      <c r="F79" s="32">
        <f>+Q79+T79+W79+Z79+AC79+AF79+AI79+AL79+AO79+AR79+AU79</f>
        <v>8</v>
      </c>
      <c r="G79" s="33">
        <v>7061758</v>
      </c>
      <c r="H79" s="22">
        <f t="shared" ref="H79:H103" si="48">+IF(F79=0,"",IFERROR(F79*G79,""))</f>
        <v>56494064</v>
      </c>
      <c r="I79" s="21"/>
      <c r="J79" s="22">
        <f t="shared" ref="J79" si="49">+IF(F79=0,"",IFERROR($J$5*G79,""))</f>
        <v>1405961.5423600113</v>
      </c>
      <c r="K79" s="22">
        <f t="shared" ref="K79" si="50">+IF(F79=0,"",IFERROR($K$5*G79,""))</f>
        <v>70617.58</v>
      </c>
      <c r="L79" s="22">
        <f>+IF(F79=0,"",IFERROR($L$5*G79,""))</f>
        <v>282470.32</v>
      </c>
      <c r="M79" s="23"/>
      <c r="N79" s="34">
        <f t="shared" ref="N79" si="51">+IF(F79=0,"",IFERROR(L79+K79+J79+G79,""))</f>
        <v>8820807.4423600119</v>
      </c>
      <c r="O79" s="22">
        <f t="shared" ref="O79" si="52">+IF(F79=0,"",IFERROR(F79*N79,""))</f>
        <v>70566459.538880095</v>
      </c>
      <c r="P79" s="6"/>
      <c r="Q79" s="104">
        <v>1</v>
      </c>
      <c r="R79" s="105">
        <f t="shared" si="36"/>
        <v>7061758</v>
      </c>
      <c r="S79" s="106"/>
      <c r="T79" s="104">
        <v>1</v>
      </c>
      <c r="U79" s="105">
        <f t="shared" si="37"/>
        <v>7061758</v>
      </c>
      <c r="V79" s="106"/>
      <c r="W79" s="104"/>
      <c r="X79" s="105" t="str">
        <f t="shared" si="47"/>
        <v/>
      </c>
      <c r="Y79" s="106"/>
      <c r="Z79" s="104">
        <v>1</v>
      </c>
      <c r="AA79" s="105">
        <f t="shared" si="43"/>
        <v>7061758</v>
      </c>
      <c r="AB79" s="106"/>
      <c r="AC79" s="104">
        <v>1</v>
      </c>
      <c r="AD79" s="105">
        <f t="shared" si="38"/>
        <v>7061758</v>
      </c>
      <c r="AE79" s="107"/>
      <c r="AF79" s="104">
        <v>1</v>
      </c>
      <c r="AG79" s="105">
        <f t="shared" si="39"/>
        <v>7061758</v>
      </c>
      <c r="AH79" s="106"/>
      <c r="AI79" s="104">
        <v>1</v>
      </c>
      <c r="AJ79" s="105">
        <f t="shared" si="40"/>
        <v>7061758</v>
      </c>
      <c r="AK79" s="107"/>
      <c r="AL79" s="104">
        <v>1</v>
      </c>
      <c r="AM79" s="105">
        <f t="shared" si="44"/>
        <v>7061758</v>
      </c>
      <c r="AN79" s="107"/>
      <c r="AO79" s="104"/>
      <c r="AP79" s="105" t="str">
        <f t="shared" si="41"/>
        <v/>
      </c>
      <c r="AQ79" s="107"/>
      <c r="AR79" s="104"/>
      <c r="AS79" s="105" t="str">
        <f t="shared" si="45"/>
        <v/>
      </c>
      <c r="AT79" s="107"/>
      <c r="AU79" s="104">
        <v>1</v>
      </c>
      <c r="AV79" s="24">
        <f t="shared" si="46"/>
        <v>7061758</v>
      </c>
      <c r="BA79" s="26"/>
      <c r="BB79" s="27"/>
      <c r="BM79" s="26"/>
      <c r="BN79" s="27"/>
      <c r="BP79" s="26"/>
      <c r="BQ79" s="27"/>
      <c r="BY79" s="26"/>
      <c r="BZ79" s="27"/>
    </row>
    <row r="80" spans="2:78" s="25" customFormat="1" ht="115.15" customHeight="1">
      <c r="B80" s="110" t="s">
        <v>253</v>
      </c>
      <c r="C80" s="29" t="s">
        <v>113</v>
      </c>
      <c r="D80" s="30" t="s">
        <v>223</v>
      </c>
      <c r="E80" s="31" t="s">
        <v>177</v>
      </c>
      <c r="F80" s="32">
        <f t="shared" ref="F80:F82" si="53">+Q80+T80+W80+Z80+AC80+AF80+AI80+AL80+AO80+AR80+AU80</f>
        <v>6</v>
      </c>
      <c r="G80" s="33">
        <v>2088645</v>
      </c>
      <c r="H80" s="22">
        <f t="shared" si="48"/>
        <v>12531870</v>
      </c>
      <c r="I80" s="21"/>
      <c r="J80" s="22">
        <f t="shared" si="10"/>
        <v>415839.0227536154</v>
      </c>
      <c r="K80" s="22">
        <f t="shared" si="11"/>
        <v>20886.45</v>
      </c>
      <c r="L80" s="22">
        <f>+IF(F80=0,"",IFERROR($L$5*G80,""))</f>
        <v>83545.8</v>
      </c>
      <c r="M80" s="23"/>
      <c r="N80" s="34">
        <f t="shared" si="26"/>
        <v>2608916.2727536154</v>
      </c>
      <c r="O80" s="22">
        <f t="shared" si="27"/>
        <v>15653497.636521693</v>
      </c>
      <c r="P80" s="6"/>
      <c r="Q80" s="104">
        <v>1</v>
      </c>
      <c r="R80" s="105">
        <f t="shared" si="36"/>
        <v>2088645</v>
      </c>
      <c r="S80" s="106"/>
      <c r="T80" s="104">
        <v>1</v>
      </c>
      <c r="U80" s="105">
        <f t="shared" si="37"/>
        <v>2088645</v>
      </c>
      <c r="V80" s="106"/>
      <c r="W80" s="104"/>
      <c r="X80" s="105" t="str">
        <f t="shared" si="47"/>
        <v/>
      </c>
      <c r="Y80" s="106"/>
      <c r="Z80" s="104"/>
      <c r="AA80" s="105" t="str">
        <f t="shared" si="43"/>
        <v/>
      </c>
      <c r="AB80" s="106"/>
      <c r="AC80" s="104"/>
      <c r="AD80" s="105" t="str">
        <f t="shared" si="38"/>
        <v/>
      </c>
      <c r="AE80" s="107"/>
      <c r="AF80" s="104"/>
      <c r="AG80" s="105" t="str">
        <f t="shared" si="39"/>
        <v/>
      </c>
      <c r="AH80" s="106"/>
      <c r="AI80" s="104">
        <v>1</v>
      </c>
      <c r="AJ80" s="105">
        <f t="shared" si="40"/>
        <v>2088645</v>
      </c>
      <c r="AK80" s="107"/>
      <c r="AL80" s="104">
        <v>1</v>
      </c>
      <c r="AM80" s="105">
        <f t="shared" si="44"/>
        <v>2088645</v>
      </c>
      <c r="AN80" s="107"/>
      <c r="AO80" s="104">
        <v>1</v>
      </c>
      <c r="AP80" s="105">
        <f t="shared" si="41"/>
        <v>2088645</v>
      </c>
      <c r="AQ80" s="107"/>
      <c r="AR80" s="104">
        <v>0</v>
      </c>
      <c r="AS80" s="105" t="str">
        <f t="shared" si="45"/>
        <v/>
      </c>
      <c r="AT80" s="107"/>
      <c r="AU80" s="104">
        <v>1</v>
      </c>
      <c r="AV80" s="24">
        <f t="shared" si="46"/>
        <v>2088645</v>
      </c>
      <c r="BA80" s="26"/>
      <c r="BB80" s="27"/>
      <c r="BM80" s="26"/>
      <c r="BN80" s="27"/>
      <c r="BP80" s="26"/>
      <c r="BQ80" s="27"/>
      <c r="BY80" s="26"/>
      <c r="BZ80" s="27"/>
    </row>
    <row r="81" spans="2:78" s="25" customFormat="1" ht="211.9" customHeight="1">
      <c r="B81" s="110" t="s">
        <v>254</v>
      </c>
      <c r="C81" s="29" t="s">
        <v>114</v>
      </c>
      <c r="D81" s="30" t="s">
        <v>224</v>
      </c>
      <c r="E81" s="31" t="s">
        <v>222</v>
      </c>
      <c r="F81" s="32">
        <f>+Q81+T81+W81+Z81+AC81+AF81+AI81+AL81+AO81+AR81+AU81</f>
        <v>7</v>
      </c>
      <c r="G81" s="33">
        <v>2088645</v>
      </c>
      <c r="H81" s="22">
        <f t="shared" si="48"/>
        <v>14620515</v>
      </c>
      <c r="I81" s="21"/>
      <c r="J81" s="22">
        <f t="shared" si="10"/>
        <v>415839.0227536154</v>
      </c>
      <c r="K81" s="22">
        <f t="shared" si="11"/>
        <v>20886.45</v>
      </c>
      <c r="L81" s="22">
        <f>+IF(F81=0,"",IFERROR($L$5*G81,""))</f>
        <v>83545.8</v>
      </c>
      <c r="M81" s="23"/>
      <c r="N81" s="34">
        <f t="shared" si="26"/>
        <v>2608916.2727536154</v>
      </c>
      <c r="O81" s="22">
        <f t="shared" si="27"/>
        <v>18262413.909275308</v>
      </c>
      <c r="P81" s="6"/>
      <c r="Q81" s="104">
        <v>1</v>
      </c>
      <c r="R81" s="105">
        <f t="shared" si="36"/>
        <v>2088645</v>
      </c>
      <c r="S81" s="106"/>
      <c r="T81" s="104">
        <v>1</v>
      </c>
      <c r="U81" s="105">
        <f t="shared" si="37"/>
        <v>2088645</v>
      </c>
      <c r="V81" s="106"/>
      <c r="W81" s="104">
        <v>1</v>
      </c>
      <c r="X81" s="105">
        <f t="shared" si="47"/>
        <v>2088645</v>
      </c>
      <c r="Y81" s="106"/>
      <c r="Z81" s="104"/>
      <c r="AA81" s="105" t="str">
        <f t="shared" si="43"/>
        <v/>
      </c>
      <c r="AB81" s="106"/>
      <c r="AC81" s="104"/>
      <c r="AD81" s="105" t="str">
        <f t="shared" si="38"/>
        <v/>
      </c>
      <c r="AE81" s="107"/>
      <c r="AF81" s="104"/>
      <c r="AG81" s="105" t="str">
        <f t="shared" si="39"/>
        <v/>
      </c>
      <c r="AH81" s="106"/>
      <c r="AI81" s="104">
        <v>1</v>
      </c>
      <c r="AJ81" s="105">
        <f t="shared" si="40"/>
        <v>2088645</v>
      </c>
      <c r="AK81" s="107"/>
      <c r="AL81" s="104">
        <v>1</v>
      </c>
      <c r="AM81" s="105">
        <f t="shared" si="44"/>
        <v>2088645</v>
      </c>
      <c r="AN81" s="107"/>
      <c r="AO81" s="104"/>
      <c r="AP81" s="105" t="str">
        <f t="shared" si="41"/>
        <v/>
      </c>
      <c r="AQ81" s="107"/>
      <c r="AR81" s="104">
        <v>1</v>
      </c>
      <c r="AS81" s="105">
        <f t="shared" si="45"/>
        <v>2088645</v>
      </c>
      <c r="AT81" s="107"/>
      <c r="AU81" s="104">
        <v>1</v>
      </c>
      <c r="AV81" s="24">
        <f t="shared" si="46"/>
        <v>2088645</v>
      </c>
      <c r="BA81" s="26"/>
      <c r="BB81" s="27"/>
      <c r="BM81" s="26"/>
      <c r="BN81" s="27"/>
      <c r="BP81" s="26"/>
      <c r="BQ81" s="27"/>
      <c r="BY81" s="26"/>
      <c r="BZ81" s="27"/>
    </row>
    <row r="82" spans="2:78" s="25" customFormat="1" ht="135" customHeight="1">
      <c r="B82" s="110" t="s">
        <v>255</v>
      </c>
      <c r="C82" s="29" t="s">
        <v>115</v>
      </c>
      <c r="D82" s="30" t="s">
        <v>225</v>
      </c>
      <c r="E82" s="31" t="s">
        <v>222</v>
      </c>
      <c r="F82" s="32">
        <f t="shared" si="53"/>
        <v>9</v>
      </c>
      <c r="G82" s="33">
        <v>1356196</v>
      </c>
      <c r="H82" s="22">
        <f t="shared" si="48"/>
        <v>12205764</v>
      </c>
      <c r="I82" s="21"/>
      <c r="J82" s="22">
        <f t="shared" si="10"/>
        <v>270012.00266314391</v>
      </c>
      <c r="K82" s="22">
        <f t="shared" si="11"/>
        <v>13561.960000000001</v>
      </c>
      <c r="L82" s="22">
        <f>+IF(F82=0,"",IFERROR($L$5*G82,""))</f>
        <v>54247.840000000004</v>
      </c>
      <c r="M82" s="23"/>
      <c r="N82" s="34">
        <f t="shared" si="26"/>
        <v>1694017.802663144</v>
      </c>
      <c r="O82" s="22">
        <f t="shared" si="27"/>
        <v>15246160.223968295</v>
      </c>
      <c r="P82" s="6"/>
      <c r="Q82" s="104">
        <v>1</v>
      </c>
      <c r="R82" s="105">
        <f t="shared" si="36"/>
        <v>1356196</v>
      </c>
      <c r="S82" s="106"/>
      <c r="T82" s="104">
        <v>1</v>
      </c>
      <c r="U82" s="105">
        <f t="shared" si="37"/>
        <v>1356196</v>
      </c>
      <c r="V82" s="106"/>
      <c r="W82" s="104">
        <v>0</v>
      </c>
      <c r="X82" s="105" t="str">
        <f t="shared" si="47"/>
        <v/>
      </c>
      <c r="Y82" s="106"/>
      <c r="Z82" s="104">
        <v>1</v>
      </c>
      <c r="AA82" s="105">
        <f t="shared" si="43"/>
        <v>1356196</v>
      </c>
      <c r="AB82" s="106"/>
      <c r="AC82" s="104">
        <v>1</v>
      </c>
      <c r="AD82" s="105">
        <f t="shared" si="38"/>
        <v>1356196</v>
      </c>
      <c r="AE82" s="107"/>
      <c r="AF82" s="104">
        <v>1</v>
      </c>
      <c r="AG82" s="105">
        <f t="shared" si="39"/>
        <v>1356196</v>
      </c>
      <c r="AH82" s="106"/>
      <c r="AI82" s="104">
        <v>1</v>
      </c>
      <c r="AJ82" s="105">
        <f t="shared" si="40"/>
        <v>1356196</v>
      </c>
      <c r="AK82" s="107"/>
      <c r="AL82" s="104">
        <v>1</v>
      </c>
      <c r="AM82" s="105">
        <f t="shared" si="44"/>
        <v>1356196</v>
      </c>
      <c r="AN82" s="107"/>
      <c r="AO82" s="104"/>
      <c r="AP82" s="105" t="str">
        <f t="shared" si="41"/>
        <v/>
      </c>
      <c r="AQ82" s="107"/>
      <c r="AR82" s="104">
        <v>1</v>
      </c>
      <c r="AS82" s="105">
        <f t="shared" si="45"/>
        <v>1356196</v>
      </c>
      <c r="AT82" s="107"/>
      <c r="AU82" s="104">
        <v>1</v>
      </c>
      <c r="AV82" s="24">
        <f t="shared" si="46"/>
        <v>1356196</v>
      </c>
      <c r="BA82" s="26"/>
      <c r="BB82" s="27"/>
      <c r="BM82" s="26"/>
      <c r="BN82" s="27"/>
      <c r="BP82" s="26"/>
      <c r="BQ82" s="27"/>
      <c r="BY82" s="26"/>
      <c r="BZ82" s="27"/>
    </row>
    <row r="83" spans="2:78" s="25" customFormat="1">
      <c r="B83" s="19">
        <v>8</v>
      </c>
      <c r="C83" s="20" t="s">
        <v>116</v>
      </c>
      <c r="D83" s="99" t="s">
        <v>117</v>
      </c>
      <c r="E83" s="100"/>
      <c r="F83" s="100"/>
      <c r="G83" s="100"/>
      <c r="H83" s="101"/>
      <c r="I83" s="21"/>
      <c r="J83" s="22"/>
      <c r="K83" s="22"/>
      <c r="L83" s="22"/>
      <c r="M83" s="23"/>
      <c r="N83" s="34"/>
      <c r="O83" s="22"/>
      <c r="P83" s="6"/>
      <c r="Q83" s="104"/>
      <c r="R83" s="105"/>
      <c r="S83" s="106"/>
      <c r="T83" s="104"/>
      <c r="U83" s="105"/>
      <c r="V83" s="106"/>
      <c r="W83" s="104"/>
      <c r="X83" s="105"/>
      <c r="Y83" s="106"/>
      <c r="Z83" s="104"/>
      <c r="AA83" s="105"/>
      <c r="AB83" s="106"/>
      <c r="AC83" s="104"/>
      <c r="AD83" s="105"/>
      <c r="AE83" s="107"/>
      <c r="AF83" s="104"/>
      <c r="AG83" s="105"/>
      <c r="AH83" s="106"/>
      <c r="AI83" s="104"/>
      <c r="AJ83" s="105"/>
      <c r="AK83" s="107"/>
      <c r="AL83" s="104"/>
      <c r="AM83" s="105"/>
      <c r="AN83" s="107"/>
      <c r="AO83" s="104"/>
      <c r="AP83" s="105"/>
      <c r="AQ83" s="107"/>
      <c r="AR83" s="104"/>
      <c r="AS83" s="105"/>
      <c r="AT83" s="107"/>
      <c r="AU83" s="104"/>
      <c r="AV83" s="24"/>
      <c r="BA83" s="26"/>
      <c r="BB83" s="27"/>
      <c r="BM83" s="26"/>
      <c r="BN83" s="27"/>
      <c r="BP83" s="26"/>
      <c r="BQ83" s="27"/>
      <c r="BY83" s="26"/>
      <c r="BZ83" s="27"/>
    </row>
    <row r="84" spans="2:78" s="25" customFormat="1">
      <c r="B84" s="36" t="s">
        <v>103</v>
      </c>
      <c r="C84" s="20" t="s">
        <v>118</v>
      </c>
      <c r="D84" s="99" t="s">
        <v>119</v>
      </c>
      <c r="E84" s="100"/>
      <c r="F84" s="100"/>
      <c r="G84" s="100"/>
      <c r="H84" s="101"/>
      <c r="I84" s="21"/>
      <c r="J84" s="22"/>
      <c r="K84" s="22"/>
      <c r="L84" s="22"/>
      <c r="M84" s="23"/>
      <c r="N84" s="34"/>
      <c r="O84" s="22"/>
      <c r="P84" s="6"/>
      <c r="Q84" s="104"/>
      <c r="R84" s="105"/>
      <c r="S84" s="106"/>
      <c r="T84" s="104"/>
      <c r="U84" s="105"/>
      <c r="V84" s="106"/>
      <c r="W84" s="104"/>
      <c r="X84" s="105"/>
      <c r="Y84" s="106"/>
      <c r="Z84" s="104"/>
      <c r="AA84" s="105"/>
      <c r="AB84" s="106"/>
      <c r="AC84" s="104"/>
      <c r="AD84" s="105"/>
      <c r="AE84" s="107"/>
      <c r="AF84" s="104"/>
      <c r="AG84" s="105"/>
      <c r="AH84" s="106"/>
      <c r="AI84" s="104"/>
      <c r="AJ84" s="105"/>
      <c r="AK84" s="107"/>
      <c r="AL84" s="104"/>
      <c r="AM84" s="105"/>
      <c r="AN84" s="107"/>
      <c r="AO84" s="104"/>
      <c r="AP84" s="105"/>
      <c r="AQ84" s="107"/>
      <c r="AR84" s="104"/>
      <c r="AS84" s="105"/>
      <c r="AT84" s="107"/>
      <c r="AU84" s="104"/>
      <c r="AV84" s="24"/>
      <c r="BA84" s="26"/>
      <c r="BB84" s="27"/>
      <c r="BM84" s="26"/>
      <c r="BN84" s="27"/>
      <c r="BP84" s="26"/>
      <c r="BQ84" s="27"/>
      <c r="BY84" s="26"/>
      <c r="BZ84" s="27"/>
    </row>
    <row r="85" spans="2:78" s="25" customFormat="1" ht="54.6" customHeight="1">
      <c r="B85" s="109" t="s">
        <v>105</v>
      </c>
      <c r="C85" s="29" t="s">
        <v>120</v>
      </c>
      <c r="D85" s="30" t="s">
        <v>226</v>
      </c>
      <c r="E85" s="31" t="s">
        <v>175</v>
      </c>
      <c r="F85" s="32">
        <f>+Q85+T85+W85+Z85+AC85+AF85+AI85+AL85+AO85+AR85+AU85</f>
        <v>2259</v>
      </c>
      <c r="G85" s="33">
        <v>8752</v>
      </c>
      <c r="H85" s="22">
        <f t="shared" si="48"/>
        <v>19770768</v>
      </c>
      <c r="I85" s="21"/>
      <c r="J85" s="22">
        <f t="shared" si="10"/>
        <v>1742.4804728135427</v>
      </c>
      <c r="K85" s="22">
        <f t="shared" si="11"/>
        <v>87.52</v>
      </c>
      <c r="L85" s="22">
        <f>+IF(F85=0,"",IFERROR($L$5*G85,""))</f>
        <v>350.08</v>
      </c>
      <c r="M85" s="23"/>
      <c r="N85" s="34">
        <f t="shared" si="26"/>
        <v>10932.080472813543</v>
      </c>
      <c r="O85" s="22">
        <f t="shared" si="27"/>
        <v>24695569.788085792</v>
      </c>
      <c r="P85" s="6"/>
      <c r="Q85" s="104">
        <v>54</v>
      </c>
      <c r="R85" s="105">
        <f t="shared" si="36"/>
        <v>472608</v>
      </c>
      <c r="S85" s="106"/>
      <c r="T85" s="104">
        <v>200</v>
      </c>
      <c r="U85" s="105">
        <f t="shared" si="37"/>
        <v>1750400</v>
      </c>
      <c r="V85" s="106"/>
      <c r="W85" s="104">
        <f>100+27+27+19+19</f>
        <v>192</v>
      </c>
      <c r="X85" s="105">
        <f t="shared" si="47"/>
        <v>1680384</v>
      </c>
      <c r="Y85" s="106"/>
      <c r="Z85" s="104">
        <v>269</v>
      </c>
      <c r="AA85" s="105">
        <f t="shared" si="43"/>
        <v>2354288</v>
      </c>
      <c r="AB85" s="106"/>
      <c r="AC85" s="104">
        <v>100</v>
      </c>
      <c r="AD85" s="105">
        <f t="shared" si="38"/>
        <v>875200</v>
      </c>
      <c r="AE85" s="107"/>
      <c r="AF85" s="104">
        <v>200</v>
      </c>
      <c r="AG85" s="105">
        <f t="shared" si="39"/>
        <v>1750400</v>
      </c>
      <c r="AH85" s="106"/>
      <c r="AI85" s="104">
        <f>34+20+20+34+100</f>
        <v>208</v>
      </c>
      <c r="AJ85" s="105">
        <f t="shared" si="40"/>
        <v>1820416</v>
      </c>
      <c r="AK85" s="107"/>
      <c r="AL85" s="104">
        <f>36*1.5+36*2+150</f>
        <v>276</v>
      </c>
      <c r="AM85" s="105">
        <f t="shared" si="44"/>
        <v>2415552</v>
      </c>
      <c r="AN85" s="107"/>
      <c r="AO85" s="104">
        <v>200</v>
      </c>
      <c r="AP85" s="105">
        <f t="shared" si="41"/>
        <v>1750400</v>
      </c>
      <c r="AQ85" s="107"/>
      <c r="AR85" s="104">
        <f>100+150</f>
        <v>250</v>
      </c>
      <c r="AS85" s="105">
        <f t="shared" si="45"/>
        <v>2188000</v>
      </c>
      <c r="AT85" s="107"/>
      <c r="AU85" s="104">
        <v>310</v>
      </c>
      <c r="AV85" s="24">
        <f t="shared" si="46"/>
        <v>2713120</v>
      </c>
      <c r="BA85" s="26"/>
      <c r="BB85" s="27"/>
      <c r="BM85" s="26"/>
      <c r="BN85" s="27"/>
      <c r="BP85" s="26"/>
      <c r="BQ85" s="27"/>
      <c r="BY85" s="26"/>
      <c r="BZ85" s="27"/>
    </row>
    <row r="86" spans="2:78" s="25" customFormat="1" ht="67.900000000000006" customHeight="1">
      <c r="B86" s="109" t="s">
        <v>106</v>
      </c>
      <c r="C86" s="29" t="s">
        <v>121</v>
      </c>
      <c r="D86" s="30" t="s">
        <v>227</v>
      </c>
      <c r="E86" s="31" t="s">
        <v>175</v>
      </c>
      <c r="F86" s="32">
        <f>+Q86+T86+W86+Z86+AC86+AF86+AI86+AL86+AO86+AR86+AU86</f>
        <v>225</v>
      </c>
      <c r="G86" s="33">
        <v>43295</v>
      </c>
      <c r="H86" s="22">
        <f t="shared" si="48"/>
        <v>9741375</v>
      </c>
      <c r="I86" s="21"/>
      <c r="J86" s="22">
        <f t="shared" si="10"/>
        <v>8619.8231341935934</v>
      </c>
      <c r="K86" s="22">
        <f t="shared" si="11"/>
        <v>432.95</v>
      </c>
      <c r="L86" s="22">
        <f>+IF(F86=0,"",IFERROR($L$5*G86,""))</f>
        <v>1731.8</v>
      </c>
      <c r="M86" s="23"/>
      <c r="N86" s="34">
        <f t="shared" si="26"/>
        <v>54079.57313419359</v>
      </c>
      <c r="O86" s="22">
        <f t="shared" si="27"/>
        <v>12167903.955193557</v>
      </c>
      <c r="P86" s="6"/>
      <c r="Q86" s="104"/>
      <c r="R86" s="105" t="str">
        <f t="shared" si="36"/>
        <v/>
      </c>
      <c r="S86" s="106"/>
      <c r="T86" s="104"/>
      <c r="U86" s="105" t="str">
        <f t="shared" si="37"/>
        <v/>
      </c>
      <c r="V86" s="106"/>
      <c r="W86" s="104"/>
      <c r="X86" s="105" t="str">
        <f t="shared" si="47"/>
        <v/>
      </c>
      <c r="Y86" s="106"/>
      <c r="Z86" s="104"/>
      <c r="AA86" s="105" t="str">
        <f t="shared" si="43"/>
        <v/>
      </c>
      <c r="AB86" s="106"/>
      <c r="AC86" s="104"/>
      <c r="AD86" s="105" t="str">
        <f t="shared" si="38"/>
        <v/>
      </c>
      <c r="AE86" s="107"/>
      <c r="AF86" s="104">
        <f>19*5</f>
        <v>95</v>
      </c>
      <c r="AG86" s="105">
        <f t="shared" si="39"/>
        <v>4113025</v>
      </c>
      <c r="AH86" s="106"/>
      <c r="AI86" s="104"/>
      <c r="AJ86" s="105" t="str">
        <f t="shared" si="40"/>
        <v/>
      </c>
      <c r="AK86" s="107"/>
      <c r="AL86" s="104">
        <v>30</v>
      </c>
      <c r="AM86" s="105">
        <f t="shared" si="44"/>
        <v>1298850</v>
      </c>
      <c r="AN86" s="107"/>
      <c r="AO86" s="104"/>
      <c r="AP86" s="105" t="str">
        <f t="shared" si="41"/>
        <v/>
      </c>
      <c r="AQ86" s="107"/>
      <c r="AR86" s="104">
        <v>100</v>
      </c>
      <c r="AS86" s="105">
        <f t="shared" si="45"/>
        <v>4329500</v>
      </c>
      <c r="AT86" s="107"/>
      <c r="AU86" s="104"/>
      <c r="AV86" s="24" t="str">
        <f t="shared" si="46"/>
        <v/>
      </c>
      <c r="BA86" s="26"/>
      <c r="BB86" s="27"/>
      <c r="BM86" s="26"/>
      <c r="BN86" s="27"/>
      <c r="BP86" s="26"/>
      <c r="BQ86" s="27"/>
      <c r="BY86" s="26"/>
      <c r="BZ86" s="27"/>
    </row>
    <row r="87" spans="2:78" s="25" customFormat="1">
      <c r="B87" s="36" t="s">
        <v>110</v>
      </c>
      <c r="C87" s="20" t="s">
        <v>122</v>
      </c>
      <c r="D87" s="99" t="s">
        <v>123</v>
      </c>
      <c r="E87" s="100"/>
      <c r="F87" s="100"/>
      <c r="G87" s="100"/>
      <c r="H87" s="101"/>
      <c r="I87" s="21"/>
      <c r="J87" s="22"/>
      <c r="K87" s="22"/>
      <c r="L87" s="22"/>
      <c r="M87" s="23"/>
      <c r="N87" s="34"/>
      <c r="O87" s="22"/>
      <c r="P87" s="6"/>
      <c r="Q87" s="104"/>
      <c r="R87" s="105"/>
      <c r="S87" s="106"/>
      <c r="T87" s="104"/>
      <c r="U87" s="105"/>
      <c r="V87" s="106"/>
      <c r="W87" s="104"/>
      <c r="X87" s="105"/>
      <c r="Y87" s="106"/>
      <c r="Z87" s="104"/>
      <c r="AA87" s="105"/>
      <c r="AB87" s="106"/>
      <c r="AC87" s="104"/>
      <c r="AD87" s="105"/>
      <c r="AE87" s="107"/>
      <c r="AF87" s="104"/>
      <c r="AG87" s="105"/>
      <c r="AH87" s="106"/>
      <c r="AI87" s="104"/>
      <c r="AJ87" s="105"/>
      <c r="AK87" s="107"/>
      <c r="AL87" s="104"/>
      <c r="AM87" s="105"/>
      <c r="AN87" s="107"/>
      <c r="AO87" s="104"/>
      <c r="AP87" s="105"/>
      <c r="AQ87" s="107"/>
      <c r="AR87" s="104"/>
      <c r="AS87" s="105"/>
      <c r="AT87" s="107"/>
      <c r="AU87" s="104"/>
      <c r="AV87" s="24"/>
      <c r="BA87" s="26"/>
      <c r="BB87" s="27"/>
      <c r="BM87" s="26"/>
      <c r="BN87" s="27"/>
      <c r="BP87" s="26"/>
      <c r="BQ87" s="27"/>
      <c r="BY87" s="26"/>
      <c r="BZ87" s="27"/>
    </row>
    <row r="88" spans="2:78" s="25" customFormat="1" ht="120" customHeight="1">
      <c r="B88" s="109" t="s">
        <v>112</v>
      </c>
      <c r="C88" s="29" t="s">
        <v>124</v>
      </c>
      <c r="D88" s="30" t="s">
        <v>228</v>
      </c>
      <c r="E88" s="31" t="s">
        <v>175</v>
      </c>
      <c r="F88" s="32">
        <f>+Q88+T88+W88+Z88+AC88+AF88+AI88+AL88+AO88+AR88+AU88</f>
        <v>2158</v>
      </c>
      <c r="G88" s="33">
        <v>35917</v>
      </c>
      <c r="H88" s="22">
        <f t="shared" si="48"/>
        <v>77508886</v>
      </c>
      <c r="I88" s="21"/>
      <c r="J88" s="22">
        <f t="shared" si="10"/>
        <v>7150.8993535242253</v>
      </c>
      <c r="K88" s="22">
        <f t="shared" si="11"/>
        <v>359.17</v>
      </c>
      <c r="L88" s="22">
        <f>+IF(F88=0,"",IFERROR($L$5*G88,""))</f>
        <v>1436.68</v>
      </c>
      <c r="M88" s="23"/>
      <c r="N88" s="34">
        <f t="shared" si="26"/>
        <v>44863.749353524225</v>
      </c>
      <c r="O88" s="22">
        <f t="shared" si="27"/>
        <v>96815971.104905277</v>
      </c>
      <c r="P88" s="6"/>
      <c r="Q88" s="104">
        <f>55+40</f>
        <v>95</v>
      </c>
      <c r="R88" s="105">
        <f t="shared" si="36"/>
        <v>3412115</v>
      </c>
      <c r="S88" s="106"/>
      <c r="T88" s="104">
        <v>180</v>
      </c>
      <c r="U88" s="105">
        <f t="shared" si="37"/>
        <v>6465060</v>
      </c>
      <c r="V88" s="106"/>
      <c r="W88" s="104">
        <v>190</v>
      </c>
      <c r="X88" s="105">
        <f t="shared" si="47"/>
        <v>6824230</v>
      </c>
      <c r="Y88" s="106"/>
      <c r="Z88" s="104">
        <v>250</v>
      </c>
      <c r="AA88" s="105">
        <f t="shared" si="43"/>
        <v>8979250</v>
      </c>
      <c r="AB88" s="106"/>
      <c r="AC88" s="104">
        <v>100</v>
      </c>
      <c r="AD88" s="105">
        <f t="shared" si="38"/>
        <v>3591700</v>
      </c>
      <c r="AE88" s="107"/>
      <c r="AF88" s="104">
        <v>200</v>
      </c>
      <c r="AG88" s="105">
        <f t="shared" si="39"/>
        <v>7183400</v>
      </c>
      <c r="AH88" s="106"/>
      <c r="AI88" s="104">
        <f>34+20+20+34+50</f>
        <v>158</v>
      </c>
      <c r="AJ88" s="105">
        <f t="shared" si="40"/>
        <v>5674886</v>
      </c>
      <c r="AK88" s="107"/>
      <c r="AL88" s="104">
        <v>230</v>
      </c>
      <c r="AM88" s="105">
        <f t="shared" si="44"/>
        <v>8260910</v>
      </c>
      <c r="AN88" s="107"/>
      <c r="AO88" s="104">
        <v>200</v>
      </c>
      <c r="AP88" s="105">
        <f t="shared" si="41"/>
        <v>7183400</v>
      </c>
      <c r="AQ88" s="107"/>
      <c r="AR88" s="104">
        <f>30+20+20+1.5*30+120</f>
        <v>235</v>
      </c>
      <c r="AS88" s="105">
        <f t="shared" si="45"/>
        <v>8440495</v>
      </c>
      <c r="AT88" s="107"/>
      <c r="AU88" s="104">
        <v>320</v>
      </c>
      <c r="AV88" s="24">
        <f t="shared" si="46"/>
        <v>11493440</v>
      </c>
      <c r="BA88" s="26"/>
      <c r="BB88" s="27"/>
      <c r="BM88" s="26"/>
      <c r="BN88" s="27"/>
      <c r="BP88" s="26"/>
      <c r="BQ88" s="27"/>
      <c r="BY88" s="26"/>
      <c r="BZ88" s="27"/>
    </row>
    <row r="89" spans="2:78" s="25" customFormat="1" ht="108" customHeight="1">
      <c r="B89" s="109" t="s">
        <v>113</v>
      </c>
      <c r="C89" s="29" t="s">
        <v>125</v>
      </c>
      <c r="D89" s="30" t="s">
        <v>229</v>
      </c>
      <c r="E89" s="31" t="s">
        <v>167</v>
      </c>
      <c r="F89" s="32">
        <f>+Q89+T89+W89+Z89+AC89+AF89+AI89+AL89+AO89+AR89+AU89</f>
        <v>630</v>
      </c>
      <c r="G89" s="33">
        <v>49637</v>
      </c>
      <c r="H89" s="22">
        <f>+IF(F89=0,"",IFERROR(F89*G89,""))</f>
        <v>31271310</v>
      </c>
      <c r="I89" s="21"/>
      <c r="J89" s="22">
        <f>+IF(F89=0,"",IFERROR($J$5*G89,""))</f>
        <v>9882.4843726057843</v>
      </c>
      <c r="K89" s="22">
        <f t="shared" si="11"/>
        <v>496.37</v>
      </c>
      <c r="L89" s="22">
        <f>+IF(F89=0,"",IFERROR($L$5*G89,""))</f>
        <v>1985.48</v>
      </c>
      <c r="M89" s="23"/>
      <c r="N89" s="34">
        <f t="shared" si="26"/>
        <v>62001.334372605786</v>
      </c>
      <c r="O89" s="22">
        <f t="shared" si="27"/>
        <v>39060840.654741645</v>
      </c>
      <c r="P89" s="6"/>
      <c r="Q89" s="104">
        <v>40</v>
      </c>
      <c r="R89" s="105">
        <f t="shared" si="36"/>
        <v>1985480</v>
      </c>
      <c r="S89" s="106"/>
      <c r="T89" s="104">
        <v>20</v>
      </c>
      <c r="U89" s="105">
        <f t="shared" si="37"/>
        <v>992740</v>
      </c>
      <c r="V89" s="106"/>
      <c r="W89" s="104">
        <v>20</v>
      </c>
      <c r="X89" s="105">
        <f t="shared" si="47"/>
        <v>992740</v>
      </c>
      <c r="Y89" s="106"/>
      <c r="Z89" s="104">
        <v>200</v>
      </c>
      <c r="AA89" s="105">
        <f t="shared" si="43"/>
        <v>9927400</v>
      </c>
      <c r="AB89" s="106"/>
      <c r="AC89" s="104">
        <v>70</v>
      </c>
      <c r="AD89" s="105">
        <f t="shared" si="38"/>
        <v>3474590</v>
      </c>
      <c r="AE89" s="107"/>
      <c r="AF89" s="104">
        <v>100</v>
      </c>
      <c r="AG89" s="105">
        <f t="shared" si="39"/>
        <v>4963700</v>
      </c>
      <c r="AH89" s="106"/>
      <c r="AI89" s="104">
        <v>40</v>
      </c>
      <c r="AJ89" s="105">
        <f t="shared" si="40"/>
        <v>1985480</v>
      </c>
      <c r="AK89" s="107"/>
      <c r="AL89" s="104">
        <v>20</v>
      </c>
      <c r="AM89" s="105">
        <f t="shared" si="44"/>
        <v>992740</v>
      </c>
      <c r="AN89" s="107"/>
      <c r="AO89" s="104">
        <v>40</v>
      </c>
      <c r="AP89" s="105">
        <f t="shared" si="41"/>
        <v>1985480</v>
      </c>
      <c r="AQ89" s="107"/>
      <c r="AR89" s="104">
        <v>80</v>
      </c>
      <c r="AS89" s="105">
        <f t="shared" si="45"/>
        <v>3970960</v>
      </c>
      <c r="AT89" s="107"/>
      <c r="AU89" s="104"/>
      <c r="AV89" s="24" t="str">
        <f t="shared" si="46"/>
        <v/>
      </c>
      <c r="BA89" s="26"/>
      <c r="BB89" s="27"/>
      <c r="BM89" s="26"/>
      <c r="BN89" s="27"/>
      <c r="BP89" s="26"/>
      <c r="BQ89" s="27"/>
      <c r="BY89" s="26"/>
      <c r="BZ89" s="27"/>
    </row>
    <row r="90" spans="2:78" s="25" customFormat="1">
      <c r="B90" s="19">
        <v>9</v>
      </c>
      <c r="C90" s="20" t="s">
        <v>126</v>
      </c>
      <c r="D90" s="99" t="s">
        <v>127</v>
      </c>
      <c r="E90" s="100"/>
      <c r="F90" s="100"/>
      <c r="G90" s="100"/>
      <c r="H90" s="101"/>
      <c r="I90" s="21"/>
      <c r="J90" s="22"/>
      <c r="K90" s="22"/>
      <c r="L90" s="22"/>
      <c r="M90" s="23"/>
      <c r="N90" s="34"/>
      <c r="O90" s="22"/>
      <c r="P90" s="6"/>
      <c r="Q90" s="104"/>
      <c r="R90" s="105"/>
      <c r="S90" s="106"/>
      <c r="T90" s="104"/>
      <c r="U90" s="105"/>
      <c r="V90" s="106"/>
      <c r="W90" s="104"/>
      <c r="X90" s="105"/>
      <c r="Y90" s="106"/>
      <c r="Z90" s="104"/>
      <c r="AA90" s="105"/>
      <c r="AB90" s="106"/>
      <c r="AC90" s="104"/>
      <c r="AD90" s="105"/>
      <c r="AE90" s="107"/>
      <c r="AF90" s="104"/>
      <c r="AG90" s="105"/>
      <c r="AH90" s="106"/>
      <c r="AI90" s="104"/>
      <c r="AJ90" s="105"/>
      <c r="AK90" s="107"/>
      <c r="AL90" s="104"/>
      <c r="AM90" s="105"/>
      <c r="AN90" s="107"/>
      <c r="AO90" s="104"/>
      <c r="AP90" s="105"/>
      <c r="AQ90" s="107"/>
      <c r="AR90" s="104"/>
      <c r="AS90" s="105"/>
      <c r="AT90" s="107"/>
      <c r="AU90" s="104"/>
      <c r="AV90" s="24"/>
      <c r="BA90" s="26"/>
      <c r="BB90" s="27"/>
      <c r="BM90" s="26"/>
      <c r="BN90" s="27"/>
      <c r="BP90" s="26"/>
      <c r="BQ90" s="27"/>
      <c r="BY90" s="26"/>
      <c r="BZ90" s="27"/>
    </row>
    <row r="91" spans="2:78" s="25" customFormat="1">
      <c r="B91" s="36" t="s">
        <v>118</v>
      </c>
      <c r="C91" s="20" t="s">
        <v>128</v>
      </c>
      <c r="D91" s="99" t="s">
        <v>129</v>
      </c>
      <c r="E91" s="100"/>
      <c r="F91" s="100"/>
      <c r="G91" s="100"/>
      <c r="H91" s="101"/>
      <c r="I91" s="21"/>
      <c r="J91" s="22"/>
      <c r="K91" s="22"/>
      <c r="L91" s="22"/>
      <c r="M91" s="23"/>
      <c r="N91" s="34"/>
      <c r="O91" s="22"/>
      <c r="P91" s="6"/>
      <c r="Q91" s="104"/>
      <c r="R91" s="105"/>
      <c r="S91" s="106"/>
      <c r="T91" s="104"/>
      <c r="U91" s="105"/>
      <c r="V91" s="106"/>
      <c r="W91" s="104"/>
      <c r="X91" s="105"/>
      <c r="Y91" s="106"/>
      <c r="Z91" s="104"/>
      <c r="AA91" s="105"/>
      <c r="AB91" s="106"/>
      <c r="AC91" s="104"/>
      <c r="AD91" s="105"/>
      <c r="AE91" s="107"/>
      <c r="AF91" s="104"/>
      <c r="AG91" s="105"/>
      <c r="AH91" s="106"/>
      <c r="AI91" s="104"/>
      <c r="AJ91" s="105"/>
      <c r="AK91" s="107"/>
      <c r="AL91" s="104"/>
      <c r="AM91" s="105"/>
      <c r="AN91" s="107"/>
      <c r="AO91" s="104"/>
      <c r="AP91" s="105"/>
      <c r="AQ91" s="107"/>
      <c r="AR91" s="104"/>
      <c r="AS91" s="105"/>
      <c r="AT91" s="107"/>
      <c r="AU91" s="104"/>
      <c r="AV91" s="24"/>
      <c r="BA91" s="26"/>
      <c r="BB91" s="27"/>
      <c r="BM91" s="26"/>
      <c r="BN91" s="27"/>
      <c r="BP91" s="26"/>
      <c r="BQ91" s="27"/>
      <c r="BY91" s="26"/>
      <c r="BZ91" s="27"/>
    </row>
    <row r="92" spans="2:78" s="25" customFormat="1" ht="127.9" customHeight="1">
      <c r="B92" s="109" t="s">
        <v>120</v>
      </c>
      <c r="C92" s="29" t="s">
        <v>130</v>
      </c>
      <c r="D92" s="30" t="s">
        <v>230</v>
      </c>
      <c r="E92" s="31" t="s">
        <v>231</v>
      </c>
      <c r="F92" s="32">
        <f>+Q92+T92+W92+Z92+AC92+AF92+AI92+AL92+AO92+AR92+AU92</f>
        <v>75</v>
      </c>
      <c r="G92" s="33">
        <v>209414</v>
      </c>
      <c r="H92" s="22">
        <f t="shared" si="48"/>
        <v>15706050</v>
      </c>
      <c r="I92" s="21"/>
      <c r="J92" s="22">
        <f t="shared" si="10"/>
        <v>41693.305042707412</v>
      </c>
      <c r="K92" s="22">
        <f t="shared" si="11"/>
        <v>2094.14</v>
      </c>
      <c r="L92" s="22">
        <f>+IF(F92=0,"",IFERROR($L$5*G92,""))</f>
        <v>8376.56</v>
      </c>
      <c r="M92" s="23"/>
      <c r="N92" s="34">
        <f t="shared" si="26"/>
        <v>261578.0050427074</v>
      </c>
      <c r="O92" s="22">
        <f t="shared" si="27"/>
        <v>19618350.378203057</v>
      </c>
      <c r="P92" s="6"/>
      <c r="Q92" s="104">
        <v>5</v>
      </c>
      <c r="R92" s="105">
        <f t="shared" si="36"/>
        <v>1047070</v>
      </c>
      <c r="S92" s="106"/>
      <c r="T92" s="104">
        <v>5</v>
      </c>
      <c r="U92" s="105">
        <f t="shared" si="37"/>
        <v>1047070</v>
      </c>
      <c r="V92" s="106"/>
      <c r="W92" s="104">
        <v>10</v>
      </c>
      <c r="X92" s="105">
        <f t="shared" si="47"/>
        <v>2094140</v>
      </c>
      <c r="Y92" s="106"/>
      <c r="Z92" s="104">
        <v>2</v>
      </c>
      <c r="AA92" s="105">
        <f t="shared" si="43"/>
        <v>418828</v>
      </c>
      <c r="AB92" s="106"/>
      <c r="AC92" s="104"/>
      <c r="AD92" s="105" t="str">
        <f t="shared" si="38"/>
        <v/>
      </c>
      <c r="AE92" s="107"/>
      <c r="AF92" s="104">
        <v>5</v>
      </c>
      <c r="AG92" s="105">
        <f t="shared" si="39"/>
        <v>1047070</v>
      </c>
      <c r="AH92" s="106"/>
      <c r="AI92" s="104">
        <v>15</v>
      </c>
      <c r="AJ92" s="105">
        <f t="shared" si="40"/>
        <v>3141210</v>
      </c>
      <c r="AK92" s="107"/>
      <c r="AL92" s="104">
        <v>5</v>
      </c>
      <c r="AM92" s="105">
        <f t="shared" si="44"/>
        <v>1047070</v>
      </c>
      <c r="AN92" s="107"/>
      <c r="AO92" s="104">
        <v>20</v>
      </c>
      <c r="AP92" s="105">
        <f t="shared" si="41"/>
        <v>4188280</v>
      </c>
      <c r="AQ92" s="107"/>
      <c r="AR92" s="104">
        <v>8</v>
      </c>
      <c r="AS92" s="105">
        <f t="shared" si="45"/>
        <v>1675312</v>
      </c>
      <c r="AT92" s="107"/>
      <c r="AU92" s="104"/>
      <c r="AV92" s="24" t="str">
        <f t="shared" si="46"/>
        <v/>
      </c>
      <c r="BA92" s="26"/>
      <c r="BB92" s="27"/>
      <c r="BM92" s="26"/>
      <c r="BN92" s="27"/>
      <c r="BP92" s="26"/>
      <c r="BQ92" s="27"/>
      <c r="BY92" s="26"/>
      <c r="BZ92" s="27"/>
    </row>
    <row r="93" spans="2:78" s="25" customFormat="1" ht="54" customHeight="1">
      <c r="B93" s="109" t="s">
        <v>121</v>
      </c>
      <c r="C93" s="29" t="s">
        <v>131</v>
      </c>
      <c r="D93" s="30" t="s">
        <v>232</v>
      </c>
      <c r="E93" s="31" t="s">
        <v>233</v>
      </c>
      <c r="F93" s="32">
        <f>+Q93+T93+W93+Z93+AC93+AF93+AI93+AL93+AO93+AR93+AU93</f>
        <v>9</v>
      </c>
      <c r="G93" s="33">
        <v>538243</v>
      </c>
      <c r="H93" s="22">
        <f t="shared" si="48"/>
        <v>4844187</v>
      </c>
      <c r="I93" s="21"/>
      <c r="J93" s="22">
        <f t="shared" si="10"/>
        <v>107161.55360244284</v>
      </c>
      <c r="K93" s="22">
        <f t="shared" si="11"/>
        <v>5382.43</v>
      </c>
      <c r="L93" s="22">
        <f>+IF(F93=0,"",IFERROR($L$5*G93,""))</f>
        <v>21529.72</v>
      </c>
      <c r="M93" s="23"/>
      <c r="N93" s="34">
        <f t="shared" si="26"/>
        <v>672316.70360244287</v>
      </c>
      <c r="O93" s="22">
        <f t="shared" si="27"/>
        <v>6050850.3324219855</v>
      </c>
      <c r="P93" s="6"/>
      <c r="Q93" s="104"/>
      <c r="R93" s="105" t="str">
        <f t="shared" si="36"/>
        <v/>
      </c>
      <c r="S93" s="106"/>
      <c r="T93" s="104"/>
      <c r="U93" s="105" t="str">
        <f t="shared" si="37"/>
        <v/>
      </c>
      <c r="V93" s="106"/>
      <c r="W93" s="104"/>
      <c r="X93" s="105" t="str">
        <f t="shared" si="47"/>
        <v/>
      </c>
      <c r="Y93" s="106"/>
      <c r="Z93" s="104"/>
      <c r="AA93" s="105" t="str">
        <f t="shared" si="43"/>
        <v/>
      </c>
      <c r="AB93" s="106"/>
      <c r="AC93" s="104"/>
      <c r="AD93" s="105" t="str">
        <f t="shared" si="38"/>
        <v/>
      </c>
      <c r="AE93" s="107"/>
      <c r="AF93" s="104"/>
      <c r="AG93" s="105" t="str">
        <f t="shared" si="39"/>
        <v/>
      </c>
      <c r="AH93" s="106"/>
      <c r="AI93" s="104">
        <v>3</v>
      </c>
      <c r="AJ93" s="105">
        <f t="shared" si="40"/>
        <v>1614729</v>
      </c>
      <c r="AK93" s="107"/>
      <c r="AL93" s="104">
        <v>4</v>
      </c>
      <c r="AM93" s="105">
        <f t="shared" si="44"/>
        <v>2152972</v>
      </c>
      <c r="AN93" s="107"/>
      <c r="AO93" s="104">
        <v>2</v>
      </c>
      <c r="AP93" s="105">
        <f t="shared" si="41"/>
        <v>1076486</v>
      </c>
      <c r="AQ93" s="107"/>
      <c r="AR93" s="104"/>
      <c r="AS93" s="105" t="str">
        <f t="shared" si="45"/>
        <v/>
      </c>
      <c r="AT93" s="107"/>
      <c r="AU93" s="104"/>
      <c r="AV93" s="24" t="str">
        <f t="shared" si="46"/>
        <v/>
      </c>
      <c r="BA93" s="26"/>
      <c r="BB93" s="27"/>
      <c r="BM93" s="26"/>
      <c r="BN93" s="27"/>
      <c r="BP93" s="26"/>
      <c r="BQ93" s="27"/>
      <c r="BY93" s="26"/>
      <c r="BZ93" s="27"/>
    </row>
    <row r="94" spans="2:78" s="25" customFormat="1">
      <c r="B94" s="36" t="s">
        <v>122</v>
      </c>
      <c r="C94" s="20" t="s">
        <v>132</v>
      </c>
      <c r="D94" s="99" t="s">
        <v>133</v>
      </c>
      <c r="E94" s="100"/>
      <c r="F94" s="100"/>
      <c r="G94" s="100"/>
      <c r="H94" s="101"/>
      <c r="I94" s="21"/>
      <c r="J94" s="22"/>
      <c r="K94" s="22"/>
      <c r="L94" s="22"/>
      <c r="M94" s="23"/>
      <c r="N94" s="34"/>
      <c r="O94" s="22"/>
      <c r="P94" s="6"/>
      <c r="Q94" s="104"/>
      <c r="R94" s="105"/>
      <c r="S94" s="106"/>
      <c r="T94" s="104"/>
      <c r="U94" s="105"/>
      <c r="V94" s="106"/>
      <c r="W94" s="104"/>
      <c r="X94" s="105"/>
      <c r="Y94" s="106"/>
      <c r="Z94" s="104"/>
      <c r="AA94" s="105"/>
      <c r="AB94" s="106"/>
      <c r="AC94" s="104"/>
      <c r="AD94" s="105"/>
      <c r="AE94" s="107"/>
      <c r="AF94" s="104"/>
      <c r="AG94" s="105"/>
      <c r="AH94" s="106"/>
      <c r="AI94" s="104"/>
      <c r="AJ94" s="105"/>
      <c r="AK94" s="107"/>
      <c r="AL94" s="104"/>
      <c r="AM94" s="105"/>
      <c r="AN94" s="107"/>
      <c r="AO94" s="104"/>
      <c r="AP94" s="105"/>
      <c r="AQ94" s="107"/>
      <c r="AR94" s="104"/>
      <c r="AS94" s="105"/>
      <c r="AT94" s="107"/>
      <c r="AU94" s="104"/>
      <c r="AV94" s="24"/>
      <c r="BA94" s="26"/>
      <c r="BB94" s="27"/>
      <c r="BM94" s="26"/>
      <c r="BN94" s="27"/>
      <c r="BP94" s="26"/>
      <c r="BQ94" s="27"/>
      <c r="BY94" s="26"/>
      <c r="BZ94" s="27"/>
    </row>
    <row r="95" spans="2:78" s="25" customFormat="1" ht="184.15" customHeight="1">
      <c r="B95" s="109" t="s">
        <v>124</v>
      </c>
      <c r="C95" s="29" t="s">
        <v>134</v>
      </c>
      <c r="D95" s="30" t="s">
        <v>234</v>
      </c>
      <c r="E95" s="31" t="s">
        <v>177</v>
      </c>
      <c r="F95" s="32">
        <f>+Q95+T95+W95+Z95+AC95+AF95+AI95+AL95+AO95+AR95+AU95</f>
        <v>11</v>
      </c>
      <c r="G95" s="33">
        <v>822019</v>
      </c>
      <c r="H95" s="22">
        <f t="shared" si="48"/>
        <v>9042209</v>
      </c>
      <c r="I95" s="21"/>
      <c r="J95" s="22">
        <f t="shared" si="10"/>
        <v>163659.9698105251</v>
      </c>
      <c r="K95" s="22">
        <f t="shared" si="11"/>
        <v>8220.19</v>
      </c>
      <c r="L95" s="22">
        <f>+IF(F95=0,"",IFERROR($L$5*G95,""))</f>
        <v>32880.76</v>
      </c>
      <c r="M95" s="23"/>
      <c r="N95" s="34">
        <f t="shared" ref="N95:N110" si="54">+IF(F95=0,"",IFERROR(L95+K95+J95+G95,""))</f>
        <v>1026779.9198105251</v>
      </c>
      <c r="O95" s="22">
        <f t="shared" ref="O95:O111" si="55">+IF(F95=0,"",IFERROR(F95*N95,""))</f>
        <v>11294579.117915776</v>
      </c>
      <c r="P95" s="6"/>
      <c r="Q95" s="104">
        <v>1</v>
      </c>
      <c r="R95" s="105">
        <f t="shared" si="36"/>
        <v>822019</v>
      </c>
      <c r="S95" s="106"/>
      <c r="T95" s="104">
        <v>1</v>
      </c>
      <c r="U95" s="105">
        <f t="shared" si="37"/>
        <v>822019</v>
      </c>
      <c r="V95" s="106"/>
      <c r="W95" s="104">
        <v>1</v>
      </c>
      <c r="X95" s="105">
        <f t="shared" si="47"/>
        <v>822019</v>
      </c>
      <c r="Y95" s="106"/>
      <c r="Z95" s="104">
        <v>1</v>
      </c>
      <c r="AA95" s="105">
        <f t="shared" si="43"/>
        <v>822019</v>
      </c>
      <c r="AB95" s="106"/>
      <c r="AC95" s="104">
        <v>1</v>
      </c>
      <c r="AD95" s="105">
        <f t="shared" si="38"/>
        <v>822019</v>
      </c>
      <c r="AE95" s="107"/>
      <c r="AF95" s="104">
        <v>1</v>
      </c>
      <c r="AG95" s="105">
        <f t="shared" si="39"/>
        <v>822019</v>
      </c>
      <c r="AH95" s="106"/>
      <c r="AI95" s="104">
        <v>1</v>
      </c>
      <c r="AJ95" s="105">
        <f t="shared" si="40"/>
        <v>822019</v>
      </c>
      <c r="AK95" s="107"/>
      <c r="AL95" s="104">
        <v>1</v>
      </c>
      <c r="AM95" s="105">
        <f t="shared" si="44"/>
        <v>822019</v>
      </c>
      <c r="AN95" s="107"/>
      <c r="AO95" s="104">
        <v>1</v>
      </c>
      <c r="AP95" s="105">
        <f t="shared" si="41"/>
        <v>822019</v>
      </c>
      <c r="AQ95" s="107"/>
      <c r="AR95" s="104">
        <v>1</v>
      </c>
      <c r="AS95" s="105">
        <f t="shared" si="45"/>
        <v>822019</v>
      </c>
      <c r="AT95" s="107"/>
      <c r="AU95" s="104">
        <v>1</v>
      </c>
      <c r="AV95" s="24">
        <f t="shared" si="46"/>
        <v>822019</v>
      </c>
      <c r="BA95" s="26"/>
      <c r="BB95" s="27"/>
      <c r="BM95" s="26"/>
      <c r="BN95" s="27"/>
      <c r="BP95" s="26"/>
      <c r="BQ95" s="27"/>
      <c r="BY95" s="26"/>
      <c r="BZ95" s="27"/>
    </row>
    <row r="96" spans="2:78" s="25" customFormat="1" ht="81" customHeight="1">
      <c r="B96" s="109" t="s">
        <v>125</v>
      </c>
      <c r="C96" s="29" t="s">
        <v>135</v>
      </c>
      <c r="D96" s="30" t="s">
        <v>235</v>
      </c>
      <c r="E96" s="31" t="s">
        <v>236</v>
      </c>
      <c r="F96" s="32">
        <f>+Q96+T96+W96+Z96+AC96+AF96+AI96+AL96+AO96+AR96+AU96</f>
        <v>2328</v>
      </c>
      <c r="G96" s="33">
        <v>8510</v>
      </c>
      <c r="H96" s="22">
        <f t="shared" si="48"/>
        <v>19811280</v>
      </c>
      <c r="I96" s="21"/>
      <c r="J96" s="22">
        <f t="shared" si="10"/>
        <v>1694.2994542553986</v>
      </c>
      <c r="K96" s="22">
        <f t="shared" si="11"/>
        <v>85.100000000000009</v>
      </c>
      <c r="L96" s="22">
        <f>+IF(F96=0,"",IFERROR($L$5*G96,""))</f>
        <v>340.40000000000003</v>
      </c>
      <c r="M96" s="23"/>
      <c r="N96" s="34">
        <f t="shared" si="54"/>
        <v>10629.799454255399</v>
      </c>
      <c r="O96" s="22">
        <f t="shared" si="55"/>
        <v>24746173.129506569</v>
      </c>
      <c r="P96" s="6"/>
      <c r="Q96" s="104">
        <v>150</v>
      </c>
      <c r="R96" s="105">
        <f t="shared" si="36"/>
        <v>1276500</v>
      </c>
      <c r="S96" s="106"/>
      <c r="T96" s="104">
        <v>150</v>
      </c>
      <c r="U96" s="105">
        <f t="shared" si="37"/>
        <v>1276500</v>
      </c>
      <c r="V96" s="106"/>
      <c r="W96" s="104">
        <v>150</v>
      </c>
      <c r="X96" s="105">
        <f t="shared" si="47"/>
        <v>1276500</v>
      </c>
      <c r="Y96" s="106"/>
      <c r="Z96" s="104">
        <v>150</v>
      </c>
      <c r="AA96" s="105">
        <f t="shared" si="43"/>
        <v>1276500</v>
      </c>
      <c r="AB96" s="106"/>
      <c r="AC96" s="104">
        <v>150</v>
      </c>
      <c r="AD96" s="105">
        <f t="shared" si="38"/>
        <v>1276500</v>
      </c>
      <c r="AE96" s="107"/>
      <c r="AF96" s="104">
        <v>150</v>
      </c>
      <c r="AG96" s="105">
        <f t="shared" si="39"/>
        <v>1276500</v>
      </c>
      <c r="AH96" s="106"/>
      <c r="AI96" s="104">
        <v>150</v>
      </c>
      <c r="AJ96" s="105">
        <f t="shared" si="40"/>
        <v>1276500</v>
      </c>
      <c r="AK96" s="107"/>
      <c r="AL96" s="104">
        <v>150</v>
      </c>
      <c r="AM96" s="105">
        <f t="shared" si="44"/>
        <v>1276500</v>
      </c>
      <c r="AN96" s="107"/>
      <c r="AO96" s="104">
        <f>450+278</f>
        <v>728</v>
      </c>
      <c r="AP96" s="105">
        <f t="shared" si="41"/>
        <v>6195280</v>
      </c>
      <c r="AQ96" s="107"/>
      <c r="AR96" s="104">
        <v>150</v>
      </c>
      <c r="AS96" s="105">
        <f t="shared" si="45"/>
        <v>1276500</v>
      </c>
      <c r="AT96" s="107"/>
      <c r="AU96" s="104">
        <v>250</v>
      </c>
      <c r="AV96" s="24">
        <f t="shared" si="46"/>
        <v>2127500</v>
      </c>
      <c r="BA96" s="26"/>
      <c r="BB96" s="27"/>
      <c r="BM96" s="26"/>
      <c r="BN96" s="27"/>
      <c r="BP96" s="26"/>
      <c r="BQ96" s="27"/>
      <c r="BY96" s="26"/>
      <c r="BZ96" s="27"/>
    </row>
    <row r="97" spans="2:78" s="25" customFormat="1">
      <c r="B97" s="19">
        <v>10</v>
      </c>
      <c r="C97" s="20" t="s">
        <v>136</v>
      </c>
      <c r="D97" s="99" t="s">
        <v>137</v>
      </c>
      <c r="E97" s="100"/>
      <c r="F97" s="100"/>
      <c r="G97" s="100"/>
      <c r="H97" s="101"/>
      <c r="I97" s="21"/>
      <c r="J97" s="22"/>
      <c r="K97" s="22"/>
      <c r="L97" s="22"/>
      <c r="M97" s="23"/>
      <c r="N97" s="34"/>
      <c r="O97" s="22"/>
      <c r="P97" s="6"/>
      <c r="Q97" s="104"/>
      <c r="R97" s="105"/>
      <c r="S97" s="106"/>
      <c r="T97" s="104"/>
      <c r="U97" s="105"/>
      <c r="V97" s="106"/>
      <c r="W97" s="104"/>
      <c r="X97" s="105"/>
      <c r="Y97" s="106"/>
      <c r="Z97" s="104"/>
      <c r="AA97" s="105"/>
      <c r="AB97" s="106"/>
      <c r="AC97" s="104"/>
      <c r="AD97" s="105"/>
      <c r="AE97" s="107"/>
      <c r="AF97" s="104"/>
      <c r="AG97" s="105"/>
      <c r="AH97" s="106"/>
      <c r="AI97" s="104"/>
      <c r="AJ97" s="105"/>
      <c r="AK97" s="107"/>
      <c r="AL97" s="104"/>
      <c r="AM97" s="105"/>
      <c r="AN97" s="107"/>
      <c r="AO97" s="104"/>
      <c r="AP97" s="105"/>
      <c r="AQ97" s="107"/>
      <c r="AR97" s="104"/>
      <c r="AS97" s="105"/>
      <c r="AT97" s="107"/>
      <c r="AU97" s="104"/>
      <c r="AV97" s="24"/>
      <c r="BA97" s="26"/>
      <c r="BB97" s="27"/>
      <c r="BM97" s="26"/>
      <c r="BN97" s="27"/>
      <c r="BP97" s="26"/>
      <c r="BQ97" s="27"/>
      <c r="BY97" s="26"/>
      <c r="BZ97" s="27"/>
    </row>
    <row r="98" spans="2:78" s="25" customFormat="1">
      <c r="B98" s="36" t="s">
        <v>128</v>
      </c>
      <c r="C98" s="20" t="s">
        <v>138</v>
      </c>
      <c r="D98" s="99" t="s">
        <v>139</v>
      </c>
      <c r="E98" s="100"/>
      <c r="F98" s="100"/>
      <c r="G98" s="100"/>
      <c r="H98" s="101"/>
      <c r="I98" s="21"/>
      <c r="J98" s="22"/>
      <c r="K98" s="22"/>
      <c r="L98" s="22"/>
      <c r="M98" s="23"/>
      <c r="N98" s="34"/>
      <c r="O98" s="22"/>
      <c r="P98" s="6"/>
      <c r="Q98" s="104"/>
      <c r="R98" s="105"/>
      <c r="S98" s="106"/>
      <c r="T98" s="104"/>
      <c r="U98" s="105"/>
      <c r="V98" s="106"/>
      <c r="W98" s="104"/>
      <c r="X98" s="105"/>
      <c r="Y98" s="106"/>
      <c r="Z98" s="104"/>
      <c r="AA98" s="105"/>
      <c r="AB98" s="106"/>
      <c r="AC98" s="104"/>
      <c r="AD98" s="105"/>
      <c r="AE98" s="107"/>
      <c r="AF98" s="104"/>
      <c r="AG98" s="105"/>
      <c r="AH98" s="106"/>
      <c r="AI98" s="104"/>
      <c r="AJ98" s="105"/>
      <c r="AK98" s="107"/>
      <c r="AL98" s="104"/>
      <c r="AM98" s="105"/>
      <c r="AN98" s="107"/>
      <c r="AO98" s="104"/>
      <c r="AP98" s="105"/>
      <c r="AQ98" s="107"/>
      <c r="AR98" s="104"/>
      <c r="AS98" s="105"/>
      <c r="AT98" s="107"/>
      <c r="AU98" s="104"/>
      <c r="AV98" s="24"/>
      <c r="BA98" s="26"/>
      <c r="BB98" s="27"/>
      <c r="BM98" s="26"/>
      <c r="BN98" s="27"/>
      <c r="BP98" s="26"/>
      <c r="BQ98" s="27"/>
      <c r="BY98" s="26"/>
      <c r="BZ98" s="27"/>
    </row>
    <row r="99" spans="2:78" s="25" customFormat="1" ht="114" customHeight="1">
      <c r="B99" s="109" t="s">
        <v>130</v>
      </c>
      <c r="C99" s="29" t="s">
        <v>140</v>
      </c>
      <c r="D99" s="30" t="s">
        <v>237</v>
      </c>
      <c r="E99" s="31" t="s">
        <v>177</v>
      </c>
      <c r="F99" s="32">
        <f>+Q99+T99+W99+Z99+AC99+AF99+AI99+AL99+AO99+AR99+AU99</f>
        <v>88</v>
      </c>
      <c r="G99" s="33">
        <v>471824</v>
      </c>
      <c r="H99" s="22">
        <f t="shared" si="48"/>
        <v>41520512</v>
      </c>
      <c r="I99" s="21"/>
      <c r="J99" s="22">
        <f t="shared" ref="J99:J110" si="56">+IF(F99=0,"",IFERROR($J$5*G99,""))</f>
        <v>93937.854959412361</v>
      </c>
      <c r="K99" s="22">
        <f t="shared" ref="K99:K111" si="57">+IF(F99=0,"",IFERROR($K$5*G99,""))</f>
        <v>4718.24</v>
      </c>
      <c r="L99" s="22">
        <f>+IF(F99=0,"",IFERROR($L$5*G99,""))</f>
        <v>18872.96</v>
      </c>
      <c r="M99" s="23"/>
      <c r="N99" s="34">
        <f t="shared" si="54"/>
        <v>589353.05495941231</v>
      </c>
      <c r="O99" s="22">
        <f t="shared" si="55"/>
        <v>51863068.836428285</v>
      </c>
      <c r="P99" s="6"/>
      <c r="Q99" s="104">
        <v>8</v>
      </c>
      <c r="R99" s="105">
        <f t="shared" si="36"/>
        <v>3774592</v>
      </c>
      <c r="S99" s="106"/>
      <c r="T99" s="104">
        <v>8</v>
      </c>
      <c r="U99" s="105">
        <f t="shared" si="37"/>
        <v>3774592</v>
      </c>
      <c r="V99" s="106"/>
      <c r="W99" s="104">
        <v>8</v>
      </c>
      <c r="X99" s="105">
        <f t="shared" si="47"/>
        <v>3774592</v>
      </c>
      <c r="Y99" s="106"/>
      <c r="Z99" s="104">
        <v>8</v>
      </c>
      <c r="AA99" s="105">
        <f t="shared" si="43"/>
        <v>3774592</v>
      </c>
      <c r="AB99" s="106"/>
      <c r="AC99" s="104">
        <v>8</v>
      </c>
      <c r="AD99" s="105">
        <f t="shared" si="38"/>
        <v>3774592</v>
      </c>
      <c r="AE99" s="107"/>
      <c r="AF99" s="104">
        <v>8</v>
      </c>
      <c r="AG99" s="105">
        <f t="shared" si="39"/>
        <v>3774592</v>
      </c>
      <c r="AH99" s="106"/>
      <c r="AI99" s="104">
        <v>8</v>
      </c>
      <c r="AJ99" s="105">
        <f t="shared" si="40"/>
        <v>3774592</v>
      </c>
      <c r="AK99" s="107"/>
      <c r="AL99" s="104">
        <v>8</v>
      </c>
      <c r="AM99" s="105">
        <f t="shared" si="44"/>
        <v>3774592</v>
      </c>
      <c r="AN99" s="107"/>
      <c r="AO99" s="104">
        <v>8</v>
      </c>
      <c r="AP99" s="105">
        <f t="shared" si="41"/>
        <v>3774592</v>
      </c>
      <c r="AQ99" s="107"/>
      <c r="AR99" s="104">
        <v>8</v>
      </c>
      <c r="AS99" s="105">
        <f t="shared" si="45"/>
        <v>3774592</v>
      </c>
      <c r="AT99" s="107"/>
      <c r="AU99" s="104">
        <v>8</v>
      </c>
      <c r="AV99" s="24">
        <f t="shared" si="46"/>
        <v>3774592</v>
      </c>
      <c r="BA99" s="26"/>
      <c r="BB99" s="27"/>
      <c r="BM99" s="26"/>
      <c r="BN99" s="27"/>
      <c r="BP99" s="26"/>
      <c r="BQ99" s="27"/>
      <c r="BY99" s="26"/>
      <c r="BZ99" s="27"/>
    </row>
    <row r="100" spans="2:78" s="25" customFormat="1" ht="93" customHeight="1">
      <c r="B100" s="109" t="s">
        <v>131</v>
      </c>
      <c r="C100" s="29" t="s">
        <v>141</v>
      </c>
      <c r="D100" s="30" t="s">
        <v>238</v>
      </c>
      <c r="E100" s="31" t="s">
        <v>177</v>
      </c>
      <c r="F100" s="32">
        <f>+Q100+T100+W100+Z100+AC100+AF100+AI100+AL100+AO100+AR100+AU100</f>
        <v>22</v>
      </c>
      <c r="G100" s="33">
        <v>498956</v>
      </c>
      <c r="H100" s="22">
        <f t="shared" si="48"/>
        <v>10977032</v>
      </c>
      <c r="I100" s="21"/>
      <c r="J100" s="22">
        <f t="shared" si="56"/>
        <v>99339.703701228762</v>
      </c>
      <c r="K100" s="22">
        <f t="shared" si="57"/>
        <v>4989.5600000000004</v>
      </c>
      <c r="L100" s="22">
        <f>+IF(F100=0,"",IFERROR($L$5*G100,""))</f>
        <v>19958.240000000002</v>
      </c>
      <c r="M100" s="23"/>
      <c r="N100" s="34">
        <f t="shared" si="54"/>
        <v>623243.50370122876</v>
      </c>
      <c r="O100" s="22">
        <f t="shared" si="55"/>
        <v>13711357.081427032</v>
      </c>
      <c r="P100" s="6"/>
      <c r="Q100" s="104">
        <v>2</v>
      </c>
      <c r="R100" s="105">
        <f t="shared" si="36"/>
        <v>997912</v>
      </c>
      <c r="S100" s="106"/>
      <c r="T100" s="104">
        <v>2</v>
      </c>
      <c r="U100" s="105">
        <f t="shared" si="37"/>
        <v>997912</v>
      </c>
      <c r="V100" s="106"/>
      <c r="W100" s="104">
        <v>2</v>
      </c>
      <c r="X100" s="105">
        <f t="shared" si="47"/>
        <v>997912</v>
      </c>
      <c r="Y100" s="106"/>
      <c r="Z100" s="104">
        <v>2</v>
      </c>
      <c r="AA100" s="105">
        <f t="shared" si="43"/>
        <v>997912</v>
      </c>
      <c r="AB100" s="106"/>
      <c r="AC100" s="104">
        <v>2</v>
      </c>
      <c r="AD100" s="105">
        <f t="shared" si="38"/>
        <v>997912</v>
      </c>
      <c r="AE100" s="107"/>
      <c r="AF100" s="104">
        <v>2</v>
      </c>
      <c r="AG100" s="105">
        <f t="shared" si="39"/>
        <v>997912</v>
      </c>
      <c r="AH100" s="106"/>
      <c r="AI100" s="104">
        <v>2</v>
      </c>
      <c r="AJ100" s="105">
        <f t="shared" si="40"/>
        <v>997912</v>
      </c>
      <c r="AK100" s="107"/>
      <c r="AL100" s="104">
        <v>2</v>
      </c>
      <c r="AM100" s="105">
        <f t="shared" si="44"/>
        <v>997912</v>
      </c>
      <c r="AN100" s="107"/>
      <c r="AO100" s="104">
        <v>2</v>
      </c>
      <c r="AP100" s="105">
        <f t="shared" si="41"/>
        <v>997912</v>
      </c>
      <c r="AQ100" s="107"/>
      <c r="AR100" s="104">
        <v>2</v>
      </c>
      <c r="AS100" s="105">
        <f t="shared" si="45"/>
        <v>997912</v>
      </c>
      <c r="AT100" s="107"/>
      <c r="AU100" s="104">
        <v>2</v>
      </c>
      <c r="AV100" s="24">
        <f t="shared" si="46"/>
        <v>997912</v>
      </c>
      <c r="BA100" s="26"/>
      <c r="BB100" s="27"/>
      <c r="BM100" s="26"/>
      <c r="BN100" s="27"/>
      <c r="BP100" s="26"/>
      <c r="BQ100" s="27"/>
      <c r="BY100" s="26"/>
      <c r="BZ100" s="27"/>
    </row>
    <row r="101" spans="2:78" s="25" customFormat="1" ht="73.150000000000006" customHeight="1">
      <c r="B101" s="109" t="s">
        <v>256</v>
      </c>
      <c r="C101" s="29" t="s">
        <v>142</v>
      </c>
      <c r="D101" s="30" t="s">
        <v>239</v>
      </c>
      <c r="E101" s="31" t="s">
        <v>177</v>
      </c>
      <c r="F101" s="32">
        <f>+Q101+T101+W101+Z101+AC101+AF101+AI101+AL101+AO101+AR101+AU101</f>
        <v>99</v>
      </c>
      <c r="G101" s="33">
        <v>440398</v>
      </c>
      <c r="H101" s="22">
        <f t="shared" si="48"/>
        <v>43599402</v>
      </c>
      <c r="I101" s="21"/>
      <c r="J101" s="22">
        <f t="shared" si="56"/>
        <v>87681.091780865929</v>
      </c>
      <c r="K101" s="22">
        <f t="shared" si="57"/>
        <v>4403.9800000000005</v>
      </c>
      <c r="L101" s="22">
        <f t="shared" ref="L101:L108" si="58">+IF(F101=0,"",IFERROR($L$5*G101,""))</f>
        <v>17615.920000000002</v>
      </c>
      <c r="M101" s="23"/>
      <c r="N101" s="34">
        <f t="shared" si="54"/>
        <v>550098.99178086594</v>
      </c>
      <c r="O101" s="22">
        <f t="shared" si="55"/>
        <v>54459800.186305732</v>
      </c>
      <c r="P101" s="6"/>
      <c r="Q101" s="104">
        <v>9</v>
      </c>
      <c r="R101" s="105">
        <f t="shared" si="36"/>
        <v>3963582</v>
      </c>
      <c r="S101" s="106"/>
      <c r="T101" s="104">
        <v>9</v>
      </c>
      <c r="U101" s="105">
        <f t="shared" si="37"/>
        <v>3963582</v>
      </c>
      <c r="V101" s="106"/>
      <c r="W101" s="104">
        <v>9</v>
      </c>
      <c r="X101" s="105">
        <f t="shared" si="47"/>
        <v>3963582</v>
      </c>
      <c r="Y101" s="106"/>
      <c r="Z101" s="104">
        <v>9</v>
      </c>
      <c r="AA101" s="105">
        <f t="shared" si="43"/>
        <v>3963582</v>
      </c>
      <c r="AB101" s="106"/>
      <c r="AC101" s="104">
        <v>9</v>
      </c>
      <c r="AD101" s="105">
        <f t="shared" si="38"/>
        <v>3963582</v>
      </c>
      <c r="AE101" s="107"/>
      <c r="AF101" s="104">
        <v>9</v>
      </c>
      <c r="AG101" s="105">
        <f t="shared" si="39"/>
        <v>3963582</v>
      </c>
      <c r="AH101" s="106"/>
      <c r="AI101" s="104">
        <v>9</v>
      </c>
      <c r="AJ101" s="105">
        <f t="shared" si="40"/>
        <v>3963582</v>
      </c>
      <c r="AK101" s="107"/>
      <c r="AL101" s="104">
        <v>9</v>
      </c>
      <c r="AM101" s="105">
        <f t="shared" si="44"/>
        <v>3963582</v>
      </c>
      <c r="AN101" s="107"/>
      <c r="AO101" s="104">
        <v>9</v>
      </c>
      <c r="AP101" s="105">
        <f t="shared" si="41"/>
        <v>3963582</v>
      </c>
      <c r="AQ101" s="107"/>
      <c r="AR101" s="104">
        <v>9</v>
      </c>
      <c r="AS101" s="105">
        <f t="shared" si="45"/>
        <v>3963582</v>
      </c>
      <c r="AT101" s="107"/>
      <c r="AU101" s="104">
        <v>9</v>
      </c>
      <c r="AV101" s="24">
        <f t="shared" si="46"/>
        <v>3963582</v>
      </c>
      <c r="BA101" s="26"/>
      <c r="BB101" s="27"/>
      <c r="BM101" s="26"/>
      <c r="BN101" s="27"/>
      <c r="BP101" s="26"/>
      <c r="BQ101" s="27"/>
      <c r="BY101" s="26"/>
      <c r="BZ101" s="27"/>
    </row>
    <row r="102" spans="2:78" s="25" customFormat="1" ht="16.149999999999999" customHeight="1">
      <c r="B102" s="19" t="s">
        <v>132</v>
      </c>
      <c r="C102" s="35" t="s">
        <v>143</v>
      </c>
      <c r="D102" s="99" t="s">
        <v>144</v>
      </c>
      <c r="E102" s="100"/>
      <c r="F102" s="100"/>
      <c r="G102" s="100"/>
      <c r="H102" s="101"/>
      <c r="I102" s="21"/>
      <c r="J102" s="22"/>
      <c r="K102" s="22"/>
      <c r="L102" s="22"/>
      <c r="M102" s="23"/>
      <c r="N102" s="34"/>
      <c r="O102" s="22"/>
      <c r="P102" s="6"/>
      <c r="Q102" s="104"/>
      <c r="R102" s="105"/>
      <c r="S102" s="106"/>
      <c r="T102" s="104"/>
      <c r="U102" s="105"/>
      <c r="V102" s="106"/>
      <c r="W102" s="104"/>
      <c r="X102" s="105"/>
      <c r="Y102" s="106"/>
      <c r="Z102" s="104"/>
      <c r="AA102" s="105"/>
      <c r="AB102" s="106"/>
      <c r="AC102" s="104"/>
      <c r="AD102" s="105"/>
      <c r="AE102" s="107"/>
      <c r="AF102" s="104"/>
      <c r="AG102" s="105"/>
      <c r="AH102" s="106"/>
      <c r="AI102" s="104"/>
      <c r="AJ102" s="105"/>
      <c r="AK102" s="107"/>
      <c r="AL102" s="104"/>
      <c r="AM102" s="105"/>
      <c r="AN102" s="107"/>
      <c r="AO102" s="104"/>
      <c r="AP102" s="105"/>
      <c r="AQ102" s="107"/>
      <c r="AR102" s="104"/>
      <c r="AS102" s="105"/>
      <c r="AT102" s="107"/>
      <c r="AU102" s="104"/>
      <c r="AV102" s="24"/>
      <c r="BA102" s="26"/>
      <c r="BB102" s="27"/>
      <c r="BM102" s="26"/>
      <c r="BN102" s="27"/>
      <c r="BP102" s="26"/>
      <c r="BQ102" s="27"/>
      <c r="BY102" s="26"/>
      <c r="BZ102" s="27"/>
    </row>
    <row r="103" spans="2:78" s="25" customFormat="1" ht="91.15" customHeight="1">
      <c r="B103" s="109" t="s">
        <v>134</v>
      </c>
      <c r="C103" s="29" t="s">
        <v>145</v>
      </c>
      <c r="D103" s="30" t="s">
        <v>240</v>
      </c>
      <c r="E103" s="31" t="s">
        <v>177</v>
      </c>
      <c r="F103" s="32">
        <f>+Q103+T103+W103+Z103+AC103+AF103+AI103+AL103+AO103+AR103+AU103</f>
        <v>11</v>
      </c>
      <c r="G103" s="33">
        <v>455677</v>
      </c>
      <c r="H103" s="22">
        <f t="shared" si="48"/>
        <v>5012447</v>
      </c>
      <c r="I103" s="21"/>
      <c r="J103" s="22">
        <f t="shared" si="56"/>
        <v>90723.066088923297</v>
      </c>
      <c r="K103" s="22">
        <f t="shared" si="57"/>
        <v>4556.7700000000004</v>
      </c>
      <c r="L103" s="22">
        <f t="shared" si="58"/>
        <v>18227.080000000002</v>
      </c>
      <c r="M103" s="23"/>
      <c r="N103" s="34">
        <f t="shared" si="54"/>
        <v>569183.91608892335</v>
      </c>
      <c r="O103" s="22">
        <f t="shared" si="55"/>
        <v>6261023.0769781563</v>
      </c>
      <c r="P103" s="6"/>
      <c r="Q103" s="104">
        <v>1</v>
      </c>
      <c r="R103" s="105">
        <f t="shared" si="36"/>
        <v>455677</v>
      </c>
      <c r="S103" s="106"/>
      <c r="T103" s="104">
        <v>1</v>
      </c>
      <c r="U103" s="105">
        <f t="shared" si="37"/>
        <v>455677</v>
      </c>
      <c r="V103" s="106"/>
      <c r="W103" s="104">
        <v>1</v>
      </c>
      <c r="X103" s="105">
        <f t="shared" si="47"/>
        <v>455677</v>
      </c>
      <c r="Y103" s="106"/>
      <c r="Z103" s="104">
        <v>1</v>
      </c>
      <c r="AA103" s="105">
        <f t="shared" si="43"/>
        <v>455677</v>
      </c>
      <c r="AB103" s="106"/>
      <c r="AC103" s="104">
        <v>1</v>
      </c>
      <c r="AD103" s="105">
        <f t="shared" si="38"/>
        <v>455677</v>
      </c>
      <c r="AE103" s="107"/>
      <c r="AF103" s="104">
        <v>1</v>
      </c>
      <c r="AG103" s="105">
        <f t="shared" si="39"/>
        <v>455677</v>
      </c>
      <c r="AH103" s="106"/>
      <c r="AI103" s="104">
        <v>1</v>
      </c>
      <c r="AJ103" s="105">
        <f t="shared" si="40"/>
        <v>455677</v>
      </c>
      <c r="AK103" s="107"/>
      <c r="AL103" s="104">
        <v>1</v>
      </c>
      <c r="AM103" s="105">
        <f t="shared" si="44"/>
        <v>455677</v>
      </c>
      <c r="AN103" s="107"/>
      <c r="AO103" s="104">
        <v>1</v>
      </c>
      <c r="AP103" s="105">
        <f t="shared" si="41"/>
        <v>455677</v>
      </c>
      <c r="AQ103" s="107"/>
      <c r="AR103" s="104">
        <v>1</v>
      </c>
      <c r="AS103" s="105">
        <f t="shared" si="45"/>
        <v>455677</v>
      </c>
      <c r="AT103" s="107"/>
      <c r="AU103" s="104">
        <v>1</v>
      </c>
      <c r="AV103" s="24">
        <f t="shared" si="46"/>
        <v>455677</v>
      </c>
      <c r="BA103" s="26"/>
      <c r="BB103" s="27"/>
      <c r="BM103" s="26"/>
      <c r="BN103" s="27"/>
      <c r="BP103" s="26"/>
      <c r="BQ103" s="27"/>
      <c r="BY103" s="26"/>
      <c r="BZ103" s="27"/>
    </row>
    <row r="104" spans="2:78" s="25" customFormat="1">
      <c r="B104" s="37">
        <v>11</v>
      </c>
      <c r="C104" s="38">
        <v>12</v>
      </c>
      <c r="D104" s="102" t="s">
        <v>146</v>
      </c>
      <c r="E104" s="103"/>
      <c r="F104" s="103"/>
      <c r="G104" s="103"/>
      <c r="H104" s="103"/>
      <c r="I104" s="21"/>
      <c r="J104" s="22"/>
      <c r="K104" s="22"/>
      <c r="L104" s="22"/>
      <c r="M104" s="23"/>
      <c r="N104" s="34"/>
      <c r="O104" s="22"/>
      <c r="P104" s="6"/>
      <c r="Q104" s="104"/>
      <c r="R104" s="105"/>
      <c r="S104" s="106"/>
      <c r="T104" s="104"/>
      <c r="U104" s="105"/>
      <c r="V104" s="106"/>
      <c r="W104" s="104"/>
      <c r="X104" s="105"/>
      <c r="Y104" s="106"/>
      <c r="Z104" s="104"/>
      <c r="AA104" s="105"/>
      <c r="AB104" s="106"/>
      <c r="AC104" s="104"/>
      <c r="AD104" s="105"/>
      <c r="AE104" s="107"/>
      <c r="AF104" s="104"/>
      <c r="AG104" s="105"/>
      <c r="AH104" s="106"/>
      <c r="AI104" s="104"/>
      <c r="AJ104" s="105"/>
      <c r="AK104" s="107"/>
      <c r="AL104" s="104"/>
      <c r="AM104" s="105"/>
      <c r="AN104" s="107"/>
      <c r="AO104" s="104"/>
      <c r="AP104" s="105"/>
      <c r="AQ104" s="107"/>
      <c r="AR104" s="104"/>
      <c r="AS104" s="105"/>
      <c r="AT104" s="107"/>
      <c r="AU104" s="104"/>
      <c r="AV104" s="24"/>
      <c r="BA104" s="26"/>
      <c r="BB104" s="27"/>
      <c r="BM104" s="26"/>
      <c r="BN104" s="27"/>
      <c r="BP104" s="26"/>
      <c r="BQ104" s="27"/>
      <c r="BY104" s="26"/>
      <c r="BZ104" s="27"/>
    </row>
    <row r="105" spans="2:78" s="25" customFormat="1">
      <c r="B105" s="37" t="s">
        <v>138</v>
      </c>
      <c r="C105" s="38" t="s">
        <v>147</v>
      </c>
      <c r="D105" s="102" t="s">
        <v>148</v>
      </c>
      <c r="E105" s="103"/>
      <c r="F105" s="103"/>
      <c r="G105" s="103"/>
      <c r="H105" s="103"/>
      <c r="I105" s="21"/>
      <c r="J105" s="22"/>
      <c r="K105" s="22"/>
      <c r="L105" s="22"/>
      <c r="M105" s="23"/>
      <c r="N105" s="34"/>
      <c r="O105" s="22"/>
      <c r="P105" s="6"/>
      <c r="Q105" s="104"/>
      <c r="R105" s="105"/>
      <c r="S105" s="106"/>
      <c r="T105" s="104"/>
      <c r="U105" s="105"/>
      <c r="V105" s="106"/>
      <c r="W105" s="104"/>
      <c r="X105" s="105"/>
      <c r="Y105" s="106"/>
      <c r="Z105" s="104"/>
      <c r="AA105" s="105"/>
      <c r="AB105" s="106"/>
      <c r="AC105" s="104"/>
      <c r="AD105" s="105"/>
      <c r="AE105" s="107"/>
      <c r="AF105" s="104"/>
      <c r="AG105" s="105"/>
      <c r="AH105" s="106"/>
      <c r="AI105" s="104"/>
      <c r="AJ105" s="105"/>
      <c r="AK105" s="107"/>
      <c r="AL105" s="104"/>
      <c r="AM105" s="105"/>
      <c r="AN105" s="107"/>
      <c r="AO105" s="104"/>
      <c r="AP105" s="105"/>
      <c r="AQ105" s="107"/>
      <c r="AR105" s="104"/>
      <c r="AS105" s="105"/>
      <c r="AT105" s="107"/>
      <c r="AU105" s="104"/>
      <c r="AV105" s="24"/>
      <c r="BA105" s="26"/>
      <c r="BB105" s="27"/>
      <c r="BM105" s="26"/>
      <c r="BN105" s="27"/>
      <c r="BP105" s="26"/>
      <c r="BQ105" s="27"/>
      <c r="BY105" s="26"/>
      <c r="BZ105" s="27"/>
    </row>
    <row r="106" spans="2:78" s="25" customFormat="1" ht="67.150000000000006" customHeight="1">
      <c r="B106" s="109" t="s">
        <v>140</v>
      </c>
      <c r="C106" s="28" t="s">
        <v>149</v>
      </c>
      <c r="D106" s="30" t="s">
        <v>241</v>
      </c>
      <c r="E106" s="31" t="s">
        <v>167</v>
      </c>
      <c r="F106" s="32">
        <f>+Q106+T106+W106+Z106+AC106+AF106+AI106+AL106+AO106+AR106+AU106</f>
        <v>9</v>
      </c>
      <c r="G106" s="33">
        <v>305376</v>
      </c>
      <c r="H106" s="22">
        <f t="shared" ref="H106:H108" si="59">+IF(F106=0,"",IFERROR(F106*G106,""))</f>
        <v>2748384</v>
      </c>
      <c r="I106" s="21"/>
      <c r="J106" s="22">
        <f t="shared" si="56"/>
        <v>60798.870757073637</v>
      </c>
      <c r="K106" s="22">
        <f t="shared" si="57"/>
        <v>3053.76</v>
      </c>
      <c r="L106" s="22">
        <f t="shared" si="58"/>
        <v>12215.04</v>
      </c>
      <c r="M106" s="23"/>
      <c r="N106" s="34">
        <f t="shared" si="54"/>
        <v>381443.67075707362</v>
      </c>
      <c r="O106" s="22">
        <f t="shared" si="55"/>
        <v>3432993.0368136624</v>
      </c>
      <c r="P106" s="6"/>
      <c r="Q106" s="104"/>
      <c r="R106" s="105" t="str">
        <f t="shared" si="36"/>
        <v/>
      </c>
      <c r="S106" s="106"/>
      <c r="T106" s="104"/>
      <c r="U106" s="105" t="str">
        <f t="shared" si="37"/>
        <v/>
      </c>
      <c r="V106" s="106"/>
      <c r="W106" s="104"/>
      <c r="X106" s="105" t="str">
        <f t="shared" si="47"/>
        <v/>
      </c>
      <c r="Y106" s="106"/>
      <c r="Z106" s="104"/>
      <c r="AA106" s="105" t="str">
        <f t="shared" si="43"/>
        <v/>
      </c>
      <c r="AB106" s="106"/>
      <c r="AC106" s="104"/>
      <c r="AD106" s="105" t="str">
        <f t="shared" si="38"/>
        <v/>
      </c>
      <c r="AE106" s="107"/>
      <c r="AF106" s="104"/>
      <c r="AG106" s="105" t="str">
        <f t="shared" si="39"/>
        <v/>
      </c>
      <c r="AH106" s="106"/>
      <c r="AI106" s="104"/>
      <c r="AJ106" s="105" t="str">
        <f t="shared" si="40"/>
        <v/>
      </c>
      <c r="AK106" s="107"/>
      <c r="AL106" s="104"/>
      <c r="AM106" s="105" t="str">
        <f t="shared" si="44"/>
        <v/>
      </c>
      <c r="AN106" s="107"/>
      <c r="AO106" s="104">
        <v>9</v>
      </c>
      <c r="AP106" s="105">
        <f t="shared" si="41"/>
        <v>2748384</v>
      </c>
      <c r="AQ106" s="107"/>
      <c r="AR106" s="104"/>
      <c r="AS106" s="105" t="str">
        <f t="shared" si="45"/>
        <v/>
      </c>
      <c r="AT106" s="107"/>
      <c r="AU106" s="104"/>
      <c r="AV106" s="24" t="str">
        <f t="shared" si="46"/>
        <v/>
      </c>
      <c r="BA106" s="26"/>
      <c r="BB106" s="27"/>
      <c r="BM106" s="26"/>
      <c r="BN106" s="27"/>
      <c r="BP106" s="26"/>
      <c r="BQ106" s="27"/>
      <c r="BY106" s="26"/>
      <c r="BZ106" s="27"/>
    </row>
    <row r="107" spans="2:78" s="25" customFormat="1" ht="100.9" customHeight="1">
      <c r="B107" s="109" t="s">
        <v>141</v>
      </c>
      <c r="C107" s="28" t="s">
        <v>150</v>
      </c>
      <c r="D107" s="30" t="s">
        <v>242</v>
      </c>
      <c r="E107" s="31" t="s">
        <v>233</v>
      </c>
      <c r="F107" s="32">
        <f>+Q107+T107+W107+Z107+AC107+AF107+AI107+AL107+AO107+AR107+AU107</f>
        <v>2</v>
      </c>
      <c r="G107" s="33">
        <v>2590623</v>
      </c>
      <c r="H107" s="22">
        <f t="shared" si="59"/>
        <v>5181246</v>
      </c>
      <c r="I107" s="21"/>
      <c r="J107" s="22">
        <f t="shared" si="56"/>
        <v>515780.39190146694</v>
      </c>
      <c r="K107" s="22">
        <f t="shared" si="57"/>
        <v>25906.23</v>
      </c>
      <c r="L107" s="22">
        <f t="shared" si="58"/>
        <v>103624.92</v>
      </c>
      <c r="M107" s="23"/>
      <c r="N107" s="34">
        <f t="shared" si="54"/>
        <v>3235934.5419014669</v>
      </c>
      <c r="O107" s="22">
        <f t="shared" si="55"/>
        <v>6471869.0838029338</v>
      </c>
      <c r="P107" s="6"/>
      <c r="Q107" s="104"/>
      <c r="R107" s="105" t="str">
        <f t="shared" si="36"/>
        <v/>
      </c>
      <c r="S107" s="106"/>
      <c r="T107" s="104"/>
      <c r="U107" s="105" t="str">
        <f t="shared" si="37"/>
        <v/>
      </c>
      <c r="V107" s="106"/>
      <c r="W107" s="104"/>
      <c r="X107" s="105" t="str">
        <f t="shared" si="47"/>
        <v/>
      </c>
      <c r="Y107" s="106"/>
      <c r="Z107" s="104"/>
      <c r="AA107" s="105" t="str">
        <f t="shared" si="43"/>
        <v/>
      </c>
      <c r="AB107" s="106"/>
      <c r="AC107" s="104"/>
      <c r="AD107" s="105" t="str">
        <f t="shared" si="38"/>
        <v/>
      </c>
      <c r="AE107" s="107"/>
      <c r="AF107" s="104"/>
      <c r="AG107" s="105" t="str">
        <f t="shared" si="39"/>
        <v/>
      </c>
      <c r="AH107" s="106"/>
      <c r="AI107" s="104"/>
      <c r="AJ107" s="105" t="str">
        <f t="shared" si="40"/>
        <v/>
      </c>
      <c r="AK107" s="107"/>
      <c r="AL107" s="104"/>
      <c r="AM107" s="105" t="str">
        <f t="shared" si="44"/>
        <v/>
      </c>
      <c r="AN107" s="107"/>
      <c r="AO107" s="104">
        <v>2</v>
      </c>
      <c r="AP107" s="105">
        <f t="shared" si="41"/>
        <v>5181246</v>
      </c>
      <c r="AQ107" s="107"/>
      <c r="AR107" s="104"/>
      <c r="AS107" s="105" t="str">
        <f t="shared" si="45"/>
        <v/>
      </c>
      <c r="AT107" s="107"/>
      <c r="AU107" s="104"/>
      <c r="AV107" s="24" t="str">
        <f t="shared" si="46"/>
        <v/>
      </c>
      <c r="BA107" s="26"/>
      <c r="BB107" s="27"/>
      <c r="BM107" s="26"/>
      <c r="BN107" s="27"/>
      <c r="BP107" s="26"/>
      <c r="BQ107" s="27"/>
      <c r="BY107" s="26"/>
      <c r="BZ107" s="27"/>
    </row>
    <row r="108" spans="2:78" s="25" customFormat="1" ht="102.6" customHeight="1">
      <c r="B108" s="109" t="s">
        <v>142</v>
      </c>
      <c r="C108" s="28" t="s">
        <v>151</v>
      </c>
      <c r="D108" s="30" t="s">
        <v>243</v>
      </c>
      <c r="E108" s="31" t="s">
        <v>233</v>
      </c>
      <c r="F108" s="32">
        <f>+Q108+T108+W108+Z108+AC108+AF108+AI108+AL108+AO108+AR108+AU108</f>
        <v>1</v>
      </c>
      <c r="G108" s="33">
        <v>1767337</v>
      </c>
      <c r="H108" s="22">
        <f t="shared" si="59"/>
        <v>1767337</v>
      </c>
      <c r="I108" s="21"/>
      <c r="J108" s="22">
        <f t="shared" si="56"/>
        <v>351868.16857642465</v>
      </c>
      <c r="K108" s="22">
        <f t="shared" si="57"/>
        <v>17673.37</v>
      </c>
      <c r="L108" s="22">
        <f t="shared" si="58"/>
        <v>70693.48</v>
      </c>
      <c r="M108" s="23"/>
      <c r="N108" s="34">
        <f t="shared" si="54"/>
        <v>2207572.0185764246</v>
      </c>
      <c r="O108" s="22">
        <f t="shared" si="55"/>
        <v>2207572.0185764246</v>
      </c>
      <c r="P108" s="6"/>
      <c r="Q108" s="104"/>
      <c r="R108" s="105" t="str">
        <f t="shared" si="36"/>
        <v/>
      </c>
      <c r="S108" s="106"/>
      <c r="T108" s="104"/>
      <c r="U108" s="105" t="str">
        <f t="shared" si="37"/>
        <v/>
      </c>
      <c r="V108" s="106"/>
      <c r="W108" s="104"/>
      <c r="X108" s="105" t="str">
        <f t="shared" si="47"/>
        <v/>
      </c>
      <c r="Y108" s="106"/>
      <c r="Z108" s="104"/>
      <c r="AA108" s="105" t="str">
        <f t="shared" si="43"/>
        <v/>
      </c>
      <c r="AB108" s="106"/>
      <c r="AC108" s="104"/>
      <c r="AD108" s="105" t="str">
        <f t="shared" si="38"/>
        <v/>
      </c>
      <c r="AE108" s="107"/>
      <c r="AF108" s="104"/>
      <c r="AG108" s="105" t="str">
        <f t="shared" si="39"/>
        <v/>
      </c>
      <c r="AH108" s="106"/>
      <c r="AI108" s="104"/>
      <c r="AJ108" s="105" t="str">
        <f t="shared" si="40"/>
        <v/>
      </c>
      <c r="AK108" s="107"/>
      <c r="AL108" s="104"/>
      <c r="AM108" s="105" t="str">
        <f t="shared" si="44"/>
        <v/>
      </c>
      <c r="AN108" s="107"/>
      <c r="AO108" s="104">
        <v>1</v>
      </c>
      <c r="AP108" s="105">
        <f t="shared" si="41"/>
        <v>1767337</v>
      </c>
      <c r="AQ108" s="107"/>
      <c r="AR108" s="104"/>
      <c r="AS108" s="105" t="str">
        <f t="shared" si="45"/>
        <v/>
      </c>
      <c r="AT108" s="107"/>
      <c r="AU108" s="104"/>
      <c r="AV108" s="24" t="str">
        <f t="shared" si="46"/>
        <v/>
      </c>
      <c r="BA108" s="26"/>
      <c r="BB108" s="27"/>
      <c r="BM108" s="26"/>
      <c r="BN108" s="27"/>
      <c r="BP108" s="26"/>
      <c r="BQ108" s="27"/>
      <c r="BY108" s="26"/>
      <c r="BZ108" s="27"/>
    </row>
    <row r="109" spans="2:78" s="25" customFormat="1">
      <c r="B109" s="19">
        <v>12</v>
      </c>
      <c r="C109" s="35">
        <v>13</v>
      </c>
      <c r="D109" s="99" t="s">
        <v>152</v>
      </c>
      <c r="E109" s="100"/>
      <c r="F109" s="100"/>
      <c r="G109" s="100"/>
      <c r="H109" s="101"/>
      <c r="I109" s="21"/>
      <c r="J109" s="22"/>
      <c r="K109" s="22"/>
      <c r="L109" s="22"/>
      <c r="M109" s="23"/>
      <c r="N109" s="34"/>
      <c r="O109" s="22"/>
      <c r="P109" s="6"/>
      <c r="Q109" s="104"/>
      <c r="R109" s="105"/>
      <c r="S109" s="106"/>
      <c r="T109" s="104"/>
      <c r="U109" s="105"/>
      <c r="V109" s="106"/>
      <c r="W109" s="104"/>
      <c r="X109" s="105"/>
      <c r="Y109" s="106"/>
      <c r="Z109" s="104"/>
      <c r="AA109" s="105"/>
      <c r="AB109" s="106"/>
      <c r="AC109" s="104"/>
      <c r="AD109" s="105"/>
      <c r="AE109" s="107"/>
      <c r="AF109" s="104"/>
      <c r="AG109" s="105"/>
      <c r="AH109" s="106"/>
      <c r="AI109" s="104"/>
      <c r="AJ109" s="105"/>
      <c r="AK109" s="107"/>
      <c r="AL109" s="104"/>
      <c r="AM109" s="105"/>
      <c r="AN109" s="107"/>
      <c r="AO109" s="104"/>
      <c r="AP109" s="105"/>
      <c r="AQ109" s="107"/>
      <c r="AR109" s="104"/>
      <c r="AS109" s="105"/>
      <c r="AT109" s="107"/>
      <c r="AU109" s="104"/>
      <c r="AV109" s="24"/>
      <c r="BA109" s="26"/>
      <c r="BB109" s="27"/>
      <c r="BM109" s="26"/>
      <c r="BN109" s="27"/>
      <c r="BP109" s="26"/>
      <c r="BQ109" s="27"/>
      <c r="BY109" s="26"/>
      <c r="BZ109" s="27"/>
    </row>
    <row r="110" spans="2:78" s="25" customFormat="1" ht="39.6" customHeight="1">
      <c r="B110" s="109">
        <v>12</v>
      </c>
      <c r="C110" s="29" t="s">
        <v>153</v>
      </c>
      <c r="D110" s="30" t="s">
        <v>244</v>
      </c>
      <c r="E110" s="31" t="s">
        <v>169</v>
      </c>
      <c r="F110" s="32">
        <f>+Q110+T110+W110+Z110+AC110+AF110+AI110+AL110+AO110+AR110+AU110</f>
        <v>11</v>
      </c>
      <c r="G110" s="33">
        <v>14546747</v>
      </c>
      <c r="H110" s="22">
        <f>+IF(F110=0,"",IFERROR(F110*G110,""))</f>
        <v>160014217</v>
      </c>
      <c r="I110" s="21"/>
      <c r="J110" s="22">
        <f t="shared" si="56"/>
        <v>2896186.3106100303</v>
      </c>
      <c r="K110" s="22">
        <f t="shared" si="57"/>
        <v>145467.47</v>
      </c>
      <c r="L110" s="22">
        <f t="shared" ref="L110" si="60">+IF(F110=0,"",IFERROR($L$5*G110,""))</f>
        <v>581869.88</v>
      </c>
      <c r="M110" s="23">
        <v>3</v>
      </c>
      <c r="N110" s="34">
        <f t="shared" si="54"/>
        <v>18170270.660610031</v>
      </c>
      <c r="O110" s="22">
        <f t="shared" si="55"/>
        <v>199872977.26671034</v>
      </c>
      <c r="P110" s="6"/>
      <c r="Q110" s="104">
        <v>1</v>
      </c>
      <c r="R110" s="105">
        <f t="shared" si="36"/>
        <v>14546747</v>
      </c>
      <c r="S110" s="106"/>
      <c r="T110" s="104">
        <v>1</v>
      </c>
      <c r="U110" s="105">
        <f t="shared" si="37"/>
        <v>14546747</v>
      </c>
      <c r="V110" s="106"/>
      <c r="W110" s="104">
        <v>1</v>
      </c>
      <c r="X110" s="105">
        <f t="shared" si="47"/>
        <v>14546747</v>
      </c>
      <c r="Y110" s="106"/>
      <c r="Z110" s="104">
        <v>1</v>
      </c>
      <c r="AA110" s="105">
        <f t="shared" si="43"/>
        <v>14546747</v>
      </c>
      <c r="AB110" s="106"/>
      <c r="AC110" s="104">
        <v>1</v>
      </c>
      <c r="AD110" s="105">
        <f t="shared" si="38"/>
        <v>14546747</v>
      </c>
      <c r="AE110" s="107"/>
      <c r="AF110" s="104">
        <v>1</v>
      </c>
      <c r="AG110" s="105">
        <f t="shared" si="39"/>
        <v>14546747</v>
      </c>
      <c r="AH110" s="106"/>
      <c r="AI110" s="104">
        <v>1</v>
      </c>
      <c r="AJ110" s="105">
        <f t="shared" si="40"/>
        <v>14546747</v>
      </c>
      <c r="AK110" s="107"/>
      <c r="AL110" s="104">
        <v>1</v>
      </c>
      <c r="AM110" s="105">
        <f t="shared" si="44"/>
        <v>14546747</v>
      </c>
      <c r="AN110" s="107"/>
      <c r="AO110" s="104">
        <v>1</v>
      </c>
      <c r="AP110" s="105">
        <f t="shared" si="41"/>
        <v>14546747</v>
      </c>
      <c r="AQ110" s="107"/>
      <c r="AR110" s="104">
        <v>1</v>
      </c>
      <c r="AS110" s="105">
        <f t="shared" si="45"/>
        <v>14546747</v>
      </c>
      <c r="AT110" s="107"/>
      <c r="AU110" s="104">
        <v>1</v>
      </c>
      <c r="AV110" s="24">
        <f t="shared" si="46"/>
        <v>14546747</v>
      </c>
      <c r="BA110" s="26"/>
      <c r="BB110" s="27"/>
      <c r="BM110" s="26"/>
      <c r="BN110" s="27"/>
      <c r="BP110" s="26"/>
      <c r="BQ110" s="27"/>
      <c r="BY110" s="26"/>
      <c r="BZ110" s="27"/>
    </row>
    <row r="111" spans="2:78" s="25" customFormat="1" ht="13.5" thickBot="1">
      <c r="B111" s="39"/>
      <c r="C111" s="39"/>
      <c r="D111" s="40"/>
      <c r="E111" s="39"/>
      <c r="F111" s="41"/>
      <c r="G111" s="42"/>
      <c r="H111" s="43"/>
      <c r="I111" s="43"/>
      <c r="J111" s="43"/>
      <c r="K111" s="22" t="str">
        <f t="shared" si="57"/>
        <v/>
      </c>
      <c r="L111" s="43"/>
      <c r="M111" s="8"/>
      <c r="N111" s="43"/>
      <c r="O111" s="22" t="str">
        <f t="shared" si="55"/>
        <v/>
      </c>
      <c r="P111" s="6"/>
    </row>
    <row r="112" spans="2:78" ht="15.75" thickBot="1">
      <c r="B112" s="125" t="s">
        <v>154</v>
      </c>
      <c r="C112" s="126"/>
      <c r="D112" s="126"/>
      <c r="E112" s="126"/>
      <c r="F112" s="126"/>
      <c r="G112" s="127"/>
      <c r="H112" s="44">
        <f>SUM(H110+H108+H107+H106+H103+H101+H100+H99+H96+H95+H93+H92+H89+H88+H86+H85+H82+H81+H80+H79+H77+H76+H75+H74+H73+H70+H67+H66+H65+H64+H63+H60+H58+H57+H56+H55+H54+H53+H52+H51+H50+H47+H45+H44+H43+H42+H40+H39+H38+H36+H35+H34+H33+H32+H31+H28+H27+H26+H25+H24+H22+H21+H20+H17+H16+H15+H13+H11+H10+H9)</f>
        <v>3899821805</v>
      </c>
      <c r="I112" s="45"/>
      <c r="J112" s="128" t="s">
        <v>155</v>
      </c>
      <c r="K112" s="129"/>
      <c r="L112" s="129"/>
      <c r="M112" s="129"/>
      <c r="N112" s="130"/>
      <c r="O112" s="46">
        <f>+SUM(O7:O110)</f>
        <v>4864519015.5326071</v>
      </c>
      <c r="P112" s="6"/>
      <c r="Q112" s="47" t="s">
        <v>156</v>
      </c>
      <c r="R112" s="91">
        <f>+SUM(R7:R110)</f>
        <v>369997761</v>
      </c>
      <c r="S112" s="92"/>
      <c r="T112" s="93" t="s">
        <v>156</v>
      </c>
      <c r="U112" s="91">
        <f>+SUM(U7:U110)</f>
        <v>238029899</v>
      </c>
      <c r="V112" s="92"/>
      <c r="W112" s="93" t="s">
        <v>156</v>
      </c>
      <c r="X112" s="91">
        <f>+SUM(X7:X110)</f>
        <v>270500859</v>
      </c>
      <c r="Y112" s="92"/>
      <c r="Z112" s="93" t="s">
        <v>156</v>
      </c>
      <c r="AA112" s="91">
        <f>+SUM(AA7:AA110)</f>
        <v>480967005</v>
      </c>
      <c r="AB112" s="92"/>
      <c r="AC112" s="93" t="s">
        <v>156</v>
      </c>
      <c r="AD112" s="91">
        <f>+SUM(AD7:AD110)</f>
        <v>215962405</v>
      </c>
      <c r="AE112" s="92"/>
      <c r="AF112" s="93" t="s">
        <v>156</v>
      </c>
      <c r="AG112" s="91">
        <f>+SUM(AG7:AG110)</f>
        <v>181476641</v>
      </c>
      <c r="AH112" s="92"/>
      <c r="AI112" s="93" t="s">
        <v>156</v>
      </c>
      <c r="AJ112" s="91">
        <f>+SUM(AJ7:AJ110)</f>
        <v>509864525</v>
      </c>
      <c r="AK112" s="92"/>
      <c r="AL112" s="93" t="s">
        <v>156</v>
      </c>
      <c r="AM112" s="91">
        <f>+SUM(AM7:AM110)</f>
        <v>317270374</v>
      </c>
      <c r="AN112" s="92"/>
      <c r="AO112" s="93" t="s">
        <v>156</v>
      </c>
      <c r="AP112" s="91">
        <f>+SUM(AP7:AP110)</f>
        <v>651108588</v>
      </c>
      <c r="AQ112" s="92"/>
      <c r="AR112" s="93" t="s">
        <v>156</v>
      </c>
      <c r="AS112" s="91">
        <f>+SUM(AS7:AS110)</f>
        <v>316830009</v>
      </c>
      <c r="AT112" s="92"/>
      <c r="AU112" s="93" t="s">
        <v>156</v>
      </c>
      <c r="AV112" s="91">
        <f>+SUM(AV7:AV110)</f>
        <v>347813739</v>
      </c>
      <c r="BA112" s="48"/>
      <c r="BB112" s="49"/>
      <c r="BM112" s="48"/>
      <c r="BN112" s="49"/>
      <c r="BP112" s="48"/>
      <c r="BQ112" s="49"/>
      <c r="BY112" s="48"/>
      <c r="BZ112" s="49"/>
    </row>
    <row r="113" spans="1:46" ht="15.75" thickBot="1">
      <c r="B113" s="50"/>
      <c r="C113" s="51"/>
      <c r="D113" s="51"/>
      <c r="E113" s="51"/>
      <c r="F113" s="51"/>
      <c r="G113" s="51"/>
      <c r="H113" s="52"/>
      <c r="I113" s="9"/>
      <c r="J113" s="53"/>
      <c r="K113" s="53"/>
      <c r="L113" s="53"/>
      <c r="M113" s="54"/>
      <c r="N113" s="53"/>
      <c r="O113" s="55"/>
      <c r="P113" s="9"/>
    </row>
    <row r="114" spans="1:46" ht="15.75" thickBot="1">
      <c r="B114" s="120" t="s">
        <v>157</v>
      </c>
      <c r="C114" s="121"/>
      <c r="D114" s="121"/>
      <c r="E114" s="121"/>
      <c r="F114" s="122"/>
      <c r="G114" s="56">
        <v>0.19909511800886001</v>
      </c>
      <c r="H114" s="94">
        <v>776435482.48000002</v>
      </c>
      <c r="I114" s="57"/>
      <c r="J114" s="131" t="str">
        <f>+B114</f>
        <v>Administración</v>
      </c>
      <c r="K114" s="132"/>
      <c r="L114" s="132"/>
      <c r="M114" s="132"/>
      <c r="N114" s="132"/>
      <c r="O114" s="58">
        <f>+G114</f>
        <v>0.19909511800886001</v>
      </c>
      <c r="P114" s="59"/>
      <c r="Q114" s="60"/>
      <c r="R114" s="61"/>
      <c r="S114" s="61"/>
      <c r="T114" s="61"/>
      <c r="U114" s="61"/>
      <c r="V114" s="61"/>
      <c r="W114" s="61"/>
      <c r="X114" s="61"/>
      <c r="Y114" s="61"/>
      <c r="Z114" s="61"/>
      <c r="AA114" s="61"/>
      <c r="AB114" s="61"/>
      <c r="AC114" s="61"/>
      <c r="AD114" s="61"/>
      <c r="AE114" s="61"/>
      <c r="AF114" s="61"/>
      <c r="AG114" s="61"/>
      <c r="AH114" s="61"/>
      <c r="AI114" s="61"/>
      <c r="AJ114" s="61"/>
      <c r="AK114" s="61"/>
      <c r="AL114" s="61"/>
      <c r="AM114" s="61"/>
      <c r="AN114" s="61"/>
      <c r="AO114" s="61"/>
      <c r="AP114" s="61"/>
      <c r="AQ114" s="61"/>
      <c r="AR114" s="61"/>
      <c r="AS114" s="61"/>
      <c r="AT114" s="61"/>
    </row>
    <row r="115" spans="1:46" ht="15.75" thickBot="1">
      <c r="B115" s="120" t="s">
        <v>158</v>
      </c>
      <c r="C115" s="121"/>
      <c r="D115" s="121"/>
      <c r="E115" s="121"/>
      <c r="F115" s="122"/>
      <c r="G115" s="62">
        <v>0.01</v>
      </c>
      <c r="H115" s="94">
        <v>38998218.050000004</v>
      </c>
      <c r="I115" s="57"/>
      <c r="J115" s="123" t="str">
        <f>+B115</f>
        <v>Imprevistos</v>
      </c>
      <c r="K115" s="124"/>
      <c r="L115" s="124"/>
      <c r="M115" s="124"/>
      <c r="N115" s="124"/>
      <c r="O115" s="63">
        <f>+G115</f>
        <v>0.01</v>
      </c>
      <c r="P115" s="59"/>
      <c r="Q115" s="61"/>
      <c r="R115" s="64"/>
      <c r="S115" s="61"/>
      <c r="T115" s="61"/>
      <c r="U115" s="61"/>
      <c r="V115" s="61"/>
      <c r="W115" s="61"/>
      <c r="X115" s="61"/>
      <c r="Y115" s="61"/>
      <c r="Z115" s="61"/>
      <c r="AA115" s="61"/>
      <c r="AB115" s="61"/>
      <c r="AC115" s="61"/>
      <c r="AD115" s="61"/>
      <c r="AE115" s="61"/>
      <c r="AF115" s="61"/>
      <c r="AG115" s="61"/>
      <c r="AH115" s="61"/>
      <c r="AI115" s="61"/>
      <c r="AJ115" s="61"/>
      <c r="AK115" s="61"/>
      <c r="AL115" s="61"/>
      <c r="AM115" s="61"/>
      <c r="AN115" s="61"/>
      <c r="AO115" s="61"/>
      <c r="AP115" s="61"/>
      <c r="AQ115" s="61"/>
      <c r="AR115" s="61"/>
      <c r="AS115" s="61"/>
      <c r="AT115" s="61"/>
    </row>
    <row r="116" spans="1:46" ht="15.75" thickBot="1">
      <c r="B116" s="120" t="s">
        <v>159</v>
      </c>
      <c r="C116" s="121"/>
      <c r="D116" s="121"/>
      <c r="E116" s="121"/>
      <c r="F116" s="122"/>
      <c r="G116" s="62">
        <v>0.04</v>
      </c>
      <c r="H116" s="94">
        <v>155992872.20000002</v>
      </c>
      <c r="I116" s="57"/>
      <c r="J116" s="113" t="str">
        <f>+B116</f>
        <v>Utilidad</v>
      </c>
      <c r="K116" s="114"/>
      <c r="L116" s="114"/>
      <c r="M116" s="114"/>
      <c r="N116" s="114"/>
      <c r="O116" s="65">
        <f>+G116</f>
        <v>0.04</v>
      </c>
      <c r="P116" s="59"/>
      <c r="Q116" s="66"/>
      <c r="R116" s="67"/>
      <c r="S116" s="61"/>
      <c r="T116" s="61"/>
      <c r="U116" s="61"/>
      <c r="V116" s="61"/>
      <c r="W116" s="61"/>
      <c r="X116" s="61"/>
      <c r="Y116" s="61"/>
      <c r="Z116" s="61"/>
      <c r="AA116" s="61"/>
      <c r="AB116" s="61"/>
      <c r="AC116" s="61"/>
      <c r="AD116" s="61"/>
      <c r="AE116" s="61"/>
      <c r="AF116" s="61"/>
      <c r="AG116" s="61"/>
      <c r="AH116" s="61"/>
      <c r="AI116" s="61"/>
      <c r="AJ116" s="61"/>
      <c r="AK116" s="61"/>
      <c r="AL116" s="61"/>
      <c r="AM116" s="61"/>
      <c r="AN116" s="61"/>
      <c r="AO116" s="61"/>
      <c r="AP116" s="61"/>
      <c r="AQ116" s="61"/>
      <c r="AR116" s="61"/>
      <c r="AS116" s="61"/>
      <c r="AT116" s="61"/>
    </row>
    <row r="117" spans="1:46" ht="14.45" customHeight="1" thickBot="1">
      <c r="B117" s="68" t="str">
        <f>IF(G117=0,"",ROUND($H$116*G117,0))</f>
        <v/>
      </c>
      <c r="C117" s="69"/>
      <c r="D117" s="69"/>
      <c r="E117" s="69"/>
      <c r="F117" s="69"/>
      <c r="G117" s="69"/>
      <c r="H117" s="95"/>
      <c r="I117" s="21"/>
      <c r="J117" s="113" t="s">
        <v>160</v>
      </c>
      <c r="K117" s="114"/>
      <c r="L117" s="114"/>
      <c r="M117" s="114"/>
      <c r="N117" s="114"/>
      <c r="O117" s="65">
        <f>+O114+O115+O116</f>
        <v>0.24909511800886003</v>
      </c>
      <c r="P117" s="59"/>
      <c r="Q117" s="66"/>
      <c r="R117" s="61"/>
      <c r="S117" s="61"/>
      <c r="T117" s="61"/>
      <c r="U117" s="61"/>
      <c r="V117" s="61"/>
      <c r="W117" s="61"/>
      <c r="X117" s="61"/>
      <c r="Y117" s="61"/>
      <c r="Z117" s="61"/>
      <c r="AA117" s="61"/>
      <c r="AB117" s="61"/>
      <c r="AC117" s="61"/>
      <c r="AD117" s="61"/>
      <c r="AE117" s="61"/>
      <c r="AF117" s="61"/>
      <c r="AG117" s="61"/>
      <c r="AH117" s="61"/>
      <c r="AI117" s="61"/>
      <c r="AJ117" s="61"/>
      <c r="AK117" s="61"/>
      <c r="AL117" s="61"/>
      <c r="AM117" s="61"/>
      <c r="AN117" s="61"/>
      <c r="AO117" s="61"/>
      <c r="AP117" s="61"/>
      <c r="AQ117" s="61"/>
      <c r="AR117" s="61"/>
      <c r="AS117" s="61"/>
      <c r="AT117" s="61"/>
    </row>
    <row r="118" spans="1:46" ht="15.75" thickBot="1">
      <c r="B118" s="120" t="s">
        <v>161</v>
      </c>
      <c r="C118" s="121"/>
      <c r="D118" s="121"/>
      <c r="E118" s="121"/>
      <c r="F118" s="121"/>
      <c r="G118" s="122"/>
      <c r="H118" s="96">
        <f>+'[1]Presupuesto Ambiental'!G113</f>
        <v>23804072</v>
      </c>
      <c r="I118" s="69"/>
      <c r="J118" s="70"/>
      <c r="K118" s="70"/>
      <c r="L118" s="70"/>
      <c r="M118" s="70"/>
      <c r="N118" s="70"/>
      <c r="O118" s="70"/>
      <c r="Q118" s="66"/>
      <c r="R118" s="61"/>
      <c r="S118" s="61"/>
      <c r="T118" s="61"/>
      <c r="U118" s="61"/>
      <c r="V118" s="61"/>
      <c r="W118" s="61"/>
      <c r="X118" s="61"/>
      <c r="Y118" s="61"/>
      <c r="Z118" s="61"/>
      <c r="AA118" s="61"/>
      <c r="AB118" s="61"/>
      <c r="AC118" s="61"/>
      <c r="AD118" s="61"/>
      <c r="AE118" s="61"/>
      <c r="AF118" s="61"/>
      <c r="AG118" s="61"/>
      <c r="AH118" s="61"/>
      <c r="AI118" s="61"/>
      <c r="AJ118" s="61"/>
      <c r="AK118" s="61"/>
      <c r="AL118" s="61"/>
      <c r="AM118" s="61"/>
      <c r="AN118" s="61"/>
      <c r="AO118" s="61"/>
      <c r="AP118" s="61"/>
      <c r="AQ118" s="61"/>
      <c r="AR118" s="61"/>
      <c r="AS118" s="61"/>
      <c r="AT118" s="61"/>
    </row>
    <row r="119" spans="1:46" ht="15.75" thickBot="1">
      <c r="B119" s="120" t="s">
        <v>162</v>
      </c>
      <c r="C119" s="121"/>
      <c r="D119" s="121"/>
      <c r="E119" s="121"/>
      <c r="F119" s="121"/>
      <c r="G119" s="122"/>
      <c r="H119" s="96">
        <f>+'[1]Presupuesto de Gestión Social'!G37</f>
        <v>6930000</v>
      </c>
      <c r="I119" s="69"/>
      <c r="J119" s="131" t="str">
        <f>+B118</f>
        <v>Presupuesto Ambiental</v>
      </c>
      <c r="K119" s="132"/>
      <c r="L119" s="132"/>
      <c r="M119" s="132"/>
      <c r="N119" s="132"/>
      <c r="O119" s="71">
        <f>+H118</f>
        <v>23804072</v>
      </c>
      <c r="Q119" s="61"/>
      <c r="R119" s="61"/>
      <c r="S119" s="61"/>
      <c r="T119" s="61"/>
      <c r="U119" s="61"/>
      <c r="V119" s="61"/>
      <c r="W119" s="61"/>
      <c r="X119" s="61"/>
      <c r="Y119" s="61"/>
      <c r="Z119" s="61"/>
      <c r="AA119" s="61"/>
      <c r="AB119" s="61"/>
      <c r="AC119" s="61"/>
      <c r="AD119" s="61"/>
      <c r="AE119" s="61"/>
      <c r="AF119" s="61"/>
      <c r="AG119" s="61"/>
      <c r="AH119" s="61"/>
      <c r="AI119" s="61"/>
      <c r="AJ119" s="61"/>
      <c r="AK119" s="61"/>
      <c r="AL119" s="61"/>
      <c r="AM119" s="61"/>
      <c r="AN119" s="61"/>
      <c r="AO119" s="61"/>
      <c r="AP119" s="61"/>
      <c r="AQ119" s="61"/>
      <c r="AR119" s="61"/>
      <c r="AS119" s="61"/>
      <c r="AT119" s="61"/>
    </row>
    <row r="120" spans="1:46" ht="15.75" thickBot="1">
      <c r="B120" s="120" t="s">
        <v>163</v>
      </c>
      <c r="C120" s="121"/>
      <c r="D120" s="121"/>
      <c r="E120" s="121"/>
      <c r="F120" s="121"/>
      <c r="G120" s="122"/>
      <c r="H120" s="96">
        <f>+'[1]Presupuesto SST'!G47</f>
        <v>39471300</v>
      </c>
      <c r="I120" s="69"/>
      <c r="J120" s="123" t="str">
        <f>+B119</f>
        <v>Presupuesto de Gestión Social</v>
      </c>
      <c r="K120" s="124"/>
      <c r="L120" s="124"/>
      <c r="M120" s="124"/>
      <c r="N120" s="124"/>
      <c r="O120" s="72">
        <f>+H119</f>
        <v>6930000</v>
      </c>
      <c r="Q120" s="61"/>
      <c r="R120" s="61"/>
      <c r="S120" s="61"/>
      <c r="T120" s="61"/>
      <c r="U120" s="61"/>
      <c r="V120" s="61"/>
      <c r="W120" s="61"/>
      <c r="X120" s="61"/>
      <c r="Y120" s="61"/>
      <c r="Z120" s="61"/>
      <c r="AA120" s="61"/>
      <c r="AB120" s="61"/>
      <c r="AC120" s="61"/>
      <c r="AD120" s="61"/>
      <c r="AE120" s="61"/>
      <c r="AF120" s="61"/>
      <c r="AG120" s="61"/>
      <c r="AH120" s="61"/>
      <c r="AI120" s="61"/>
      <c r="AJ120" s="61"/>
      <c r="AK120" s="61"/>
      <c r="AL120" s="61"/>
      <c r="AM120" s="61"/>
      <c r="AN120" s="61"/>
      <c r="AO120" s="61"/>
      <c r="AP120" s="61"/>
      <c r="AQ120" s="61"/>
      <c r="AR120" s="61"/>
      <c r="AS120" s="61"/>
      <c r="AT120" s="61"/>
    </row>
    <row r="121" spans="1:46" ht="15.75" thickBot="1">
      <c r="B121" s="120" t="s">
        <v>164</v>
      </c>
      <c r="C121" s="121"/>
      <c r="D121" s="121"/>
      <c r="E121" s="121"/>
      <c r="F121" s="121"/>
      <c r="G121" s="122"/>
      <c r="H121" s="96">
        <v>31275382</v>
      </c>
      <c r="I121" s="69"/>
      <c r="J121" s="123" t="str">
        <f>+B120</f>
        <v>Presupuesto Seguridad y Salud en el Trabajo</v>
      </c>
      <c r="K121" s="124"/>
      <c r="L121" s="124"/>
      <c r="M121" s="124"/>
      <c r="N121" s="124"/>
      <c r="O121" s="72">
        <f>+H120</f>
        <v>39471300</v>
      </c>
      <c r="Q121" s="73"/>
      <c r="R121" s="61"/>
      <c r="S121" s="61"/>
      <c r="T121" s="61"/>
      <c r="U121" s="61"/>
      <c r="V121" s="61"/>
      <c r="W121" s="61"/>
      <c r="X121" s="61"/>
      <c r="Y121" s="61"/>
      <c r="Z121" s="61"/>
      <c r="AA121" s="61"/>
      <c r="AB121" s="61"/>
      <c r="AC121" s="61"/>
      <c r="AD121" s="61"/>
      <c r="AE121" s="61"/>
      <c r="AF121" s="61"/>
      <c r="AG121" s="61"/>
      <c r="AH121" s="61"/>
      <c r="AI121" s="61"/>
      <c r="AJ121" s="61"/>
      <c r="AK121" s="61"/>
      <c r="AL121" s="61"/>
      <c r="AM121" s="61"/>
      <c r="AN121" s="61"/>
      <c r="AO121" s="61"/>
      <c r="AP121" s="61"/>
      <c r="AQ121" s="61"/>
      <c r="AR121" s="61"/>
      <c r="AS121" s="61"/>
      <c r="AT121" s="61"/>
    </row>
    <row r="122" spans="1:46" ht="15.75" thickBot="1">
      <c r="B122" s="6"/>
      <c r="C122" s="74"/>
      <c r="D122" s="75"/>
      <c r="E122" s="74"/>
      <c r="F122" s="74"/>
      <c r="G122" s="76"/>
      <c r="H122" s="45"/>
      <c r="I122" s="45"/>
      <c r="J122" s="113" t="str">
        <f>+B121</f>
        <v>Provisión para el pago de las primas de Pólizas (Garantías)</v>
      </c>
      <c r="K122" s="114"/>
      <c r="L122" s="114"/>
      <c r="M122" s="114"/>
      <c r="N122" s="114"/>
      <c r="O122" s="77">
        <f>+H121</f>
        <v>31275382</v>
      </c>
      <c r="P122" s="45"/>
      <c r="Q122" s="61"/>
      <c r="R122" s="61"/>
      <c r="S122" s="61"/>
      <c r="T122" s="61"/>
      <c r="U122" s="61"/>
      <c r="V122" s="61"/>
      <c r="W122" s="61"/>
      <c r="X122" s="61"/>
      <c r="Y122" s="61"/>
      <c r="Z122" s="61"/>
      <c r="AA122" s="61"/>
      <c r="AB122" s="61"/>
      <c r="AC122" s="61"/>
      <c r="AD122" s="61"/>
      <c r="AE122" s="61"/>
      <c r="AF122" s="61"/>
      <c r="AG122" s="61"/>
      <c r="AH122" s="61"/>
      <c r="AI122" s="61"/>
      <c r="AJ122" s="61"/>
      <c r="AK122" s="61"/>
      <c r="AL122" s="61"/>
      <c r="AM122" s="61"/>
      <c r="AN122" s="61"/>
      <c r="AO122" s="61"/>
      <c r="AP122" s="61"/>
      <c r="AQ122" s="61"/>
      <c r="AR122" s="61"/>
      <c r="AS122" s="61"/>
      <c r="AT122" s="61"/>
    </row>
    <row r="123" spans="1:46" ht="16.5" thickBot="1">
      <c r="B123" s="115" t="s">
        <v>165</v>
      </c>
      <c r="C123" s="116"/>
      <c r="D123" s="116"/>
      <c r="E123" s="116"/>
      <c r="F123" s="116"/>
      <c r="G123" s="116"/>
      <c r="H123" s="111">
        <f>SUM(H112:H121)</f>
        <v>4972729131.7299995</v>
      </c>
      <c r="I123" s="78"/>
      <c r="J123" s="79"/>
      <c r="K123" s="79"/>
      <c r="L123" s="79"/>
      <c r="M123" s="79"/>
      <c r="N123" s="79"/>
      <c r="O123" s="79"/>
      <c r="P123" s="80"/>
      <c r="Q123" s="61"/>
      <c r="R123" s="81"/>
      <c r="S123" s="61"/>
      <c r="T123" s="61"/>
      <c r="U123" s="61"/>
      <c r="V123" s="61"/>
      <c r="W123" s="61"/>
      <c r="X123" s="61"/>
      <c r="Y123" s="61"/>
      <c r="Z123" s="61"/>
      <c r="AA123" s="61"/>
      <c r="AB123" s="61"/>
      <c r="AC123" s="61"/>
      <c r="AD123" s="61"/>
      <c r="AE123" s="61"/>
      <c r="AF123" s="61"/>
      <c r="AG123" s="61"/>
      <c r="AH123" s="61"/>
      <c r="AI123" s="61"/>
      <c r="AJ123" s="61"/>
      <c r="AK123" s="61"/>
      <c r="AL123" s="61"/>
      <c r="AM123" s="61"/>
      <c r="AN123" s="61"/>
      <c r="AO123" s="61"/>
      <c r="AP123" s="61"/>
      <c r="AQ123" s="61"/>
      <c r="AR123" s="61"/>
      <c r="AS123" s="61"/>
      <c r="AT123" s="61"/>
    </row>
    <row r="124" spans="1:46">
      <c r="A124" s="61"/>
      <c r="B124" s="61"/>
      <c r="C124" s="61"/>
      <c r="D124" s="82"/>
      <c r="E124" s="61"/>
      <c r="F124" s="61"/>
      <c r="G124" s="83"/>
      <c r="H124" s="84"/>
      <c r="I124" s="61"/>
      <c r="J124" s="117" t="e">
        <f>+#REF!</f>
        <v>#REF!</v>
      </c>
      <c r="K124" s="118"/>
      <c r="L124" s="118"/>
      <c r="M124" s="118"/>
      <c r="N124" s="118"/>
      <c r="O124" s="119"/>
      <c r="P124" s="61"/>
      <c r="Q124" s="61"/>
      <c r="R124" s="61"/>
      <c r="S124" s="61"/>
      <c r="T124" s="61"/>
      <c r="U124" s="61"/>
      <c r="V124" s="61"/>
      <c r="W124" s="61"/>
      <c r="X124" s="61"/>
      <c r="Y124" s="61"/>
      <c r="Z124" s="61"/>
      <c r="AA124" s="61"/>
      <c r="AB124" s="61"/>
      <c r="AC124" s="61"/>
      <c r="AD124" s="61"/>
      <c r="AE124" s="61"/>
      <c r="AF124" s="61"/>
      <c r="AG124" s="61"/>
      <c r="AH124" s="61"/>
      <c r="AI124" s="61"/>
      <c r="AJ124" s="61"/>
      <c r="AK124" s="61"/>
      <c r="AL124" s="61"/>
      <c r="AM124" s="61"/>
      <c r="AN124" s="61"/>
      <c r="AO124" s="61"/>
      <c r="AP124" s="61"/>
      <c r="AQ124" s="61"/>
      <c r="AR124" s="61"/>
      <c r="AS124" s="61"/>
      <c r="AT124" s="61"/>
    </row>
    <row r="125" spans="1:46">
      <c r="B125" s="9"/>
      <c r="C125" s="9"/>
      <c r="D125" s="85"/>
      <c r="E125" s="9"/>
      <c r="F125" s="86"/>
      <c r="G125" s="87"/>
      <c r="H125" s="97"/>
      <c r="I125" s="45"/>
      <c r="J125" s="45"/>
      <c r="K125" s="45"/>
      <c r="L125" s="45"/>
      <c r="M125" s="45"/>
      <c r="N125" s="45"/>
      <c r="O125" s="45"/>
      <c r="P125" s="45"/>
      <c r="Q125" s="61"/>
      <c r="R125" s="61"/>
      <c r="S125" s="61"/>
      <c r="T125" s="61"/>
      <c r="U125" s="61"/>
      <c r="V125" s="61"/>
      <c r="W125" s="61"/>
      <c r="X125" s="61"/>
      <c r="Y125" s="61"/>
      <c r="Z125" s="61"/>
      <c r="AA125" s="61"/>
      <c r="AB125" s="61"/>
      <c r="AC125" s="61"/>
      <c r="AD125" s="61"/>
      <c r="AE125" s="61"/>
      <c r="AF125" s="61"/>
      <c r="AG125" s="61"/>
      <c r="AH125" s="61"/>
      <c r="AI125" s="61"/>
      <c r="AJ125" s="61"/>
      <c r="AK125" s="61"/>
      <c r="AL125" s="61"/>
      <c r="AM125" s="61"/>
      <c r="AN125" s="61"/>
      <c r="AO125" s="61"/>
      <c r="AP125" s="61"/>
      <c r="AQ125" s="61"/>
      <c r="AR125" s="61"/>
      <c r="AS125" s="61"/>
      <c r="AT125" s="61"/>
    </row>
    <row r="126" spans="1:46">
      <c r="B126" s="88"/>
      <c r="C126" s="88"/>
      <c r="D126" s="89"/>
      <c r="E126" s="88"/>
      <c r="G126" s="90"/>
      <c r="H126" s="112"/>
      <c r="Q126" s="61"/>
      <c r="R126" s="61"/>
      <c r="S126" s="61"/>
      <c r="T126" s="61"/>
      <c r="U126" s="61"/>
      <c r="V126" s="61"/>
      <c r="W126" s="61"/>
      <c r="X126" s="61"/>
      <c r="Y126" s="61"/>
      <c r="Z126" s="61"/>
      <c r="AA126" s="61"/>
      <c r="AB126" s="61"/>
      <c r="AC126" s="61"/>
      <c r="AD126" s="61"/>
      <c r="AE126" s="61"/>
      <c r="AF126" s="61"/>
      <c r="AG126" s="61"/>
      <c r="AH126" s="61"/>
      <c r="AI126" s="61"/>
      <c r="AJ126" s="61"/>
      <c r="AK126" s="61"/>
      <c r="AL126" s="61"/>
      <c r="AM126" s="61"/>
      <c r="AN126" s="61"/>
      <c r="AO126" s="61"/>
      <c r="AP126" s="61"/>
      <c r="AQ126" s="61"/>
      <c r="AR126" s="61"/>
      <c r="AS126" s="61"/>
      <c r="AT126" s="61"/>
    </row>
    <row r="127" spans="1:46">
      <c r="B127" s="88"/>
      <c r="C127" s="88"/>
      <c r="D127" s="89"/>
      <c r="E127" s="88"/>
      <c r="H127" s="112"/>
      <c r="Q127" s="61"/>
      <c r="R127" s="61"/>
      <c r="S127" s="61"/>
      <c r="T127" s="61"/>
      <c r="U127" s="61"/>
      <c r="V127" s="61"/>
      <c r="W127" s="61"/>
      <c r="X127" s="61"/>
      <c r="Y127" s="61"/>
      <c r="Z127" s="61"/>
      <c r="AA127" s="61"/>
      <c r="AB127" s="61"/>
      <c r="AC127" s="61"/>
      <c r="AD127" s="61"/>
      <c r="AE127" s="61"/>
      <c r="AF127" s="61"/>
      <c r="AG127" s="61"/>
      <c r="AH127" s="61"/>
      <c r="AI127" s="61"/>
      <c r="AJ127" s="61"/>
      <c r="AK127" s="61"/>
      <c r="AL127" s="61"/>
      <c r="AM127" s="61"/>
      <c r="AN127" s="61"/>
      <c r="AO127" s="61"/>
      <c r="AP127" s="61"/>
      <c r="AQ127" s="61"/>
      <c r="AR127" s="61"/>
      <c r="AS127" s="61"/>
      <c r="AT127" s="61"/>
    </row>
    <row r="128" spans="1:46">
      <c r="B128" s="88"/>
      <c r="C128" s="88"/>
      <c r="D128" s="89"/>
      <c r="E128" s="88"/>
      <c r="Q128" s="61"/>
      <c r="R128" s="61"/>
      <c r="S128" s="61"/>
      <c r="T128" s="61"/>
      <c r="U128" s="61"/>
      <c r="V128" s="61"/>
      <c r="W128" s="61"/>
      <c r="X128" s="61"/>
      <c r="Y128" s="61"/>
      <c r="Z128" s="61"/>
      <c r="AA128" s="61"/>
      <c r="AB128" s="61"/>
      <c r="AC128" s="61"/>
      <c r="AD128" s="61"/>
      <c r="AE128" s="61"/>
      <c r="AF128" s="61"/>
      <c r="AG128" s="61"/>
      <c r="AH128" s="61"/>
      <c r="AI128" s="61"/>
      <c r="AJ128" s="61"/>
      <c r="AK128" s="61"/>
      <c r="AL128" s="61"/>
      <c r="AM128" s="61"/>
      <c r="AN128" s="61"/>
      <c r="AO128" s="61"/>
      <c r="AP128" s="61"/>
      <c r="AQ128" s="61"/>
      <c r="AR128" s="61"/>
      <c r="AS128" s="61"/>
      <c r="AT128" s="61"/>
    </row>
    <row r="129" spans="2:46">
      <c r="B129" s="88"/>
      <c r="C129" s="88"/>
      <c r="D129" s="89"/>
      <c r="E129" s="88"/>
      <c r="Q129" s="61"/>
      <c r="R129" s="61"/>
      <c r="S129" s="61"/>
      <c r="T129" s="61"/>
      <c r="U129" s="61"/>
      <c r="V129" s="61"/>
      <c r="W129" s="61"/>
      <c r="X129" s="61"/>
      <c r="Y129" s="61"/>
      <c r="Z129" s="61"/>
      <c r="AA129" s="61"/>
      <c r="AB129" s="61"/>
      <c r="AC129" s="61"/>
      <c r="AD129" s="61"/>
      <c r="AE129" s="61"/>
      <c r="AF129" s="61"/>
      <c r="AG129" s="61"/>
      <c r="AH129" s="61"/>
      <c r="AI129" s="61"/>
      <c r="AJ129" s="61"/>
      <c r="AK129" s="61"/>
      <c r="AL129" s="61"/>
      <c r="AM129" s="61"/>
      <c r="AN129" s="61"/>
      <c r="AO129" s="61"/>
      <c r="AP129" s="61"/>
      <c r="AQ129" s="61"/>
      <c r="AR129" s="61"/>
      <c r="AS129" s="61"/>
      <c r="AT129" s="61"/>
    </row>
    <row r="130" spans="2:46">
      <c r="B130" s="88"/>
      <c r="C130" s="88"/>
      <c r="D130" s="89"/>
      <c r="E130" s="88"/>
      <c r="Q130" s="61"/>
      <c r="R130" s="61"/>
      <c r="S130" s="61"/>
      <c r="T130" s="61"/>
      <c r="U130" s="61"/>
      <c r="V130" s="61"/>
      <c r="W130" s="61"/>
      <c r="X130" s="61"/>
      <c r="Y130" s="61"/>
      <c r="Z130" s="61"/>
      <c r="AA130" s="61"/>
      <c r="AB130" s="61"/>
      <c r="AC130" s="61"/>
      <c r="AD130" s="61"/>
      <c r="AE130" s="61"/>
      <c r="AF130" s="61"/>
      <c r="AG130" s="61"/>
      <c r="AH130" s="61"/>
      <c r="AI130" s="61"/>
      <c r="AJ130" s="61"/>
      <c r="AK130" s="61"/>
      <c r="AL130" s="61"/>
      <c r="AM130" s="61"/>
      <c r="AN130" s="61"/>
      <c r="AO130" s="61"/>
      <c r="AP130" s="61"/>
      <c r="AQ130" s="61"/>
      <c r="AR130" s="61"/>
      <c r="AS130" s="61"/>
      <c r="AT130" s="61"/>
    </row>
    <row r="131" spans="2:46">
      <c r="B131" s="88"/>
      <c r="C131" s="88"/>
      <c r="D131" s="89"/>
      <c r="E131" s="88"/>
      <c r="Q131" s="61"/>
      <c r="R131" s="61"/>
      <c r="S131" s="61"/>
      <c r="T131" s="61"/>
      <c r="U131" s="61"/>
      <c r="V131" s="61"/>
      <c r="W131" s="61"/>
      <c r="X131" s="61"/>
      <c r="Y131" s="61"/>
      <c r="Z131" s="61"/>
      <c r="AA131" s="61"/>
      <c r="AB131" s="61"/>
      <c r="AC131" s="61"/>
      <c r="AD131" s="61"/>
      <c r="AE131" s="61"/>
      <c r="AF131" s="61"/>
      <c r="AG131" s="61"/>
      <c r="AH131" s="61"/>
      <c r="AI131" s="61"/>
      <c r="AJ131" s="61"/>
      <c r="AK131" s="61"/>
      <c r="AL131" s="61"/>
      <c r="AM131" s="61"/>
      <c r="AN131" s="61"/>
      <c r="AO131" s="61"/>
      <c r="AP131" s="61"/>
      <c r="AQ131" s="61"/>
      <c r="AR131" s="61"/>
      <c r="AS131" s="61"/>
      <c r="AT131" s="61"/>
    </row>
    <row r="132" spans="2:46">
      <c r="B132" s="88"/>
      <c r="C132" s="88"/>
      <c r="D132" s="89"/>
      <c r="E132" s="88"/>
      <c r="Q132" s="61"/>
      <c r="R132" s="61"/>
      <c r="S132" s="61"/>
      <c r="T132" s="61"/>
      <c r="U132" s="61"/>
      <c r="V132" s="61"/>
      <c r="W132" s="61"/>
      <c r="X132" s="61"/>
      <c r="Y132" s="61"/>
      <c r="Z132" s="61"/>
      <c r="AA132" s="61"/>
      <c r="AB132" s="61"/>
      <c r="AC132" s="61"/>
      <c r="AD132" s="61"/>
      <c r="AE132" s="61"/>
      <c r="AF132" s="61"/>
      <c r="AG132" s="61"/>
      <c r="AH132" s="61"/>
      <c r="AI132" s="61"/>
      <c r="AJ132" s="61"/>
      <c r="AK132" s="61"/>
      <c r="AL132" s="61"/>
      <c r="AM132" s="61"/>
      <c r="AN132" s="61"/>
      <c r="AO132" s="61"/>
      <c r="AP132" s="61"/>
      <c r="AQ132" s="61"/>
      <c r="AR132" s="61"/>
      <c r="AS132" s="61"/>
      <c r="AT132" s="61"/>
    </row>
    <row r="133" spans="2:46">
      <c r="B133" s="88"/>
      <c r="C133" s="88"/>
      <c r="D133" s="89"/>
      <c r="E133" s="88"/>
      <c r="Q133" s="61"/>
      <c r="R133" s="61"/>
      <c r="S133" s="61"/>
      <c r="T133" s="61"/>
      <c r="U133" s="61"/>
      <c r="V133" s="61"/>
      <c r="W133" s="61"/>
      <c r="X133" s="61"/>
      <c r="Y133" s="61"/>
      <c r="Z133" s="61"/>
      <c r="AA133" s="61"/>
      <c r="AB133" s="61"/>
      <c r="AC133" s="61"/>
      <c r="AD133" s="61"/>
      <c r="AE133" s="61"/>
      <c r="AF133" s="61"/>
      <c r="AG133" s="61"/>
      <c r="AH133" s="61"/>
      <c r="AI133" s="61"/>
      <c r="AJ133" s="61"/>
      <c r="AK133" s="61"/>
      <c r="AL133" s="61"/>
      <c r="AM133" s="61"/>
      <c r="AN133" s="61"/>
      <c r="AO133" s="61"/>
      <c r="AP133" s="61"/>
      <c r="AQ133" s="61"/>
      <c r="AR133" s="61"/>
      <c r="AS133" s="61"/>
      <c r="AT133" s="61"/>
    </row>
    <row r="134" spans="2:46">
      <c r="B134" s="88"/>
      <c r="C134" s="88"/>
      <c r="D134" s="89"/>
      <c r="E134" s="88"/>
      <c r="Q134" s="61"/>
      <c r="R134" s="61"/>
      <c r="S134" s="61"/>
      <c r="T134" s="61"/>
      <c r="U134" s="61"/>
      <c r="V134" s="61"/>
      <c r="W134" s="61"/>
      <c r="X134" s="61"/>
      <c r="Y134" s="61"/>
      <c r="Z134" s="61"/>
      <c r="AA134" s="61"/>
      <c r="AB134" s="61"/>
      <c r="AC134" s="61"/>
      <c r="AD134" s="61"/>
      <c r="AE134" s="61"/>
      <c r="AF134" s="61"/>
      <c r="AG134" s="61"/>
      <c r="AH134" s="61"/>
      <c r="AI134" s="61"/>
      <c r="AJ134" s="61"/>
      <c r="AK134" s="61"/>
      <c r="AL134" s="61"/>
      <c r="AM134" s="61"/>
      <c r="AN134" s="61"/>
      <c r="AO134" s="61"/>
      <c r="AP134" s="61"/>
      <c r="AQ134" s="61"/>
      <c r="AR134" s="61"/>
      <c r="AS134" s="61"/>
      <c r="AT134" s="61"/>
    </row>
    <row r="135" spans="2:46">
      <c r="B135" s="88"/>
      <c r="C135" s="88"/>
      <c r="D135" s="89"/>
      <c r="E135" s="88"/>
      <c r="Q135" s="61"/>
      <c r="R135" s="61"/>
      <c r="S135" s="61"/>
      <c r="T135" s="61"/>
      <c r="U135" s="61"/>
      <c r="V135" s="61"/>
      <c r="W135" s="61"/>
      <c r="X135" s="61"/>
      <c r="Y135" s="61"/>
      <c r="Z135" s="61"/>
      <c r="AA135" s="61"/>
      <c r="AB135" s="61"/>
      <c r="AC135" s="61"/>
      <c r="AD135" s="61"/>
      <c r="AE135" s="61"/>
      <c r="AF135" s="61"/>
      <c r="AG135" s="61"/>
      <c r="AH135" s="61"/>
      <c r="AI135" s="61"/>
      <c r="AJ135" s="61"/>
      <c r="AK135" s="61"/>
      <c r="AL135" s="61"/>
      <c r="AM135" s="61"/>
      <c r="AN135" s="61"/>
      <c r="AO135" s="61"/>
      <c r="AP135" s="61"/>
      <c r="AQ135" s="61"/>
      <c r="AR135" s="61"/>
      <c r="AS135" s="61"/>
      <c r="AT135" s="61"/>
    </row>
    <row r="136" spans="2:46">
      <c r="B136" s="88"/>
      <c r="C136" s="88"/>
      <c r="D136" s="89"/>
      <c r="E136" s="88"/>
      <c r="Q136" s="61"/>
      <c r="R136" s="61"/>
      <c r="S136" s="61"/>
      <c r="T136" s="61"/>
      <c r="U136" s="61"/>
      <c r="V136" s="61"/>
      <c r="W136" s="61"/>
      <c r="X136" s="61"/>
      <c r="Y136" s="61"/>
      <c r="Z136" s="61"/>
      <c r="AA136" s="61"/>
      <c r="AB136" s="61"/>
      <c r="AC136" s="61"/>
      <c r="AD136" s="61"/>
      <c r="AE136" s="61"/>
      <c r="AF136" s="61"/>
      <c r="AG136" s="61"/>
      <c r="AH136" s="61"/>
      <c r="AI136" s="61"/>
      <c r="AJ136" s="61"/>
      <c r="AK136" s="61"/>
      <c r="AL136" s="61"/>
      <c r="AM136" s="61"/>
      <c r="AN136" s="61"/>
      <c r="AO136" s="61"/>
      <c r="AP136" s="61"/>
      <c r="AQ136" s="61"/>
      <c r="AR136" s="61"/>
      <c r="AS136" s="61"/>
      <c r="AT136" s="61"/>
    </row>
    <row r="137" spans="2:46">
      <c r="B137" s="88"/>
      <c r="C137" s="88"/>
      <c r="D137" s="89"/>
      <c r="E137" s="88"/>
      <c r="Q137" s="61"/>
      <c r="R137" s="61"/>
      <c r="S137" s="61"/>
      <c r="T137" s="61"/>
      <c r="U137" s="61"/>
      <c r="V137" s="61"/>
      <c r="W137" s="61"/>
      <c r="X137" s="61"/>
      <c r="Y137" s="61"/>
      <c r="Z137" s="61"/>
      <c r="AA137" s="61"/>
      <c r="AB137" s="61"/>
      <c r="AC137" s="61"/>
      <c r="AD137" s="61"/>
      <c r="AE137" s="61"/>
      <c r="AF137" s="61"/>
      <c r="AG137" s="61"/>
      <c r="AH137" s="61"/>
      <c r="AI137" s="61"/>
      <c r="AJ137" s="61"/>
      <c r="AK137" s="61"/>
      <c r="AL137" s="61"/>
      <c r="AM137" s="61"/>
      <c r="AN137" s="61"/>
      <c r="AO137" s="61"/>
      <c r="AP137" s="61"/>
      <c r="AQ137" s="61"/>
      <c r="AR137" s="61"/>
      <c r="AS137" s="61"/>
      <c r="AT137" s="61"/>
    </row>
    <row r="138" spans="2:46">
      <c r="B138" s="88"/>
      <c r="C138" s="88"/>
      <c r="D138" s="89"/>
      <c r="E138" s="88"/>
      <c r="Q138" s="61"/>
      <c r="R138" s="61"/>
      <c r="S138" s="61"/>
      <c r="T138" s="61"/>
      <c r="U138" s="61"/>
      <c r="V138" s="61"/>
      <c r="W138" s="61"/>
      <c r="X138" s="61"/>
      <c r="Y138" s="61"/>
      <c r="Z138" s="61"/>
      <c r="AA138" s="61"/>
      <c r="AB138" s="61"/>
      <c r="AC138" s="61"/>
      <c r="AD138" s="61"/>
      <c r="AE138" s="61"/>
      <c r="AF138" s="61"/>
      <c r="AG138" s="61"/>
      <c r="AH138" s="61"/>
      <c r="AI138" s="61"/>
      <c r="AJ138" s="61"/>
      <c r="AK138" s="61"/>
      <c r="AL138" s="61"/>
      <c r="AM138" s="61"/>
      <c r="AN138" s="61"/>
      <c r="AO138" s="61"/>
      <c r="AP138" s="61"/>
      <c r="AQ138" s="61"/>
      <c r="AR138" s="61"/>
      <c r="AS138" s="61"/>
      <c r="AT138" s="61"/>
    </row>
    <row r="139" spans="2:46">
      <c r="B139" s="88"/>
      <c r="C139" s="88"/>
      <c r="D139" s="89"/>
      <c r="E139" s="88"/>
      <c r="Q139" s="61"/>
      <c r="R139" s="61"/>
      <c r="S139" s="61"/>
      <c r="T139" s="61"/>
      <c r="U139" s="61"/>
      <c r="V139" s="61"/>
      <c r="W139" s="61"/>
      <c r="X139" s="61"/>
      <c r="Y139" s="61"/>
      <c r="Z139" s="61"/>
      <c r="AA139" s="61"/>
      <c r="AB139" s="61"/>
      <c r="AC139" s="61"/>
      <c r="AD139" s="61"/>
      <c r="AE139" s="61"/>
      <c r="AF139" s="61"/>
      <c r="AG139" s="61"/>
      <c r="AH139" s="61"/>
      <c r="AI139" s="61"/>
      <c r="AJ139" s="61"/>
      <c r="AK139" s="61"/>
      <c r="AL139" s="61"/>
      <c r="AM139" s="61"/>
      <c r="AN139" s="61"/>
      <c r="AO139" s="61"/>
      <c r="AP139" s="61"/>
      <c r="AQ139" s="61"/>
      <c r="AR139" s="61"/>
      <c r="AS139" s="61"/>
      <c r="AT139" s="61"/>
    </row>
    <row r="140" spans="2:46">
      <c r="B140" s="88"/>
      <c r="C140" s="88"/>
      <c r="D140" s="89"/>
      <c r="E140" s="88"/>
      <c r="Q140" s="61"/>
      <c r="R140" s="61"/>
      <c r="S140" s="61"/>
      <c r="T140" s="61"/>
      <c r="U140" s="61"/>
      <c r="V140" s="61"/>
      <c r="W140" s="61"/>
      <c r="X140" s="61"/>
      <c r="Y140" s="61"/>
      <c r="Z140" s="61"/>
      <c r="AA140" s="61"/>
      <c r="AB140" s="61"/>
      <c r="AC140" s="61"/>
      <c r="AD140" s="61"/>
      <c r="AE140" s="61"/>
      <c r="AF140" s="61"/>
      <c r="AG140" s="61"/>
      <c r="AH140" s="61"/>
      <c r="AI140" s="61"/>
      <c r="AJ140" s="61"/>
      <c r="AK140" s="61"/>
      <c r="AL140" s="61"/>
      <c r="AM140" s="61"/>
      <c r="AN140" s="61"/>
      <c r="AO140" s="61"/>
      <c r="AP140" s="61"/>
      <c r="AQ140" s="61"/>
      <c r="AR140" s="61"/>
      <c r="AS140" s="61"/>
      <c r="AT140" s="61"/>
    </row>
    <row r="141" spans="2:46">
      <c r="B141" s="88"/>
      <c r="C141" s="88"/>
      <c r="D141" s="89"/>
      <c r="E141" s="88"/>
      <c r="Q141" s="61"/>
      <c r="R141" s="61"/>
      <c r="S141" s="61"/>
      <c r="T141" s="61"/>
      <c r="U141" s="61"/>
      <c r="V141" s="61"/>
      <c r="W141" s="61"/>
      <c r="X141" s="61"/>
      <c r="Y141" s="61"/>
      <c r="Z141" s="61"/>
      <c r="AA141" s="61"/>
      <c r="AB141" s="61"/>
      <c r="AC141" s="61"/>
      <c r="AD141" s="61"/>
      <c r="AE141" s="61"/>
      <c r="AF141" s="61"/>
      <c r="AG141" s="61"/>
      <c r="AH141" s="61"/>
      <c r="AI141" s="61"/>
      <c r="AJ141" s="61"/>
      <c r="AK141" s="61"/>
      <c r="AL141" s="61"/>
      <c r="AM141" s="61"/>
      <c r="AN141" s="61"/>
      <c r="AO141" s="61"/>
      <c r="AP141" s="61"/>
      <c r="AQ141" s="61"/>
      <c r="AR141" s="61"/>
      <c r="AS141" s="61"/>
      <c r="AT141" s="61"/>
    </row>
    <row r="142" spans="2:46">
      <c r="B142" s="88"/>
      <c r="C142" s="88"/>
      <c r="D142" s="89"/>
      <c r="E142" s="88"/>
      <c r="Q142" s="61"/>
      <c r="R142" s="61"/>
      <c r="S142" s="61"/>
      <c r="T142" s="61"/>
      <c r="U142" s="61"/>
      <c r="V142" s="61"/>
      <c r="W142" s="61"/>
      <c r="X142" s="61"/>
      <c r="Y142" s="61"/>
      <c r="Z142" s="61"/>
      <c r="AA142" s="61"/>
      <c r="AB142" s="61"/>
      <c r="AC142" s="61"/>
      <c r="AD142" s="61"/>
      <c r="AE142" s="61"/>
      <c r="AF142" s="61"/>
      <c r="AG142" s="61"/>
      <c r="AH142" s="61"/>
      <c r="AI142" s="61"/>
      <c r="AJ142" s="61"/>
      <c r="AK142" s="61"/>
      <c r="AL142" s="61"/>
      <c r="AM142" s="61"/>
      <c r="AN142" s="61"/>
      <c r="AO142" s="61"/>
      <c r="AP142" s="61"/>
      <c r="AQ142" s="61"/>
      <c r="AR142" s="61"/>
      <c r="AS142" s="61"/>
      <c r="AT142" s="61"/>
    </row>
    <row r="143" spans="2:46">
      <c r="B143" s="88"/>
      <c r="C143" s="88"/>
      <c r="D143" s="89"/>
      <c r="E143" s="88"/>
      <c r="Q143" s="61"/>
      <c r="R143" s="61"/>
      <c r="S143" s="61"/>
      <c r="T143" s="61"/>
      <c r="U143" s="61"/>
      <c r="V143" s="61"/>
      <c r="W143" s="61"/>
      <c r="X143" s="61"/>
      <c r="Y143" s="61"/>
      <c r="Z143" s="61"/>
      <c r="AA143" s="61"/>
      <c r="AB143" s="61"/>
      <c r="AC143" s="61"/>
      <c r="AD143" s="61"/>
      <c r="AE143" s="61"/>
      <c r="AF143" s="61"/>
      <c r="AG143" s="61"/>
      <c r="AH143" s="61"/>
      <c r="AI143" s="61"/>
      <c r="AJ143" s="61"/>
      <c r="AK143" s="61"/>
      <c r="AL143" s="61"/>
      <c r="AM143" s="61"/>
      <c r="AN143" s="61"/>
      <c r="AO143" s="61"/>
      <c r="AP143" s="61"/>
      <c r="AQ143" s="61"/>
      <c r="AR143" s="61"/>
      <c r="AS143" s="61"/>
      <c r="AT143" s="61"/>
    </row>
    <row r="144" spans="2:46">
      <c r="B144" s="88"/>
      <c r="C144" s="88"/>
      <c r="D144" s="89"/>
      <c r="E144" s="88"/>
      <c r="Q144" s="61"/>
      <c r="R144" s="61"/>
      <c r="S144" s="61"/>
      <c r="T144" s="61"/>
      <c r="U144" s="61"/>
      <c r="V144" s="61"/>
      <c r="W144" s="61"/>
      <c r="X144" s="61"/>
      <c r="Y144" s="61"/>
      <c r="Z144" s="61"/>
      <c r="AA144" s="61"/>
      <c r="AB144" s="61"/>
      <c r="AC144" s="61"/>
      <c r="AD144" s="61"/>
      <c r="AE144" s="61"/>
      <c r="AF144" s="61"/>
      <c r="AG144" s="61"/>
      <c r="AH144" s="61"/>
      <c r="AI144" s="61"/>
      <c r="AJ144" s="61"/>
      <c r="AK144" s="61"/>
      <c r="AL144" s="61"/>
      <c r="AM144" s="61"/>
      <c r="AN144" s="61"/>
      <c r="AO144" s="61"/>
      <c r="AP144" s="61"/>
      <c r="AQ144" s="61"/>
      <c r="AR144" s="61"/>
      <c r="AS144" s="61"/>
      <c r="AT144" s="61"/>
    </row>
    <row r="145" spans="2:46">
      <c r="B145" s="88"/>
      <c r="C145" s="88"/>
      <c r="D145" s="89"/>
      <c r="E145" s="88"/>
      <c r="Q145" s="61"/>
      <c r="R145" s="61"/>
      <c r="S145" s="61"/>
      <c r="T145" s="61"/>
      <c r="U145" s="61"/>
      <c r="V145" s="61"/>
      <c r="W145" s="61"/>
      <c r="X145" s="61"/>
      <c r="Y145" s="61"/>
      <c r="Z145" s="61"/>
      <c r="AA145" s="61"/>
      <c r="AB145" s="61"/>
      <c r="AC145" s="61"/>
      <c r="AD145" s="61"/>
      <c r="AE145" s="61"/>
      <c r="AF145" s="61"/>
      <c r="AG145" s="61"/>
      <c r="AH145" s="61"/>
      <c r="AI145" s="61"/>
      <c r="AJ145" s="61"/>
      <c r="AK145" s="61"/>
      <c r="AL145" s="61"/>
      <c r="AM145" s="61"/>
      <c r="AN145" s="61"/>
      <c r="AO145" s="61"/>
      <c r="AP145" s="61"/>
      <c r="AQ145" s="61"/>
      <c r="AR145" s="61"/>
      <c r="AS145" s="61"/>
      <c r="AT145" s="61"/>
    </row>
    <row r="146" spans="2:46">
      <c r="B146" s="88"/>
      <c r="C146" s="88"/>
      <c r="D146" s="89"/>
      <c r="E146" s="88"/>
      <c r="Q146" s="61"/>
      <c r="R146" s="61"/>
      <c r="S146" s="61"/>
      <c r="T146" s="61"/>
      <c r="U146" s="61"/>
      <c r="V146" s="61"/>
      <c r="W146" s="61"/>
      <c r="X146" s="61"/>
      <c r="Y146" s="61"/>
      <c r="Z146" s="61"/>
      <c r="AA146" s="61"/>
      <c r="AB146" s="61"/>
      <c r="AC146" s="61"/>
      <c r="AD146" s="61"/>
      <c r="AE146" s="61"/>
      <c r="AF146" s="61"/>
      <c r="AG146" s="61"/>
      <c r="AH146" s="61"/>
      <c r="AI146" s="61"/>
      <c r="AJ146" s="61"/>
      <c r="AK146" s="61"/>
      <c r="AL146" s="61"/>
      <c r="AM146" s="61"/>
      <c r="AN146" s="61"/>
      <c r="AO146" s="61"/>
      <c r="AP146" s="61"/>
      <c r="AQ146" s="61"/>
      <c r="AR146" s="61"/>
      <c r="AS146" s="61"/>
      <c r="AT146" s="61"/>
    </row>
    <row r="147" spans="2:46">
      <c r="B147" s="88"/>
      <c r="C147" s="88"/>
      <c r="D147" s="89"/>
      <c r="E147" s="88"/>
      <c r="Q147" s="61"/>
      <c r="R147" s="61"/>
      <c r="S147" s="61"/>
      <c r="T147" s="61"/>
      <c r="U147" s="61"/>
      <c r="V147" s="61"/>
      <c r="W147" s="61"/>
      <c r="X147" s="61"/>
      <c r="Y147" s="61"/>
      <c r="Z147" s="61"/>
      <c r="AA147" s="61"/>
      <c r="AB147" s="61"/>
      <c r="AC147" s="61"/>
      <c r="AD147" s="61"/>
      <c r="AE147" s="61"/>
      <c r="AF147" s="61"/>
      <c r="AG147" s="61"/>
      <c r="AH147" s="61"/>
      <c r="AI147" s="61"/>
      <c r="AJ147" s="61"/>
      <c r="AK147" s="61"/>
      <c r="AL147" s="61"/>
      <c r="AM147" s="61"/>
      <c r="AN147" s="61"/>
      <c r="AO147" s="61"/>
      <c r="AP147" s="61"/>
      <c r="AQ147" s="61"/>
      <c r="AR147" s="61"/>
      <c r="AS147" s="61"/>
      <c r="AT147" s="61"/>
    </row>
    <row r="148" spans="2:46">
      <c r="B148" s="88"/>
      <c r="C148" s="88"/>
      <c r="D148" s="89"/>
      <c r="E148" s="88"/>
      <c r="Q148" s="61"/>
      <c r="R148" s="61"/>
      <c r="S148" s="61"/>
      <c r="T148" s="61"/>
      <c r="U148" s="61"/>
      <c r="V148" s="61"/>
      <c r="W148" s="61"/>
      <c r="X148" s="61"/>
      <c r="Y148" s="61"/>
      <c r="Z148" s="61"/>
      <c r="AA148" s="61"/>
      <c r="AB148" s="61"/>
      <c r="AC148" s="61"/>
      <c r="AD148" s="61"/>
      <c r="AE148" s="61"/>
      <c r="AF148" s="61"/>
      <c r="AG148" s="61"/>
      <c r="AH148" s="61"/>
      <c r="AI148" s="61"/>
      <c r="AJ148" s="61"/>
      <c r="AK148" s="61"/>
      <c r="AL148" s="61"/>
      <c r="AM148" s="61"/>
      <c r="AN148" s="61"/>
      <c r="AO148" s="61"/>
      <c r="AP148" s="61"/>
      <c r="AQ148" s="61"/>
      <c r="AR148" s="61"/>
      <c r="AS148" s="61"/>
      <c r="AT148" s="61"/>
    </row>
    <row r="149" spans="2:46">
      <c r="B149" s="88"/>
      <c r="C149" s="88"/>
      <c r="D149" s="89"/>
      <c r="E149" s="88"/>
      <c r="Q149" s="61"/>
      <c r="R149" s="61"/>
      <c r="S149" s="61"/>
      <c r="T149" s="61"/>
      <c r="U149" s="61"/>
      <c r="V149" s="61"/>
      <c r="W149" s="61"/>
      <c r="X149" s="61"/>
      <c r="Y149" s="61"/>
      <c r="Z149" s="61"/>
      <c r="AA149" s="61"/>
      <c r="AB149" s="61"/>
      <c r="AC149" s="61"/>
      <c r="AD149" s="61"/>
      <c r="AE149" s="61"/>
      <c r="AF149" s="61"/>
      <c r="AG149" s="61"/>
      <c r="AH149" s="61"/>
      <c r="AI149" s="61"/>
      <c r="AJ149" s="61"/>
      <c r="AK149" s="61"/>
      <c r="AL149" s="61"/>
      <c r="AM149" s="61"/>
      <c r="AN149" s="61"/>
      <c r="AO149" s="61"/>
      <c r="AP149" s="61"/>
      <c r="AQ149" s="61"/>
      <c r="AR149" s="61"/>
      <c r="AS149" s="61"/>
      <c r="AT149" s="61"/>
    </row>
    <row r="150" spans="2:46">
      <c r="B150" s="88"/>
      <c r="C150" s="88"/>
      <c r="D150" s="89"/>
      <c r="E150" s="88"/>
      <c r="Q150" s="61"/>
      <c r="R150" s="61"/>
      <c r="S150" s="61"/>
      <c r="T150" s="61"/>
      <c r="U150" s="61"/>
      <c r="V150" s="61"/>
      <c r="W150" s="61"/>
      <c r="X150" s="61"/>
      <c r="Y150" s="61"/>
      <c r="Z150" s="61"/>
      <c r="AA150" s="61"/>
      <c r="AB150" s="61"/>
      <c r="AC150" s="61"/>
      <c r="AD150" s="61"/>
      <c r="AE150" s="61"/>
      <c r="AF150" s="61"/>
      <c r="AG150" s="61"/>
      <c r="AH150" s="61"/>
      <c r="AI150" s="61"/>
      <c r="AJ150" s="61"/>
      <c r="AK150" s="61"/>
      <c r="AL150" s="61"/>
      <c r="AM150" s="61"/>
      <c r="AN150" s="61"/>
      <c r="AO150" s="61"/>
      <c r="AP150" s="61"/>
      <c r="AQ150" s="61"/>
      <c r="AR150" s="61"/>
      <c r="AS150" s="61"/>
      <c r="AT150" s="61"/>
    </row>
    <row r="151" spans="2:46">
      <c r="B151" s="88"/>
      <c r="C151" s="88"/>
      <c r="D151" s="89"/>
      <c r="E151" s="88"/>
      <c r="Q151" s="61"/>
      <c r="R151" s="61"/>
      <c r="S151" s="61"/>
      <c r="T151" s="61"/>
      <c r="U151" s="61"/>
      <c r="V151" s="61"/>
      <c r="W151" s="61"/>
      <c r="X151" s="61"/>
      <c r="Y151" s="61"/>
      <c r="Z151" s="61"/>
      <c r="AA151" s="61"/>
      <c r="AB151" s="61"/>
      <c r="AC151" s="61"/>
      <c r="AD151" s="61"/>
      <c r="AE151" s="61"/>
      <c r="AF151" s="61"/>
      <c r="AG151" s="61"/>
      <c r="AH151" s="61"/>
      <c r="AI151" s="61"/>
      <c r="AJ151" s="61"/>
      <c r="AK151" s="61"/>
      <c r="AL151" s="61"/>
      <c r="AM151" s="61"/>
      <c r="AN151" s="61"/>
      <c r="AO151" s="61"/>
      <c r="AP151" s="61"/>
      <c r="AQ151" s="61"/>
      <c r="AR151" s="61"/>
      <c r="AS151" s="61"/>
      <c r="AT151" s="61"/>
    </row>
    <row r="152" spans="2:46">
      <c r="B152" s="88"/>
      <c r="C152" s="88"/>
      <c r="D152" s="89"/>
      <c r="E152" s="88"/>
      <c r="Q152" s="61"/>
      <c r="R152" s="61"/>
      <c r="S152" s="61"/>
      <c r="T152" s="61"/>
      <c r="U152" s="61"/>
      <c r="V152" s="61"/>
      <c r="W152" s="61"/>
      <c r="X152" s="61"/>
      <c r="Y152" s="61"/>
      <c r="Z152" s="61"/>
      <c r="AA152" s="61"/>
      <c r="AB152" s="61"/>
      <c r="AC152" s="61"/>
      <c r="AD152" s="61"/>
      <c r="AE152" s="61"/>
      <c r="AF152" s="61"/>
      <c r="AG152" s="61"/>
      <c r="AH152" s="61"/>
      <c r="AI152" s="61"/>
      <c r="AJ152" s="61"/>
      <c r="AK152" s="61"/>
      <c r="AL152" s="61"/>
      <c r="AM152" s="61"/>
      <c r="AN152" s="61"/>
      <c r="AO152" s="61"/>
      <c r="AP152" s="61"/>
      <c r="AQ152" s="61"/>
      <c r="AR152" s="61"/>
      <c r="AS152" s="61"/>
      <c r="AT152" s="61"/>
    </row>
    <row r="153" spans="2:46">
      <c r="B153" s="88"/>
      <c r="C153" s="88"/>
      <c r="D153" s="89"/>
      <c r="E153" s="88"/>
      <c r="Q153" s="61"/>
      <c r="R153" s="61"/>
      <c r="S153" s="61"/>
      <c r="T153" s="61"/>
      <c r="U153" s="61"/>
      <c r="V153" s="61"/>
      <c r="W153" s="61"/>
      <c r="X153" s="61"/>
      <c r="Y153" s="61"/>
      <c r="Z153" s="61"/>
      <c r="AA153" s="61"/>
      <c r="AB153" s="61"/>
      <c r="AC153" s="61"/>
      <c r="AD153" s="61"/>
      <c r="AE153" s="61"/>
      <c r="AF153" s="61"/>
      <c r="AG153" s="61"/>
      <c r="AH153" s="61"/>
      <c r="AI153" s="61"/>
      <c r="AJ153" s="61"/>
      <c r="AK153" s="61"/>
      <c r="AL153" s="61"/>
      <c r="AM153" s="61"/>
      <c r="AN153" s="61"/>
      <c r="AO153" s="61"/>
      <c r="AP153" s="61"/>
      <c r="AQ153" s="61"/>
      <c r="AR153" s="61"/>
      <c r="AS153" s="61"/>
      <c r="AT153" s="61"/>
    </row>
    <row r="154" spans="2:46">
      <c r="B154" s="88"/>
      <c r="C154" s="88"/>
      <c r="D154" s="89"/>
      <c r="E154" s="88"/>
      <c r="Q154" s="61"/>
      <c r="R154" s="61"/>
      <c r="S154" s="61"/>
      <c r="T154" s="61"/>
      <c r="U154" s="61"/>
      <c r="V154" s="61"/>
      <c r="W154" s="61"/>
      <c r="X154" s="61"/>
      <c r="Y154" s="61"/>
      <c r="Z154" s="61"/>
      <c r="AA154" s="61"/>
      <c r="AB154" s="61"/>
      <c r="AC154" s="61"/>
      <c r="AD154" s="61"/>
      <c r="AE154" s="61"/>
      <c r="AF154" s="61"/>
      <c r="AG154" s="61"/>
      <c r="AH154" s="61"/>
      <c r="AI154" s="61"/>
      <c r="AJ154" s="61"/>
      <c r="AK154" s="61"/>
      <c r="AL154" s="61"/>
      <c r="AM154" s="61"/>
      <c r="AN154" s="61"/>
      <c r="AO154" s="61"/>
      <c r="AP154" s="61"/>
      <c r="AQ154" s="61"/>
      <c r="AR154" s="61"/>
      <c r="AS154" s="61"/>
      <c r="AT154" s="61"/>
    </row>
    <row r="155" spans="2:46">
      <c r="B155" s="88"/>
      <c r="C155" s="88"/>
      <c r="D155" s="89"/>
      <c r="E155" s="88"/>
      <c r="Q155" s="61"/>
      <c r="R155" s="61"/>
      <c r="S155" s="61"/>
      <c r="T155" s="61"/>
      <c r="U155" s="61"/>
      <c r="V155" s="61"/>
      <c r="W155" s="61"/>
      <c r="X155" s="61"/>
      <c r="Y155" s="61"/>
      <c r="Z155" s="61"/>
      <c r="AA155" s="61"/>
      <c r="AB155" s="61"/>
      <c r="AC155" s="61"/>
      <c r="AD155" s="61"/>
      <c r="AE155" s="61"/>
      <c r="AF155" s="61"/>
      <c r="AG155" s="61"/>
      <c r="AH155" s="61"/>
      <c r="AI155" s="61"/>
      <c r="AJ155" s="61"/>
      <c r="AK155" s="61"/>
      <c r="AL155" s="61"/>
      <c r="AM155" s="61"/>
      <c r="AN155" s="61"/>
      <c r="AO155" s="61"/>
      <c r="AP155" s="61"/>
      <c r="AQ155" s="61"/>
      <c r="AR155" s="61"/>
      <c r="AS155" s="61"/>
      <c r="AT155" s="61"/>
    </row>
    <row r="156" spans="2:46">
      <c r="B156" s="88"/>
      <c r="C156" s="88"/>
      <c r="D156" s="89"/>
      <c r="E156" s="88"/>
      <c r="Q156" s="61"/>
      <c r="R156" s="61"/>
      <c r="S156" s="61"/>
      <c r="T156" s="61"/>
      <c r="U156" s="61"/>
      <c r="V156" s="61"/>
      <c r="W156" s="61"/>
      <c r="X156" s="61"/>
      <c r="Y156" s="61"/>
      <c r="Z156" s="61"/>
      <c r="AA156" s="61"/>
      <c r="AB156" s="61"/>
      <c r="AC156" s="61"/>
      <c r="AD156" s="61"/>
      <c r="AE156" s="61"/>
      <c r="AF156" s="61"/>
      <c r="AG156" s="61"/>
      <c r="AH156" s="61"/>
      <c r="AI156" s="61"/>
      <c r="AJ156" s="61"/>
      <c r="AK156" s="61"/>
      <c r="AL156" s="61"/>
      <c r="AM156" s="61"/>
      <c r="AN156" s="61"/>
      <c r="AO156" s="61"/>
      <c r="AP156" s="61"/>
      <c r="AQ156" s="61"/>
      <c r="AR156" s="61"/>
      <c r="AS156" s="61"/>
      <c r="AT156" s="61"/>
    </row>
    <row r="157" spans="2:46">
      <c r="B157" s="88"/>
      <c r="C157" s="88"/>
      <c r="D157" s="89"/>
      <c r="E157" s="88"/>
      <c r="Q157" s="61"/>
      <c r="R157" s="61"/>
      <c r="S157" s="61"/>
      <c r="T157" s="61"/>
      <c r="U157" s="61"/>
      <c r="V157" s="61"/>
      <c r="W157" s="61"/>
      <c r="X157" s="61"/>
      <c r="Y157" s="61"/>
      <c r="Z157" s="61"/>
      <c r="AA157" s="61"/>
      <c r="AB157" s="61"/>
      <c r="AC157" s="61"/>
      <c r="AD157" s="61"/>
      <c r="AE157" s="61"/>
      <c r="AF157" s="61"/>
      <c r="AG157" s="61"/>
      <c r="AH157" s="61"/>
      <c r="AI157" s="61"/>
      <c r="AJ157" s="61"/>
      <c r="AK157" s="61"/>
      <c r="AL157" s="61"/>
      <c r="AM157" s="61"/>
      <c r="AN157" s="61"/>
      <c r="AO157" s="61"/>
      <c r="AP157" s="61"/>
      <c r="AQ157" s="61"/>
      <c r="AR157" s="61"/>
      <c r="AS157" s="61"/>
      <c r="AT157" s="61"/>
    </row>
    <row r="158" spans="2:46">
      <c r="B158" s="88"/>
      <c r="C158" s="88"/>
      <c r="D158" s="89"/>
      <c r="E158" s="88"/>
      <c r="Q158" s="61"/>
      <c r="R158" s="61"/>
      <c r="S158" s="61"/>
      <c r="T158" s="61"/>
      <c r="U158" s="61"/>
      <c r="V158" s="61"/>
      <c r="W158" s="61"/>
      <c r="X158" s="61"/>
      <c r="Y158" s="61"/>
      <c r="Z158" s="61"/>
      <c r="AA158" s="61"/>
      <c r="AB158" s="61"/>
      <c r="AC158" s="61"/>
      <c r="AD158" s="61"/>
      <c r="AE158" s="61"/>
      <c r="AF158" s="61"/>
      <c r="AG158" s="61"/>
      <c r="AH158" s="61"/>
      <c r="AI158" s="61"/>
      <c r="AJ158" s="61"/>
      <c r="AK158" s="61"/>
      <c r="AL158" s="61"/>
      <c r="AM158" s="61"/>
      <c r="AN158" s="61"/>
      <c r="AO158" s="61"/>
      <c r="AP158" s="61"/>
      <c r="AQ158" s="61"/>
      <c r="AR158" s="61"/>
      <c r="AS158" s="61"/>
      <c r="AT158" s="61"/>
    </row>
    <row r="159" spans="2:46">
      <c r="B159" s="88"/>
      <c r="C159" s="88"/>
      <c r="D159" s="89"/>
      <c r="E159" s="88"/>
      <c r="Q159" s="61"/>
      <c r="R159" s="61"/>
      <c r="S159" s="61"/>
      <c r="T159" s="61"/>
      <c r="U159" s="61"/>
      <c r="V159" s="61"/>
      <c r="W159" s="61"/>
      <c r="X159" s="61"/>
      <c r="Y159" s="61"/>
      <c r="Z159" s="61"/>
      <c r="AA159" s="61"/>
      <c r="AB159" s="61"/>
      <c r="AC159" s="61"/>
      <c r="AD159" s="61"/>
      <c r="AE159" s="61"/>
      <c r="AF159" s="61"/>
      <c r="AG159" s="61"/>
      <c r="AH159" s="61"/>
      <c r="AI159" s="61"/>
      <c r="AJ159" s="61"/>
      <c r="AK159" s="61"/>
      <c r="AL159" s="61"/>
      <c r="AM159" s="61"/>
      <c r="AN159" s="61"/>
      <c r="AO159" s="61"/>
      <c r="AP159" s="61"/>
      <c r="AQ159" s="61"/>
      <c r="AR159" s="61"/>
      <c r="AS159" s="61"/>
      <c r="AT159" s="61"/>
    </row>
    <row r="160" spans="2:46">
      <c r="B160" s="88"/>
      <c r="C160" s="88"/>
      <c r="D160" s="89"/>
      <c r="E160" s="88"/>
      <c r="Q160" s="61"/>
      <c r="R160" s="61"/>
      <c r="S160" s="61"/>
      <c r="T160" s="61"/>
      <c r="U160" s="61"/>
      <c r="V160" s="61"/>
      <c r="W160" s="61"/>
      <c r="X160" s="61"/>
      <c r="Y160" s="61"/>
      <c r="Z160" s="61"/>
      <c r="AA160" s="61"/>
      <c r="AB160" s="61"/>
      <c r="AC160" s="61"/>
      <c r="AD160" s="61"/>
      <c r="AE160" s="61"/>
      <c r="AF160" s="61"/>
      <c r="AG160" s="61"/>
      <c r="AH160" s="61"/>
      <c r="AI160" s="61"/>
      <c r="AJ160" s="61"/>
      <c r="AK160" s="61"/>
      <c r="AL160" s="61"/>
      <c r="AM160" s="61"/>
      <c r="AN160" s="61"/>
      <c r="AO160" s="61"/>
      <c r="AP160" s="61"/>
      <c r="AQ160" s="61"/>
      <c r="AR160" s="61"/>
      <c r="AS160" s="61"/>
      <c r="AT160" s="61"/>
    </row>
    <row r="161" spans="2:46">
      <c r="B161" s="88"/>
      <c r="C161" s="88"/>
      <c r="D161" s="89"/>
      <c r="E161" s="88"/>
      <c r="Q161" s="61"/>
      <c r="R161" s="61"/>
      <c r="S161" s="61"/>
      <c r="T161" s="61"/>
      <c r="U161" s="61"/>
      <c r="V161" s="61"/>
      <c r="W161" s="61"/>
      <c r="X161" s="61"/>
      <c r="Y161" s="61"/>
      <c r="Z161" s="61"/>
      <c r="AA161" s="61"/>
      <c r="AB161" s="61"/>
      <c r="AC161" s="61"/>
      <c r="AD161" s="61"/>
      <c r="AE161" s="61"/>
      <c r="AF161" s="61"/>
      <c r="AG161" s="61"/>
      <c r="AH161" s="61"/>
      <c r="AI161" s="61"/>
      <c r="AJ161" s="61"/>
      <c r="AK161" s="61"/>
      <c r="AL161" s="61"/>
      <c r="AM161" s="61"/>
      <c r="AN161" s="61"/>
      <c r="AO161" s="61"/>
      <c r="AP161" s="61"/>
      <c r="AQ161" s="61"/>
      <c r="AR161" s="61"/>
      <c r="AS161" s="61"/>
      <c r="AT161" s="61"/>
    </row>
    <row r="162" spans="2:46">
      <c r="B162" s="88"/>
      <c r="C162" s="88"/>
      <c r="D162" s="89"/>
      <c r="E162" s="88"/>
      <c r="Q162" s="61"/>
      <c r="R162" s="61"/>
      <c r="S162" s="61"/>
      <c r="T162" s="61"/>
      <c r="U162" s="61"/>
      <c r="V162" s="61"/>
      <c r="W162" s="61"/>
      <c r="X162" s="61"/>
      <c r="Y162" s="61"/>
      <c r="Z162" s="61"/>
      <c r="AA162" s="61"/>
      <c r="AB162" s="61"/>
      <c r="AC162" s="61"/>
      <c r="AD162" s="61"/>
      <c r="AE162" s="61"/>
      <c r="AF162" s="61"/>
      <c r="AG162" s="61"/>
      <c r="AH162" s="61"/>
      <c r="AI162" s="61"/>
      <c r="AJ162" s="61"/>
      <c r="AK162" s="61"/>
      <c r="AL162" s="61"/>
      <c r="AM162" s="61"/>
      <c r="AN162" s="61"/>
      <c r="AO162" s="61"/>
      <c r="AP162" s="61"/>
      <c r="AQ162" s="61"/>
      <c r="AR162" s="61"/>
      <c r="AS162" s="61"/>
      <c r="AT162" s="61"/>
    </row>
  </sheetData>
  <mergeCells count="75">
    <mergeCell ref="C2:H2"/>
    <mergeCell ref="Q2:R2"/>
    <mergeCell ref="T2:U2"/>
    <mergeCell ref="W2:X2"/>
    <mergeCell ref="Z2:AA2"/>
    <mergeCell ref="AU2:AV2"/>
    <mergeCell ref="BA2:BB2"/>
    <mergeCell ref="BM2:BN2"/>
    <mergeCell ref="BP2:BQ2"/>
    <mergeCell ref="BY2:BZ2"/>
    <mergeCell ref="AC2:AD2"/>
    <mergeCell ref="AF2:AG2"/>
    <mergeCell ref="AI2:AJ2"/>
    <mergeCell ref="AL2:AM2"/>
    <mergeCell ref="AO2:AP2"/>
    <mergeCell ref="AR2:AS2"/>
    <mergeCell ref="B4:B5"/>
    <mergeCell ref="C4:C5"/>
    <mergeCell ref="D4:D5"/>
    <mergeCell ref="E4:E5"/>
    <mergeCell ref="F4:F5"/>
    <mergeCell ref="G4:G5"/>
    <mergeCell ref="U4:U5"/>
    <mergeCell ref="W4:W5"/>
    <mergeCell ref="X4:X5"/>
    <mergeCell ref="Z4:Z5"/>
    <mergeCell ref="AA4:AA5"/>
    <mergeCell ref="AC4:AC5"/>
    <mergeCell ref="H4:H5"/>
    <mergeCell ref="N4:N5"/>
    <mergeCell ref="O4:O5"/>
    <mergeCell ref="BQ4:BQ5"/>
    <mergeCell ref="BY4:BY5"/>
    <mergeCell ref="AG4:AG5"/>
    <mergeCell ref="AI4:AI5"/>
    <mergeCell ref="AJ4:AJ5"/>
    <mergeCell ref="AL4:AL5"/>
    <mergeCell ref="AD4:AD5"/>
    <mergeCell ref="AF4:AF5"/>
    <mergeCell ref="Q4:Q5"/>
    <mergeCell ref="R4:R5"/>
    <mergeCell ref="T4:T5"/>
    <mergeCell ref="B119:G119"/>
    <mergeCell ref="J119:N119"/>
    <mergeCell ref="BZ4:BZ5"/>
    <mergeCell ref="B6:H6"/>
    <mergeCell ref="AV4:AV5"/>
    <mergeCell ref="BA4:BA5"/>
    <mergeCell ref="BB4:BB5"/>
    <mergeCell ref="BM4:BM5"/>
    <mergeCell ref="BN4:BN5"/>
    <mergeCell ref="BP4:BP5"/>
    <mergeCell ref="AM4:AM5"/>
    <mergeCell ref="AO4:AO5"/>
    <mergeCell ref="AP4:AP5"/>
    <mergeCell ref="AR4:AR5"/>
    <mergeCell ref="AS4:AS5"/>
    <mergeCell ref="AU4:AU5"/>
    <mergeCell ref="B118:G118"/>
    <mergeCell ref="B112:G112"/>
    <mergeCell ref="J112:N112"/>
    <mergeCell ref="B114:F114"/>
    <mergeCell ref="J114:N114"/>
    <mergeCell ref="B115:F115"/>
    <mergeCell ref="J115:N115"/>
    <mergeCell ref="B116:F116"/>
    <mergeCell ref="J116:N116"/>
    <mergeCell ref="J117:N117"/>
    <mergeCell ref="J122:N122"/>
    <mergeCell ref="B123:G123"/>
    <mergeCell ref="J124:O124"/>
    <mergeCell ref="B120:G120"/>
    <mergeCell ref="J120:N120"/>
    <mergeCell ref="B121:G121"/>
    <mergeCell ref="J121:N121"/>
  </mergeCells>
  <phoneticPr fontId="19" type="noConversion"/>
  <pageMargins left="0.7" right="0.7" top="0.75" bottom="0.75" header="0.3" footer="0.3"/>
  <pageSetup paperSize="9" orientation="portrait" horizontalDpi="4294967294" verticalDpi="4294967294"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PPTO PLACAS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RED DEPARTAMENTAL DE MUJERES CHOCOANAS</dc:creator>
  <cp:lastModifiedBy>NATHALIA.GONZALEZ</cp:lastModifiedBy>
  <dcterms:created xsi:type="dcterms:W3CDTF">2025-05-20T00:55:50Z</dcterms:created>
  <dcterms:modified xsi:type="dcterms:W3CDTF">2025-05-22T14:02:55Z</dcterms:modified>
</cp:coreProperties>
</file>