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cguerrero_mincultura_gov_co/Documents/CZGS/SUPERVISIONES/03032025_proceso guaduas/28052025_RESPUESTA OBSERVACIONES CONTRATOS/"/>
    </mc:Choice>
  </mc:AlternateContent>
  <xr:revisionPtr revIDLastSave="418" documentId="8_{812AEF29-149A-4EA1-9D39-185BA95B654F}" xr6:coauthVersionLast="47" xr6:coauthVersionMax="47" xr10:uidLastSave="{1D6A820B-F548-4F0E-AB8B-2AFA0EC77EDC}"/>
  <bookViews>
    <workbookView xWindow="-120" yWindow="-120" windowWidth="20730" windowHeight="11040" xr2:uid="{00000000-000D-0000-FFFF-FFFF00000000}"/>
  </bookViews>
  <sheets>
    <sheet name="ESTUDIO DE MERCADO" sheetId="4" r:id="rId1"/>
    <sheet name="Hoja1" sheetId="3" state="hidden" r:id="rId2"/>
  </sheets>
  <definedNames>
    <definedName name="_xlnm.Print_Area" localSheetId="0">'ESTUDIO DE MERCADO'!$B$1:$R$36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4" l="1"/>
  <c r="I22" i="4"/>
  <c r="O28" i="4"/>
  <c r="Q13" i="4"/>
  <c r="R13" i="4" s="1"/>
  <c r="Q20" i="4"/>
  <c r="R20" i="4" s="1"/>
  <c r="Q19" i="4"/>
  <c r="R19" i="4" s="1"/>
  <c r="Q18" i="4"/>
  <c r="R18" i="4" s="1"/>
  <c r="Q17" i="4"/>
  <c r="R17" i="4" s="1"/>
  <c r="Q16" i="4"/>
  <c r="R16" i="4" s="1"/>
  <c r="Q15" i="4"/>
  <c r="R15" i="4" s="1"/>
  <c r="Q14" i="4"/>
  <c r="R14" i="4" s="1"/>
  <c r="Q12" i="4"/>
  <c r="R12" i="4" s="1"/>
  <c r="Q10" i="4"/>
  <c r="R10" i="4" s="1"/>
  <c r="O20" i="4"/>
  <c r="P20" i="4" s="1"/>
  <c r="O19" i="4"/>
  <c r="P19" i="4" s="1"/>
  <c r="O18" i="4"/>
  <c r="P18" i="4" s="1"/>
  <c r="O17" i="4"/>
  <c r="P17" i="4" s="1"/>
  <c r="O16" i="4"/>
  <c r="P16" i="4" s="1"/>
  <c r="O15" i="4"/>
  <c r="P15" i="4" s="1"/>
  <c r="O14" i="4"/>
  <c r="P14" i="4" s="1"/>
  <c r="O12" i="4"/>
  <c r="P12" i="4" s="1"/>
  <c r="O10" i="4"/>
  <c r="P10" i="4" s="1"/>
  <c r="M20" i="4"/>
  <c r="N20" i="4" s="1"/>
  <c r="M19" i="4"/>
  <c r="N19" i="4" s="1"/>
  <c r="M18" i="4"/>
  <c r="N18" i="4" s="1"/>
  <c r="M17" i="4"/>
  <c r="N17" i="4" s="1"/>
  <c r="M16" i="4"/>
  <c r="N16" i="4" s="1"/>
  <c r="M15" i="4"/>
  <c r="N15" i="4" s="1"/>
  <c r="M14" i="4"/>
  <c r="N14" i="4" s="1"/>
  <c r="M12" i="4"/>
  <c r="N12" i="4" s="1"/>
  <c r="M10" i="4"/>
  <c r="I15" i="4"/>
  <c r="I12" i="4"/>
  <c r="I19" i="4"/>
  <c r="I18" i="4"/>
  <c r="I20" i="4"/>
  <c r="K20" i="4"/>
  <c r="K11" i="4" s="1"/>
  <c r="K21" i="4" s="1"/>
  <c r="K19" i="4"/>
  <c r="K18" i="4"/>
  <c r="K17" i="4"/>
  <c r="K16" i="4"/>
  <c r="K15" i="4"/>
  <c r="K14" i="4"/>
  <c r="K13" i="4"/>
  <c r="K12" i="4"/>
  <c r="K10" i="4"/>
  <c r="I10" i="4"/>
  <c r="I9" i="4" s="1"/>
  <c r="G20" i="4"/>
  <c r="G19" i="4"/>
  <c r="G18" i="4"/>
  <c r="G17" i="4"/>
  <c r="G16" i="4"/>
  <c r="G15" i="4"/>
  <c r="G14" i="4"/>
  <c r="G13" i="4"/>
  <c r="G12" i="4"/>
  <c r="G10" i="4"/>
  <c r="O13" i="4" l="1"/>
  <c r="P13" i="4" s="1"/>
  <c r="M13" i="4"/>
  <c r="N13" i="4" s="1"/>
  <c r="N10" i="4"/>
  <c r="N9" i="4" s="1"/>
  <c r="I16" i="4"/>
  <c r="I17" i="4"/>
  <c r="I14" i="4"/>
  <c r="I13" i="4"/>
  <c r="G9" i="4"/>
  <c r="G11" i="4"/>
  <c r="K9" i="4"/>
  <c r="I11" i="4" l="1"/>
  <c r="I21" i="4" s="1"/>
  <c r="N11" i="4"/>
  <c r="N21" i="4" s="1"/>
  <c r="G21" i="4"/>
  <c r="P9" i="4"/>
  <c r="R9" i="4"/>
  <c r="I24" i="4" l="1"/>
  <c r="I25" i="4" s="1"/>
  <c r="Q22" i="4"/>
  <c r="R11" i="4"/>
  <c r="R21" i="4" s="1"/>
  <c r="P11" i="4"/>
  <c r="P21" i="4" s="1"/>
  <c r="P22" i="4" s="1"/>
  <c r="N22" i="4"/>
  <c r="N23" i="4" s="1"/>
  <c r="N24" i="4" s="1"/>
  <c r="N25" i="4" s="1"/>
  <c r="N28" i="4" s="1"/>
  <c r="G22" i="4"/>
  <c r="G23" i="4"/>
  <c r="G24" i="4" s="1"/>
  <c r="K22" i="4"/>
  <c r="K23" i="4" s="1"/>
  <c r="K24" i="4" s="1"/>
  <c r="K25" i="4" s="1"/>
  <c r="R22" i="4" l="1"/>
  <c r="R23" i="4" s="1"/>
  <c r="R24" i="4" s="1"/>
  <c r="R25" i="4" s="1"/>
  <c r="P23" i="4"/>
  <c r="P24" i="4" s="1"/>
  <c r="P25" i="4" s="1"/>
  <c r="G25" i="4" l="1"/>
  <c r="I4" i="3" l="1"/>
  <c r="J4" i="3" s="1"/>
  <c r="I5" i="3"/>
  <c r="J5" i="3" s="1"/>
  <c r="I6" i="3"/>
  <c r="J6" i="3" s="1"/>
  <c r="I3" i="3"/>
  <c r="J3" i="3" s="1"/>
  <c r="E4" i="3"/>
  <c r="F4" i="3" s="1"/>
  <c r="E5" i="3"/>
  <c r="F5" i="3" s="1"/>
  <c r="E6" i="3"/>
  <c r="F6" i="3" s="1"/>
  <c r="E3" i="3"/>
  <c r="F3" i="3" l="1"/>
  <c r="L3" i="3"/>
  <c r="F7" i="3"/>
  <c r="J7" i="3"/>
  <c r="H10" i="3" l="1"/>
</calcChain>
</file>

<file path=xl/sharedStrings.xml><?xml version="1.0" encoding="utf-8"?>
<sst xmlns="http://schemas.openxmlformats.org/spreadsheetml/2006/main" count="76" uniqueCount="52">
  <si>
    <t>VR. UNITARIO
(IVA INCLUIDO)</t>
  </si>
  <si>
    <t>PROMEDIO</t>
  </si>
  <si>
    <t xml:space="preserve">ESTUDIO PRECIOS DE MERCADO </t>
  </si>
  <si>
    <t>RAZÓN SOCIAL 4</t>
  </si>
  <si>
    <t>Fecha Elaboración</t>
  </si>
  <si>
    <t xml:space="preserve">MEDIA ARMÓNICA </t>
  </si>
  <si>
    <t>MEDIANA</t>
  </si>
  <si>
    <t>UNIDAD</t>
  </si>
  <si>
    <t xml:space="preserve">SISTEMA DE UPS (PROTECCIÓN Y ENERGÍA ININTERRUMPIDA) PARA PROYECTOR BARCO. </t>
  </si>
  <si>
    <t>PACK DE BATERIAS MARCA APC MODELO SMART UPS RT 2200</t>
  </si>
  <si>
    <t>ALTAVOZ ACTIVO (AUTO POTENCIADO) DE 10 PULGADAS.</t>
  </si>
  <si>
    <t>LAMPARA DE REPUESTO PARA PROYECTOR EPSON POWERLITE 1960</t>
  </si>
  <si>
    <t>ARQ</t>
  </si>
  <si>
    <t>AVI HI TECH SAS</t>
  </si>
  <si>
    <t xml:space="preserve">promedio </t>
  </si>
  <si>
    <t xml:space="preserve">unitario </t>
  </si>
  <si>
    <t xml:space="preserve">mas iva </t>
  </si>
  <si>
    <t xml:space="preserve">total </t>
  </si>
  <si>
    <t xml:space="preserve">Esta Dirección toma como  valor aproximado de precio de mercado la suma de: </t>
  </si>
  <si>
    <t>TOTAL COSTO INDIRECTO</t>
  </si>
  <si>
    <t>DIRECCIÓN DE PATRIMONIO Y MEMORIA</t>
  </si>
  <si>
    <t>Yamid Alexander Patiño Torres</t>
  </si>
  <si>
    <t xml:space="preserve">Coordinador  Grupo PCIU </t>
  </si>
  <si>
    <t>IVA SOBRE TOTAL</t>
  </si>
  <si>
    <t>TOTAL COSTO DIRECTO</t>
  </si>
  <si>
    <t xml:space="preserve">TOTAL PARCIAL
 ($)
</t>
  </si>
  <si>
    <t>DESCRIPCIÓN</t>
  </si>
  <si>
    <t>CANTIDAD</t>
  </si>
  <si>
    <t>ITEM</t>
  </si>
  <si>
    <t xml:space="preserve">UNIDAD </t>
  </si>
  <si>
    <t>un</t>
  </si>
  <si>
    <t>VALOR UNITARIO  $
OFERTADO</t>
  </si>
  <si>
    <t>TOTAL PARCIAL
 ($)</t>
  </si>
  <si>
    <t>TOTAL</t>
  </si>
  <si>
    <t>MINISTERIO DE LAS CULTURAS LAS ATES Y LOS SABERES</t>
  </si>
  <si>
    <t>OBJETO: CONTRATAR LA CONSULTORÍA PARA DESARROLLAR LA FASE II – PROPUESTA INTEGRAL DE FORMULACIÓN DEL PLAN ESPECIAL DE MANEJO Y PROTECCIÓN – PEMP DEL SECTOR ANTIGUO DEL MUNICIPIO DE GUADUAS, CUNDINAMARCA</t>
  </si>
  <si>
    <t>OFERTA 1 - ARINCO SAS</t>
  </si>
  <si>
    <t>OFERTA 3 - IDOM</t>
  </si>
  <si>
    <t>ANÁLISIS Y DIAGNÓSTICO</t>
  </si>
  <si>
    <t>Documento de DIAGNOSTICO: el cual contendrá como mínimo la cartografía urbanística completa, el estado general de la información existente, los vacíos y entidades responsables y las conclusiones que permitan una aproximación a los problemas y conflictos del BIC. Debe incluir:
-	Analizar y complementar  la Información entregada por el Ministerio de Cultura, de conformidad con los parámetros establecidos en el decreto 2358 de 2019 para la valoración de los BIC.
-	Analizar la propuesta normativa formulada por la comunidad, en proceso participativo desarrollado por el Ministerio de Cultura en el 2022.
-	Socialización para informar a la ciudadanía el inicio del PEMP, donde se presentarán el significado, los contenidos, los alcances y la metodología del PEMP.
-	Generar una estrategia de acercamiento a la comunidad y a las instituciones públicas y privadas susceptibles de participar en el proceso de formulación del PEMP.</t>
  </si>
  <si>
    <t>PROPUESTA INTEGRAL O FORMULACIÓN</t>
  </si>
  <si>
    <t>Documento de FORMULACIÓN: De acuerdo con las conclusiones del diagnóstico, se debe realizar una propuesta integral que sea la herramienta que garantice la conservación, la recuperación, la sostenibilidad del Centro historico y el patrimonio cultural mueble e inmaterial asociado, de tal manera que potencie las fortalezas, aproveche las oportunidades, solucione las debilidades y elimine o mitigue las amenazas presentes en el bien. Deberá incluir los contenidos de acuerdo al Decreto 2358 de 2019.</t>
  </si>
  <si>
    <t>Cartografia: Delimitación del área afectada y zona de influencia, Niveles permitidos de intervención, sectores normativos, Usos, Edificabilidad, Indices de ocupacion, Tratamientos urbanisticos, Niveles permitidos de intervencion, Mobilidad, Especio publico, Equipamento, Estacionamientos, Estructura ambiental</t>
  </si>
  <si>
    <t>Fichas normativas predio a predio de los niveles 1 y 2</t>
  </si>
  <si>
    <t>Fichas normativas por manzanas</t>
  </si>
  <si>
    <t>Fichas de programas y proyectos</t>
  </si>
  <si>
    <t>Documento RESUMEN de la propuesta, el cual será la síntesis de divulgación, de conformidad con el artículo 2.4.1.1.10. contenido en el artículo 15 del Decreto 2358 de 2019.</t>
  </si>
  <si>
    <t>Propuesta de Resolución</t>
  </si>
  <si>
    <t>Sistema de Información Geográfico SIG, actualizado, con la información predio a predio del sector antiguo y monumentos en espacio público del sector antiguo su zona de influencia, con la cartografía y atributos geográficos, teniendo como base la información catastral IGAC del Municipio de Guaduas, en coordinación con la oficina SIG del Municipio.</t>
  </si>
  <si>
    <t>Plan de Comunicaciones o plan de divulgación del PEMP, dirigido a las comunidades,  definidas en el PEMP desde sus objetivos y actuaciones señaladas desde esa primera norma, que permita un mayor nivel de apropiación del conocimiento y la resignificación de los valores patrimoniales en la ciudad</t>
  </si>
  <si>
    <t>UTILIDAD / HONORARIOS</t>
  </si>
  <si>
    <t>OFERTA 2 - Limen APC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</si>
</sst>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[$$-240A]\ * #,##0.00_-;\-[$$-240A]\ * #,##0.00_-;_-[$$-240A]\ * &quot;-&quot;??_-;_-@_-"/>
    <numFmt numFmtId="167" formatCode="&quot;$&quot;\ #,##0"/>
    <numFmt numFmtId="168" formatCode="&quot;$&quot;\ #,##0.00"/>
    <numFmt numFmtId="169" formatCode="_-&quot;$&quot;\ * #,##0_-;\-&quot;$&quot;\ * #,##0_-;_-&quot;$&quot;\ * &quot;-&quot;??_-;_-@_-"/>
    <numFmt numFmtId="170" formatCode="_-* #,##0_-;\-* #,##0_-;_-* &quot;-&quot;??_-;_-@_-"/>
    <numFmt numFmtId="171" formatCode="_-&quot;$&quot;* #,##0_-;\-&quot;$&quot;* #,##0_-;_-&quot;$&quot;* &quot;-&quot;??_-;_-@_-"/>
  </numFmts>
  <fonts count="8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2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horizontal="center" vertical="center"/>
    </xf>
    <xf numFmtId="167" fontId="1" fillId="0" borderId="0" xfId="0" applyNumberFormat="1" applyFont="1"/>
    <xf numFmtId="167" fontId="0" fillId="0" borderId="0" xfId="0" applyNumberFormat="1"/>
    <xf numFmtId="167" fontId="1" fillId="0" borderId="1" xfId="0" applyNumberFormat="1" applyFont="1" applyBorder="1"/>
    <xf numFmtId="0" fontId="0" fillId="0" borderId="1" xfId="0" applyBorder="1"/>
    <xf numFmtId="167" fontId="0" fillId="0" borderId="1" xfId="0" applyNumberFormat="1" applyBorder="1"/>
    <xf numFmtId="168" fontId="0" fillId="0" borderId="1" xfId="0" applyNumberFormat="1" applyBorder="1"/>
    <xf numFmtId="0" fontId="0" fillId="0" borderId="2" xfId="0" applyBorder="1"/>
    <xf numFmtId="169" fontId="2" fillId="0" borderId="0" xfId="5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2" fillId="0" borderId="1" xfId="4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9" fontId="3" fillId="0" borderId="0" xfId="5" applyNumberFormat="1" applyFont="1" applyBorder="1" applyAlignment="1">
      <alignment horizontal="center" vertical="center"/>
    </xf>
    <xf numFmtId="169" fontId="2" fillId="0" borderId="0" xfId="5" applyNumberFormat="1" applyFont="1" applyBorder="1" applyAlignment="1">
      <alignment horizontal="center" vertical="center"/>
    </xf>
    <xf numFmtId="169" fontId="2" fillId="0" borderId="1" xfId="5" applyNumberFormat="1" applyFont="1" applyBorder="1" applyAlignment="1">
      <alignment horizontal="center" vertical="center"/>
    </xf>
    <xf numFmtId="169" fontId="3" fillId="0" borderId="1" xfId="5" applyNumberFormat="1" applyFont="1" applyBorder="1" applyAlignment="1">
      <alignment horizontal="center" vertical="center"/>
    </xf>
    <xf numFmtId="169" fontId="2" fillId="0" borderId="4" xfId="5" applyNumberFormat="1" applyFont="1" applyBorder="1" applyAlignment="1">
      <alignment horizontal="center" vertical="center"/>
    </xf>
    <xf numFmtId="169" fontId="2" fillId="6" borderId="1" xfId="5" applyNumberFormat="1" applyFont="1" applyFill="1" applyBorder="1" applyAlignment="1">
      <alignment horizontal="center" vertical="center"/>
    </xf>
    <xf numFmtId="169" fontId="2" fillId="5" borderId="1" xfId="5" applyNumberFormat="1" applyFont="1" applyFill="1" applyBorder="1" applyAlignment="1">
      <alignment horizontal="center" vertical="center"/>
    </xf>
    <xf numFmtId="169" fontId="2" fillId="0" borderId="6" xfId="5" applyNumberFormat="1" applyFont="1" applyBorder="1" applyAlignment="1">
      <alignment horizontal="center" vertical="center"/>
    </xf>
    <xf numFmtId="169" fontId="3" fillId="2" borderId="0" xfId="5" applyNumberFormat="1" applyFont="1" applyFill="1" applyBorder="1" applyAlignment="1">
      <alignment horizontal="center" vertical="center"/>
    </xf>
    <xf numFmtId="169" fontId="2" fillId="0" borderId="7" xfId="5" applyNumberFormat="1" applyFont="1" applyBorder="1" applyAlignment="1">
      <alignment horizontal="center" vertical="center"/>
    </xf>
    <xf numFmtId="169" fontId="2" fillId="0" borderId="9" xfId="5" applyNumberFormat="1" applyFont="1" applyBorder="1" applyAlignment="1">
      <alignment horizontal="center" vertical="center"/>
    </xf>
    <xf numFmtId="169" fontId="2" fillId="0" borderId="11" xfId="5" applyNumberFormat="1" applyFont="1" applyBorder="1" applyAlignment="1">
      <alignment horizontal="center" vertical="center"/>
    </xf>
    <xf numFmtId="169" fontId="3" fillId="0" borderId="9" xfId="5" applyNumberFormat="1" applyFont="1" applyBorder="1" applyAlignment="1">
      <alignment horizontal="center" vertical="center"/>
    </xf>
    <xf numFmtId="169" fontId="3" fillId="0" borderId="1" xfId="5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43" fontId="6" fillId="0" borderId="1" xfId="6" applyFont="1" applyBorder="1" applyAlignment="1">
      <alignment horizontal="center" vertical="center" wrapText="1"/>
    </xf>
    <xf numFmtId="167" fontId="6" fillId="0" borderId="1" xfId="5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left" vertical="center" wrapText="1"/>
    </xf>
    <xf numFmtId="43" fontId="7" fillId="0" borderId="1" xfId="6" applyFont="1" applyBorder="1" applyAlignment="1">
      <alignment horizontal="right" vertical="center" wrapText="1"/>
    </xf>
    <xf numFmtId="9" fontId="7" fillId="0" borderId="1" xfId="7" applyFont="1" applyBorder="1" applyAlignment="1">
      <alignment horizontal="right" vertical="center" wrapText="1"/>
    </xf>
    <xf numFmtId="169" fontId="2" fillId="0" borderId="0" xfId="5" applyNumberFormat="1" applyFont="1" applyBorder="1"/>
    <xf numFmtId="14" fontId="3" fillId="0" borderId="1" xfId="5" applyNumberFormat="1" applyFont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/>
    </xf>
    <xf numFmtId="9" fontId="7" fillId="0" borderId="1" xfId="7" applyFont="1" applyBorder="1" applyAlignment="1">
      <alignment horizontal="center" vertical="center" wrapText="1"/>
    </xf>
    <xf numFmtId="43" fontId="3" fillId="0" borderId="0" xfId="6" applyFont="1" applyAlignment="1">
      <alignment horizontal="center" vertical="center"/>
    </xf>
    <xf numFmtId="43" fontId="2" fillId="0" borderId="0" xfId="6" applyFont="1" applyAlignment="1">
      <alignment horizontal="center" vertical="center"/>
    </xf>
    <xf numFmtId="43" fontId="2" fillId="0" borderId="4" xfId="6" applyFont="1" applyBorder="1" applyAlignment="1">
      <alignment horizontal="center" vertical="center"/>
    </xf>
    <xf numFmtId="170" fontId="3" fillId="0" borderId="0" xfId="6" applyNumberFormat="1" applyFont="1" applyAlignment="1">
      <alignment horizontal="center" vertical="center"/>
    </xf>
    <xf numFmtId="170" fontId="2" fillId="0" borderId="0" xfId="6" applyNumberFormat="1" applyFont="1" applyAlignment="1">
      <alignment horizontal="center" vertical="center"/>
    </xf>
    <xf numFmtId="170" fontId="6" fillId="0" borderId="1" xfId="6" applyNumberFormat="1" applyFont="1" applyBorder="1" applyAlignment="1">
      <alignment horizontal="center" vertical="center" wrapText="1"/>
    </xf>
    <xf numFmtId="170" fontId="7" fillId="0" borderId="1" xfId="6" applyNumberFormat="1" applyFont="1" applyBorder="1" applyAlignment="1">
      <alignment horizontal="left" vertical="center" wrapText="1"/>
    </xf>
    <xf numFmtId="170" fontId="2" fillId="0" borderId="4" xfId="6" applyNumberFormat="1" applyFont="1" applyBorder="1" applyAlignment="1">
      <alignment horizontal="center" vertical="center"/>
    </xf>
    <xf numFmtId="44" fontId="3" fillId="0" borderId="0" xfId="5" applyFont="1" applyAlignment="1">
      <alignment horizontal="center" vertical="center"/>
    </xf>
    <xf numFmtId="44" fontId="2" fillId="0" borderId="0" xfId="5" applyFont="1" applyAlignment="1">
      <alignment horizontal="center" vertical="center"/>
    </xf>
    <xf numFmtId="44" fontId="6" fillId="0" borderId="1" xfId="5" applyFont="1" applyBorder="1" applyAlignment="1">
      <alignment horizontal="center" vertical="center" wrapText="1"/>
    </xf>
    <xf numFmtId="44" fontId="7" fillId="0" borderId="1" xfId="5" applyFont="1" applyBorder="1" applyAlignment="1">
      <alignment horizontal="right" vertical="center" wrapText="1"/>
    </xf>
    <xf numFmtId="44" fontId="6" fillId="6" borderId="1" xfId="5" applyFont="1" applyFill="1" applyBorder="1" applyAlignment="1">
      <alignment vertical="center" wrapText="1"/>
    </xf>
    <xf numFmtId="44" fontId="6" fillId="6" borderId="1" xfId="5" applyFont="1" applyFill="1" applyBorder="1" applyAlignment="1">
      <alignment horizontal="right" vertical="center" wrapText="1"/>
    </xf>
    <xf numFmtId="44" fontId="6" fillId="5" borderId="1" xfId="5" applyFont="1" applyFill="1" applyBorder="1" applyAlignment="1">
      <alignment vertical="center" wrapText="1"/>
    </xf>
    <xf numFmtId="44" fontId="6" fillId="5" borderId="1" xfId="5" applyFont="1" applyFill="1" applyBorder="1" applyAlignment="1">
      <alignment horizontal="right" vertical="center" wrapText="1"/>
    </xf>
    <xf numFmtId="44" fontId="3" fillId="0" borderId="0" xfId="5" applyFont="1" applyAlignment="1">
      <alignment vertical="center" wrapText="1"/>
    </xf>
    <xf numFmtId="44" fontId="3" fillId="0" borderId="0" xfId="5" applyFont="1" applyAlignment="1">
      <alignment vertical="center"/>
    </xf>
    <xf numFmtId="44" fontId="2" fillId="0" borderId="4" xfId="5" applyFont="1" applyBorder="1" applyAlignment="1">
      <alignment horizontal="center" vertical="center"/>
    </xf>
    <xf numFmtId="44" fontId="2" fillId="6" borderId="1" xfId="5" applyFont="1" applyFill="1" applyBorder="1" applyAlignment="1">
      <alignment horizontal="center" vertical="center"/>
    </xf>
    <xf numFmtId="44" fontId="2" fillId="5" borderId="1" xfId="5" applyFont="1" applyFill="1" applyBorder="1" applyAlignment="1">
      <alignment horizontal="center" vertical="center"/>
    </xf>
    <xf numFmtId="171" fontId="2" fillId="0" borderId="1" xfId="5" applyNumberFormat="1" applyFont="1" applyBorder="1" applyAlignment="1" applyProtection="1">
      <alignment vertical="center" wrapText="1"/>
    </xf>
    <xf numFmtId="169" fontId="3" fillId="0" borderId="0" xfId="5" applyNumberFormat="1" applyFont="1" applyBorder="1" applyAlignment="1">
      <alignment horizontal="center" vertical="center" wrapText="1"/>
    </xf>
    <xf numFmtId="14" fontId="3" fillId="0" borderId="9" xfId="5" applyNumberFormat="1" applyFont="1" applyBorder="1" applyAlignment="1">
      <alignment horizontal="center" vertical="center" wrapText="1"/>
    </xf>
    <xf numFmtId="170" fontId="6" fillId="0" borderId="1" xfId="6" applyNumberFormat="1" applyFont="1" applyBorder="1" applyAlignment="1">
      <alignment horizontal="left" vertical="center" wrapText="1"/>
    </xf>
    <xf numFmtId="167" fontId="6" fillId="0" borderId="1" xfId="0" applyNumberFormat="1" applyFont="1" applyBorder="1" applyAlignment="1">
      <alignment horizontal="left" vertical="center" wrapText="1"/>
    </xf>
    <xf numFmtId="9" fontId="6" fillId="0" borderId="1" xfId="7" applyFont="1" applyBorder="1" applyAlignment="1">
      <alignment horizontal="center" vertical="center" wrapText="1"/>
    </xf>
    <xf numFmtId="43" fontId="6" fillId="0" borderId="1" xfId="6" applyFont="1" applyBorder="1" applyAlignment="1">
      <alignment horizontal="right" vertical="center" wrapText="1"/>
    </xf>
    <xf numFmtId="44" fontId="6" fillId="0" borderId="1" xfId="5" applyFont="1" applyBorder="1" applyAlignment="1">
      <alignment horizontal="right" vertical="center" wrapText="1"/>
    </xf>
    <xf numFmtId="171" fontId="3" fillId="0" borderId="1" xfId="5" applyNumberFormat="1" applyFont="1" applyBorder="1" applyAlignment="1" applyProtection="1">
      <alignment vertical="center" wrapText="1"/>
    </xf>
    <xf numFmtId="166" fontId="3" fillId="0" borderId="1" xfId="4" applyNumberFormat="1" applyFont="1" applyBorder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44" fontId="7" fillId="0" borderId="1" xfId="5" applyFont="1" applyBorder="1" applyAlignment="1">
      <alignment vertical="center" wrapText="1"/>
    </xf>
    <xf numFmtId="9" fontId="2" fillId="0" borderId="1" xfId="7" applyFont="1" applyBorder="1" applyAlignment="1">
      <alignment horizontal="right" vertical="center"/>
    </xf>
    <xf numFmtId="44" fontId="3" fillId="0" borderId="1" xfId="5" applyFont="1" applyBorder="1" applyAlignment="1" applyProtection="1">
      <alignment vertical="center" wrapText="1"/>
    </xf>
    <xf numFmtId="44" fontId="2" fillId="0" borderId="1" xfId="5" applyFont="1" applyBorder="1" applyAlignment="1" applyProtection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9" fontId="3" fillId="4" borderId="1" xfId="5" applyNumberFormat="1" applyFont="1" applyFill="1" applyBorder="1" applyAlignment="1">
      <alignment horizontal="center" vertical="center" wrapText="1"/>
    </xf>
    <xf numFmtId="169" fontId="3" fillId="5" borderId="1" xfId="5" applyNumberFormat="1" applyFont="1" applyFill="1" applyBorder="1" applyAlignment="1">
      <alignment horizontal="center" vertical="center" wrapText="1"/>
    </xf>
    <xf numFmtId="44" fontId="3" fillId="7" borderId="1" xfId="5" applyFont="1" applyFill="1" applyBorder="1" applyAlignment="1">
      <alignment horizontal="center" vertical="center" wrapText="1"/>
    </xf>
    <xf numFmtId="44" fontId="3" fillId="7" borderId="2" xfId="5" applyFont="1" applyFill="1" applyBorder="1" applyAlignment="1">
      <alignment horizontal="center" vertical="center" wrapText="1"/>
    </xf>
    <xf numFmtId="44" fontId="3" fillId="7" borderId="3" xfId="5" applyFont="1" applyFill="1" applyBorder="1" applyAlignment="1">
      <alignment horizontal="center" vertical="center" wrapText="1"/>
    </xf>
    <xf numFmtId="167" fontId="6" fillId="6" borderId="1" xfId="0" applyNumberFormat="1" applyFont="1" applyFill="1" applyBorder="1" applyAlignment="1">
      <alignment horizontal="left" vertical="center" wrapText="1"/>
    </xf>
    <xf numFmtId="167" fontId="7" fillId="0" borderId="1" xfId="0" applyNumberFormat="1" applyFont="1" applyBorder="1" applyAlignment="1">
      <alignment horizontal="left" vertical="center" wrapText="1"/>
    </xf>
    <xf numFmtId="167" fontId="6" fillId="5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/>
    </xf>
  </cellXfs>
  <cellStyles count="8">
    <cellStyle name="Millares" xfId="6" builtinId="3"/>
    <cellStyle name="Millares 2" xfId="1" xr:uid="{00000000-0005-0000-0000-000001000000}"/>
    <cellStyle name="Moneda" xfId="5" builtinId="4"/>
    <cellStyle name="Moneda [0]" xfId="4" builtinId="7"/>
    <cellStyle name="Moneda [0] 2" xfId="2" xr:uid="{00000000-0005-0000-0000-000004000000}"/>
    <cellStyle name="Normal" xfId="0" builtinId="0"/>
    <cellStyle name="Normal 2" xfId="3" xr:uid="{00000000-0005-0000-0000-000006000000}"/>
    <cellStyle name="Porcentaje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6"/>
  <sheetViews>
    <sheetView tabSelected="1" topLeftCell="B1" zoomScale="71" zoomScaleNormal="71" workbookViewId="0">
      <pane xSplit="3" ySplit="8" topLeftCell="G19" activePane="bottomRight" state="frozen"/>
      <selection activeCell="B1" sqref="B1"/>
      <selection pane="topRight" activeCell="E1" sqref="E1"/>
      <selection pane="bottomLeft" activeCell="B8" sqref="B8"/>
      <selection pane="bottomRight" activeCell="N25" sqref="N25"/>
    </sheetView>
  </sheetViews>
  <sheetFormatPr baseColWidth="10" defaultColWidth="17.5703125" defaultRowHeight="12" x14ac:dyDescent="0.2"/>
  <cols>
    <col min="1" max="1" width="17.5703125" style="1" hidden="1" customWidth="1"/>
    <col min="2" max="2" width="7.7109375" style="47" bestFit="1" customWidth="1"/>
    <col min="3" max="3" width="50.7109375" style="1" customWidth="1"/>
    <col min="4" max="4" width="9.7109375" style="1" bestFit="1" customWidth="1"/>
    <col min="5" max="5" width="13" style="44" bestFit="1" customWidth="1"/>
    <col min="6" max="6" width="19.42578125" style="52" bestFit="1" customWidth="1"/>
    <col min="7" max="7" width="20.42578125" style="52" customWidth="1"/>
    <col min="8" max="8" width="19.42578125" style="52" bestFit="1" customWidth="1"/>
    <col min="9" max="9" width="23.5703125" style="52" customWidth="1"/>
    <col min="10" max="10" width="17.28515625" style="52" bestFit="1" customWidth="1"/>
    <col min="11" max="11" width="24.85546875" style="52" customWidth="1"/>
    <col min="12" max="12" width="17.5703125" style="1" hidden="1" customWidth="1"/>
    <col min="13" max="18" width="20.7109375" style="9" customWidth="1"/>
    <col min="19" max="16384" width="17.5703125" style="1"/>
  </cols>
  <sheetData>
    <row r="1" spans="1:19" x14ac:dyDescent="0.2">
      <c r="A1" s="12"/>
      <c r="B1" s="79" t="s">
        <v>34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25"/>
      <c r="P1" s="25"/>
      <c r="Q1" s="25"/>
      <c r="R1" s="27"/>
    </row>
    <row r="2" spans="1:19" x14ac:dyDescent="0.2">
      <c r="A2" s="13"/>
      <c r="B2" s="80" t="s">
        <v>20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19"/>
      <c r="P2" s="19"/>
      <c r="Q2" s="19"/>
      <c r="R2" s="28"/>
    </row>
    <row r="3" spans="1:19" x14ac:dyDescent="0.2">
      <c r="A3" s="13"/>
      <c r="B3" s="46"/>
      <c r="C3" s="10"/>
      <c r="D3" s="10"/>
      <c r="E3" s="43"/>
      <c r="F3" s="51"/>
      <c r="G3" s="51"/>
      <c r="H3" s="51"/>
      <c r="I3" s="51"/>
      <c r="J3" s="51"/>
      <c r="K3" s="51"/>
      <c r="L3" s="10"/>
      <c r="M3" s="18"/>
      <c r="N3" s="18"/>
      <c r="O3" s="19"/>
      <c r="P3" s="19"/>
      <c r="Q3" s="22"/>
      <c r="R3" s="29"/>
    </row>
    <row r="4" spans="1:19" x14ac:dyDescent="0.2">
      <c r="A4" s="13"/>
      <c r="B4" s="80" t="s">
        <v>2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19"/>
      <c r="P4" s="19"/>
      <c r="Q4" s="31" t="s">
        <v>4</v>
      </c>
      <c r="R4" s="40">
        <v>45733</v>
      </c>
    </row>
    <row r="5" spans="1:19" x14ac:dyDescent="0.2">
      <c r="A5" s="13"/>
      <c r="B5" s="80" t="s">
        <v>35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19"/>
      <c r="P5" s="19"/>
      <c r="Q5" s="65"/>
      <c r="R5" s="66"/>
    </row>
    <row r="6" spans="1:19" x14ac:dyDescent="0.2">
      <c r="A6" s="13"/>
      <c r="M6" s="19"/>
      <c r="N6" s="19"/>
      <c r="O6" s="19"/>
      <c r="P6" s="19"/>
      <c r="Q6" s="19"/>
      <c r="R6" s="28"/>
    </row>
    <row r="7" spans="1:19" ht="45" customHeight="1" x14ac:dyDescent="0.2">
      <c r="A7" s="13"/>
      <c r="F7" s="86" t="s">
        <v>36</v>
      </c>
      <c r="G7" s="87"/>
      <c r="H7" s="85" t="s">
        <v>51</v>
      </c>
      <c r="I7" s="85"/>
      <c r="J7" s="85" t="s">
        <v>37</v>
      </c>
      <c r="K7" s="85"/>
      <c r="L7" s="32" t="s">
        <v>3</v>
      </c>
      <c r="M7" s="81" t="s">
        <v>1</v>
      </c>
      <c r="N7" s="82"/>
      <c r="O7" s="83" t="s">
        <v>5</v>
      </c>
      <c r="P7" s="83"/>
      <c r="Q7" s="84" t="s">
        <v>6</v>
      </c>
      <c r="R7" s="84"/>
    </row>
    <row r="8" spans="1:19" ht="36" x14ac:dyDescent="0.2">
      <c r="A8" s="13"/>
      <c r="B8" s="48" t="s">
        <v>28</v>
      </c>
      <c r="C8" s="33" t="s">
        <v>26</v>
      </c>
      <c r="D8" s="33" t="s">
        <v>29</v>
      </c>
      <c r="E8" s="34" t="s">
        <v>27</v>
      </c>
      <c r="F8" s="53" t="s">
        <v>31</v>
      </c>
      <c r="G8" s="53" t="s">
        <v>32</v>
      </c>
      <c r="H8" s="53" t="s">
        <v>31</v>
      </c>
      <c r="I8" s="53" t="s">
        <v>32</v>
      </c>
      <c r="J8" s="53" t="s">
        <v>31</v>
      </c>
      <c r="K8" s="53" t="s">
        <v>32</v>
      </c>
      <c r="L8" s="32" t="s">
        <v>0</v>
      </c>
      <c r="M8" s="53" t="s">
        <v>31</v>
      </c>
      <c r="N8" s="35" t="s">
        <v>25</v>
      </c>
      <c r="O8" s="53" t="s">
        <v>31</v>
      </c>
      <c r="P8" s="35" t="s">
        <v>25</v>
      </c>
      <c r="Q8" s="53" t="s">
        <v>31</v>
      </c>
      <c r="R8" s="35" t="s">
        <v>25</v>
      </c>
    </row>
    <row r="9" spans="1:19" s="10" customFormat="1" x14ac:dyDescent="0.2">
      <c r="A9" s="14"/>
      <c r="B9" s="67"/>
      <c r="C9" s="68" t="s">
        <v>38</v>
      </c>
      <c r="D9" s="69"/>
      <c r="E9" s="70"/>
      <c r="F9" s="71"/>
      <c r="G9" s="77">
        <f>SUM(G10)</f>
        <v>59225000</v>
      </c>
      <c r="H9" s="71"/>
      <c r="I9" s="77">
        <f>SUM(I10)</f>
        <v>73820000</v>
      </c>
      <c r="J9" s="71"/>
      <c r="K9" s="77">
        <f>SUM(K10)</f>
        <v>451000000</v>
      </c>
      <c r="L9" s="73"/>
      <c r="M9" s="21"/>
      <c r="N9" s="72">
        <f>SUM(N10)</f>
        <v>194681667</v>
      </c>
      <c r="O9" s="21"/>
      <c r="P9" s="72">
        <f>SUM(P10)</f>
        <v>91887777</v>
      </c>
      <c r="Q9" s="21"/>
      <c r="R9" s="72">
        <f>SUM(R10)</f>
        <v>73820000</v>
      </c>
      <c r="S9" s="74"/>
    </row>
    <row r="10" spans="1:19" ht="228" x14ac:dyDescent="0.2">
      <c r="A10" s="13"/>
      <c r="B10" s="49">
        <v>1</v>
      </c>
      <c r="C10" s="36" t="s">
        <v>39</v>
      </c>
      <c r="D10" s="42" t="s">
        <v>30</v>
      </c>
      <c r="E10" s="37">
        <v>1</v>
      </c>
      <c r="F10" s="54">
        <v>59225000</v>
      </c>
      <c r="G10" s="78">
        <f t="shared" ref="G10:G20" si="0">+ROUND((E10*F10),0)</f>
        <v>59225000</v>
      </c>
      <c r="H10" s="78">
        <v>73820000</v>
      </c>
      <c r="I10" s="78">
        <f>+ROUND((E10*H10),0)</f>
        <v>73820000</v>
      </c>
      <c r="J10" s="54">
        <v>451000000</v>
      </c>
      <c r="K10" s="78">
        <f>+ROUND((E10*J10),0)</f>
        <v>451000000</v>
      </c>
      <c r="L10" s="11"/>
      <c r="M10" s="20">
        <f>AVERAGE(F10,H10,J10)</f>
        <v>194681666.66666666</v>
      </c>
      <c r="N10" s="64">
        <f>+ROUND((E10*M10),0)</f>
        <v>194681667</v>
      </c>
      <c r="O10" s="20">
        <f>HARMEAN(F10,H10,J10)</f>
        <v>91887777.109552041</v>
      </c>
      <c r="P10" s="64">
        <f>+ROUND((E10*O10),0)</f>
        <v>91887777</v>
      </c>
      <c r="Q10" s="20">
        <f>MEDIAN(F10,H10,J10)</f>
        <v>73820000</v>
      </c>
      <c r="R10" s="64">
        <f>+ROUND((E10*Q10),0)</f>
        <v>73820000</v>
      </c>
      <c r="S10" s="41"/>
    </row>
    <row r="11" spans="1:19" s="10" customFormat="1" x14ac:dyDescent="0.2">
      <c r="A11" s="14"/>
      <c r="B11" s="67"/>
      <c r="C11" s="68" t="s">
        <v>40</v>
      </c>
      <c r="D11" s="69"/>
      <c r="E11" s="70"/>
      <c r="F11" s="71"/>
      <c r="G11" s="77">
        <f>SUM(G12:G20)</f>
        <v>343045000</v>
      </c>
      <c r="H11" s="71"/>
      <c r="I11" s="77">
        <f>SUM(I12:I20)</f>
        <v>506840000</v>
      </c>
      <c r="J11" s="71"/>
      <c r="K11" s="77">
        <f>SUM(K12:K20)</f>
        <v>368999952</v>
      </c>
      <c r="L11" s="73"/>
      <c r="M11" s="21"/>
      <c r="N11" s="72">
        <f>SUM(N12:N20)</f>
        <v>406294984</v>
      </c>
      <c r="O11" s="21"/>
      <c r="P11" s="72">
        <f>SUM(P12:P20)</f>
        <v>300622372</v>
      </c>
      <c r="Q11" s="21"/>
      <c r="R11" s="72">
        <f>SUM(R12:R20)</f>
        <v>312538952</v>
      </c>
      <c r="S11" s="74"/>
    </row>
    <row r="12" spans="1:19" ht="120" x14ac:dyDescent="0.2">
      <c r="A12" s="13"/>
      <c r="B12" s="49">
        <v>2</v>
      </c>
      <c r="C12" s="36" t="s">
        <v>41</v>
      </c>
      <c r="D12" s="42" t="s">
        <v>30</v>
      </c>
      <c r="E12" s="37">
        <v>1</v>
      </c>
      <c r="F12" s="54">
        <v>175800500</v>
      </c>
      <c r="G12" s="78">
        <f t="shared" si="0"/>
        <v>175800500</v>
      </c>
      <c r="H12" s="75">
        <v>92750000</v>
      </c>
      <c r="I12" s="78">
        <f t="shared" ref="I12:I20" si="1">+ROUND((E12*H12),0)</f>
        <v>92750000</v>
      </c>
      <c r="J12" s="54">
        <v>55350000</v>
      </c>
      <c r="K12" s="78">
        <f t="shared" ref="K12:K20" si="2">+ROUND((E12*J12),0)</f>
        <v>55350000</v>
      </c>
      <c r="L12" s="11"/>
      <c r="M12" s="20">
        <f t="shared" ref="M12:M20" si="3">AVERAGE(F12,H12,J12)</f>
        <v>107966833.33333333</v>
      </c>
      <c r="N12" s="64">
        <f t="shared" ref="N12:N20" si="4">+ROUND((E12*M12),0)</f>
        <v>107966833</v>
      </c>
      <c r="O12" s="20">
        <f t="shared" ref="O12:O20" si="5">HARMEAN(F12,H12,J12)</f>
        <v>86863906.045800984</v>
      </c>
      <c r="P12" s="64">
        <f t="shared" ref="P12:P20" si="6">+ROUND((E12*O12),0)</f>
        <v>86863906</v>
      </c>
      <c r="Q12" s="20">
        <f t="shared" ref="Q12:Q20" si="7">MEDIAN(F12,H12,J12)</f>
        <v>92750000</v>
      </c>
      <c r="R12" s="64">
        <f t="shared" ref="R12:R20" si="8">+ROUND((E12*Q12),0)</f>
        <v>92750000</v>
      </c>
      <c r="S12" s="41"/>
    </row>
    <row r="13" spans="1:19" ht="72" x14ac:dyDescent="0.2">
      <c r="A13" s="13"/>
      <c r="B13" s="49">
        <v>3</v>
      </c>
      <c r="C13" s="36" t="s">
        <v>42</v>
      </c>
      <c r="D13" s="42" t="s">
        <v>30</v>
      </c>
      <c r="E13" s="37">
        <v>12</v>
      </c>
      <c r="F13" s="54">
        <v>1552500</v>
      </c>
      <c r="G13" s="78">
        <f t="shared" si="0"/>
        <v>18630000</v>
      </c>
      <c r="H13" s="75">
        <v>1650000</v>
      </c>
      <c r="I13" s="78">
        <f t="shared" si="1"/>
        <v>19800000</v>
      </c>
      <c r="J13" s="54">
        <v>4612500</v>
      </c>
      <c r="K13" s="78">
        <f t="shared" si="2"/>
        <v>55350000</v>
      </c>
      <c r="L13" s="11"/>
      <c r="M13" s="20">
        <f t="shared" si="3"/>
        <v>2605000</v>
      </c>
      <c r="N13" s="64">
        <f t="shared" si="4"/>
        <v>31260000</v>
      </c>
      <c r="O13" s="20">
        <f t="shared" si="5"/>
        <v>2045010.4658521151</v>
      </c>
      <c r="P13" s="64">
        <f t="shared" si="6"/>
        <v>24540126</v>
      </c>
      <c r="Q13" s="20">
        <f t="shared" si="7"/>
        <v>1650000</v>
      </c>
      <c r="R13" s="64">
        <f t="shared" si="8"/>
        <v>19800000</v>
      </c>
      <c r="S13" s="41"/>
    </row>
    <row r="14" spans="1:19" x14ac:dyDescent="0.2">
      <c r="A14" s="13"/>
      <c r="B14" s="49">
        <v>4</v>
      </c>
      <c r="C14" s="36" t="s">
        <v>43</v>
      </c>
      <c r="D14" s="42" t="s">
        <v>30</v>
      </c>
      <c r="E14" s="37">
        <v>168</v>
      </c>
      <c r="F14" s="54">
        <v>132250</v>
      </c>
      <c r="G14" s="78">
        <f t="shared" si="0"/>
        <v>22218000</v>
      </c>
      <c r="H14" s="75">
        <v>1480000</v>
      </c>
      <c r="I14" s="78">
        <f t="shared" si="1"/>
        <v>248640000</v>
      </c>
      <c r="J14" s="54">
        <v>329464</v>
      </c>
      <c r="K14" s="78">
        <f t="shared" si="2"/>
        <v>55349952</v>
      </c>
      <c r="L14" s="11"/>
      <c r="M14" s="20">
        <f t="shared" si="3"/>
        <v>647238</v>
      </c>
      <c r="N14" s="64">
        <f t="shared" si="4"/>
        <v>108735984</v>
      </c>
      <c r="O14" s="20">
        <f t="shared" si="5"/>
        <v>266138.049477914</v>
      </c>
      <c r="P14" s="64">
        <f t="shared" si="6"/>
        <v>44711192</v>
      </c>
      <c r="Q14" s="20">
        <f t="shared" si="7"/>
        <v>329464</v>
      </c>
      <c r="R14" s="64">
        <f t="shared" si="8"/>
        <v>55349952</v>
      </c>
      <c r="S14" s="41"/>
    </row>
    <row r="15" spans="1:19" x14ac:dyDescent="0.2">
      <c r="A15" s="13"/>
      <c r="B15" s="49">
        <v>5</v>
      </c>
      <c r="C15" s="36" t="s">
        <v>44</v>
      </c>
      <c r="D15" s="42" t="s">
        <v>30</v>
      </c>
      <c r="E15" s="37">
        <v>50</v>
      </c>
      <c r="F15" s="54">
        <v>747500</v>
      </c>
      <c r="G15" s="78">
        <f t="shared" si="0"/>
        <v>37375000</v>
      </c>
      <c r="H15" s="75">
        <v>1150000</v>
      </c>
      <c r="I15" s="78">
        <f t="shared" si="1"/>
        <v>57500000</v>
      </c>
      <c r="J15" s="54">
        <v>1107000</v>
      </c>
      <c r="K15" s="78">
        <f t="shared" si="2"/>
        <v>55350000</v>
      </c>
      <c r="L15" s="11"/>
      <c r="M15" s="20">
        <f t="shared" si="3"/>
        <v>1001500</v>
      </c>
      <c r="N15" s="64">
        <f t="shared" si="4"/>
        <v>50075000</v>
      </c>
      <c r="O15" s="20">
        <f t="shared" si="5"/>
        <v>964413.08443891909</v>
      </c>
      <c r="P15" s="64">
        <f t="shared" si="6"/>
        <v>48220654</v>
      </c>
      <c r="Q15" s="20">
        <f t="shared" si="7"/>
        <v>1107000</v>
      </c>
      <c r="R15" s="64">
        <f t="shared" si="8"/>
        <v>55350000</v>
      </c>
      <c r="S15" s="41"/>
    </row>
    <row r="16" spans="1:19" x14ac:dyDescent="0.2">
      <c r="A16" s="13"/>
      <c r="B16" s="49">
        <v>6</v>
      </c>
      <c r="C16" s="36" t="s">
        <v>45</v>
      </c>
      <c r="D16" s="42" t="s">
        <v>30</v>
      </c>
      <c r="E16" s="37">
        <v>10</v>
      </c>
      <c r="F16" s="54">
        <v>1766400</v>
      </c>
      <c r="G16" s="78">
        <f t="shared" si="0"/>
        <v>17664000</v>
      </c>
      <c r="H16" s="75">
        <v>1230000</v>
      </c>
      <c r="I16" s="78">
        <f t="shared" si="1"/>
        <v>12300000</v>
      </c>
      <c r="J16" s="54">
        <v>3690000</v>
      </c>
      <c r="K16" s="78">
        <f t="shared" si="2"/>
        <v>36900000</v>
      </c>
      <c r="L16" s="11"/>
      <c r="M16" s="20">
        <f t="shared" si="3"/>
        <v>2228800</v>
      </c>
      <c r="N16" s="64">
        <f t="shared" si="4"/>
        <v>22288000</v>
      </c>
      <c r="O16" s="20">
        <f t="shared" si="5"/>
        <v>1818034.1403547919</v>
      </c>
      <c r="P16" s="64">
        <f t="shared" si="6"/>
        <v>18180341</v>
      </c>
      <c r="Q16" s="20">
        <f t="shared" si="7"/>
        <v>1766400</v>
      </c>
      <c r="R16" s="64">
        <f t="shared" si="8"/>
        <v>17664000</v>
      </c>
      <c r="S16" s="41"/>
    </row>
    <row r="17" spans="1:19" ht="48" x14ac:dyDescent="0.2">
      <c r="A17" s="13"/>
      <c r="B17" s="49">
        <v>7</v>
      </c>
      <c r="C17" s="36" t="s">
        <v>46</v>
      </c>
      <c r="D17" s="42" t="s">
        <v>30</v>
      </c>
      <c r="E17" s="37">
        <v>1</v>
      </c>
      <c r="F17" s="54">
        <v>20240000</v>
      </c>
      <c r="G17" s="78">
        <f t="shared" si="0"/>
        <v>20240000</v>
      </c>
      <c r="H17" s="75">
        <v>17800000</v>
      </c>
      <c r="I17" s="78">
        <f t="shared" si="1"/>
        <v>17800000</v>
      </c>
      <c r="J17" s="54">
        <v>18450000</v>
      </c>
      <c r="K17" s="78">
        <f t="shared" si="2"/>
        <v>18450000</v>
      </c>
      <c r="L17" s="11"/>
      <c r="M17" s="20">
        <f t="shared" si="3"/>
        <v>18830000</v>
      </c>
      <c r="N17" s="64">
        <f t="shared" si="4"/>
        <v>18830000</v>
      </c>
      <c r="O17" s="20">
        <f t="shared" si="5"/>
        <v>18774943.461600024</v>
      </c>
      <c r="P17" s="64">
        <f t="shared" si="6"/>
        <v>18774943</v>
      </c>
      <c r="Q17" s="20">
        <f t="shared" si="7"/>
        <v>18450000</v>
      </c>
      <c r="R17" s="64">
        <f t="shared" si="8"/>
        <v>18450000</v>
      </c>
      <c r="S17" s="41"/>
    </row>
    <row r="18" spans="1:19" x14ac:dyDescent="0.2">
      <c r="A18" s="13"/>
      <c r="B18" s="49">
        <v>8</v>
      </c>
      <c r="C18" s="36" t="s">
        <v>47</v>
      </c>
      <c r="D18" s="42" t="s">
        <v>30</v>
      </c>
      <c r="E18" s="37">
        <v>1</v>
      </c>
      <c r="F18" s="54">
        <v>14375000</v>
      </c>
      <c r="G18" s="78">
        <f t="shared" si="0"/>
        <v>14375000</v>
      </c>
      <c r="H18" s="75">
        <v>11500000</v>
      </c>
      <c r="I18" s="78">
        <f t="shared" si="1"/>
        <v>11500000</v>
      </c>
      <c r="J18" s="54">
        <v>36900000</v>
      </c>
      <c r="K18" s="78">
        <f t="shared" si="2"/>
        <v>36900000</v>
      </c>
      <c r="L18" s="11"/>
      <c r="M18" s="20">
        <f t="shared" si="3"/>
        <v>20925000</v>
      </c>
      <c r="N18" s="64">
        <f t="shared" si="4"/>
        <v>20925000</v>
      </c>
      <c r="O18" s="20">
        <f t="shared" si="5"/>
        <v>16337910.677618068</v>
      </c>
      <c r="P18" s="64">
        <f t="shared" si="6"/>
        <v>16337911</v>
      </c>
      <c r="Q18" s="20">
        <f t="shared" si="7"/>
        <v>14375000</v>
      </c>
      <c r="R18" s="64">
        <f t="shared" si="8"/>
        <v>14375000</v>
      </c>
      <c r="S18" s="41"/>
    </row>
    <row r="19" spans="1:19" ht="72" x14ac:dyDescent="0.2">
      <c r="A19" s="13"/>
      <c r="B19" s="49">
        <v>9</v>
      </c>
      <c r="C19" s="36" t="s">
        <v>48</v>
      </c>
      <c r="D19" s="42" t="s">
        <v>30</v>
      </c>
      <c r="E19" s="37">
        <v>1</v>
      </c>
      <c r="F19" s="54">
        <v>19550000</v>
      </c>
      <c r="G19" s="78">
        <f t="shared" si="0"/>
        <v>19550000</v>
      </c>
      <c r="H19" s="75">
        <v>27300000</v>
      </c>
      <c r="I19" s="78">
        <f t="shared" si="1"/>
        <v>27300000</v>
      </c>
      <c r="J19" s="54">
        <v>18450000</v>
      </c>
      <c r="K19" s="78">
        <f t="shared" si="2"/>
        <v>18450000</v>
      </c>
      <c r="L19" s="11"/>
      <c r="M19" s="20">
        <f t="shared" si="3"/>
        <v>21766666.666666668</v>
      </c>
      <c r="N19" s="64">
        <f t="shared" si="4"/>
        <v>21766667</v>
      </c>
      <c r="O19" s="20">
        <f t="shared" si="5"/>
        <v>21129517.2546979</v>
      </c>
      <c r="P19" s="64">
        <f t="shared" si="6"/>
        <v>21129517</v>
      </c>
      <c r="Q19" s="20">
        <f t="shared" si="7"/>
        <v>19550000</v>
      </c>
      <c r="R19" s="64">
        <f t="shared" si="8"/>
        <v>19550000</v>
      </c>
      <c r="S19" s="41"/>
    </row>
    <row r="20" spans="1:19" ht="72" x14ac:dyDescent="0.2">
      <c r="A20" s="13"/>
      <c r="B20" s="49">
        <v>10</v>
      </c>
      <c r="C20" s="36" t="s">
        <v>49</v>
      </c>
      <c r="D20" s="42" t="s">
        <v>30</v>
      </c>
      <c r="E20" s="37">
        <v>1</v>
      </c>
      <c r="F20" s="54">
        <v>17192500</v>
      </c>
      <c r="G20" s="78">
        <f t="shared" si="0"/>
        <v>17192500</v>
      </c>
      <c r="H20" s="75">
        <v>19250000</v>
      </c>
      <c r="I20" s="78">
        <f t="shared" si="1"/>
        <v>19250000</v>
      </c>
      <c r="J20" s="54">
        <v>36900000</v>
      </c>
      <c r="K20" s="78">
        <f t="shared" si="2"/>
        <v>36900000</v>
      </c>
      <c r="L20" s="11"/>
      <c r="M20" s="20">
        <f t="shared" si="3"/>
        <v>24447500</v>
      </c>
      <c r="N20" s="64">
        <f t="shared" si="4"/>
        <v>24447500</v>
      </c>
      <c r="O20" s="20">
        <f t="shared" si="5"/>
        <v>21863782.44375002</v>
      </c>
      <c r="P20" s="64">
        <f t="shared" si="6"/>
        <v>21863782</v>
      </c>
      <c r="Q20" s="20">
        <f t="shared" si="7"/>
        <v>19250000</v>
      </c>
      <c r="R20" s="64">
        <f t="shared" si="8"/>
        <v>19250000</v>
      </c>
      <c r="S20" s="41"/>
    </row>
    <row r="21" spans="1:19" x14ac:dyDescent="0.2">
      <c r="A21" s="13"/>
      <c r="B21" s="88" t="s">
        <v>24</v>
      </c>
      <c r="C21" s="88"/>
      <c r="D21" s="88"/>
      <c r="E21" s="88"/>
      <c r="F21" s="55"/>
      <c r="G21" s="56">
        <f>+G9+G11</f>
        <v>402270000</v>
      </c>
      <c r="H21" s="62"/>
      <c r="I21" s="56">
        <f>+I9+I11</f>
        <v>580660000</v>
      </c>
      <c r="J21" s="62"/>
      <c r="K21" s="56">
        <f>+K9+K11</f>
        <v>819999952</v>
      </c>
      <c r="L21" s="11"/>
      <c r="M21" s="23"/>
      <c r="N21" s="56">
        <f>+N9+N11</f>
        <v>600976651</v>
      </c>
      <c r="O21" s="23"/>
      <c r="P21" s="56">
        <f>+P9+P11</f>
        <v>392510149</v>
      </c>
      <c r="Q21" s="23"/>
      <c r="R21" s="56">
        <f>+R9+R11</f>
        <v>386358952</v>
      </c>
    </row>
    <row r="22" spans="1:19" x14ac:dyDescent="0.2">
      <c r="A22" s="13"/>
      <c r="B22" s="89" t="s">
        <v>50</v>
      </c>
      <c r="C22" s="89"/>
      <c r="D22" s="89"/>
      <c r="E22" s="89"/>
      <c r="F22" s="38">
        <v>0.05</v>
      </c>
      <c r="G22" s="54">
        <f>+ROUND(G21*F22,0)</f>
        <v>20113500</v>
      </c>
      <c r="H22" s="38">
        <v>0.05</v>
      </c>
      <c r="I22" s="54">
        <f>+ROUND(I21*H22,0)</f>
        <v>29033000</v>
      </c>
      <c r="J22" s="38">
        <v>0.05</v>
      </c>
      <c r="K22" s="54">
        <f>+ROUND(K21*J22,0)</f>
        <v>40999998</v>
      </c>
      <c r="L22" s="11"/>
      <c r="M22" s="76">
        <v>0.05</v>
      </c>
      <c r="N22" s="54">
        <f>+ROUND(N21*M22,0)</f>
        <v>30048833</v>
      </c>
      <c r="O22" s="38">
        <v>0.05</v>
      </c>
      <c r="P22" s="54">
        <f>+ROUND(P21*O22,0)</f>
        <v>19625507</v>
      </c>
      <c r="Q22" s="38">
        <f>MEDIAN(F22,H22,J22)</f>
        <v>0.05</v>
      </c>
      <c r="R22" s="54">
        <f>+ROUND(R21*Q22,0)</f>
        <v>19317948</v>
      </c>
    </row>
    <row r="23" spans="1:19" x14ac:dyDescent="0.2">
      <c r="A23" s="13"/>
      <c r="B23" s="89" t="s">
        <v>23</v>
      </c>
      <c r="C23" s="89"/>
      <c r="D23" s="89"/>
      <c r="E23" s="89"/>
      <c r="F23" s="38">
        <v>0.19</v>
      </c>
      <c r="G23" s="54">
        <f>+ROUND((G21+G22)*F23,0)</f>
        <v>80252865</v>
      </c>
      <c r="H23" s="38">
        <v>0.19</v>
      </c>
      <c r="I23" s="54">
        <f>+ROUND((I21+I22)*H23,0)</f>
        <v>115841670</v>
      </c>
      <c r="J23" s="38">
        <v>0.19</v>
      </c>
      <c r="K23" s="54">
        <f>+ROUND((K21+K22)*J23,0)</f>
        <v>163589991</v>
      </c>
      <c r="L23" s="11"/>
      <c r="M23" s="38">
        <v>0.19</v>
      </c>
      <c r="N23" s="54">
        <f>+ROUND((N21+N22)*M23,0)</f>
        <v>119894842</v>
      </c>
      <c r="O23" s="38">
        <v>0.19</v>
      </c>
      <c r="P23" s="54">
        <f>+ROUND((P21+P22)*O23,0)</f>
        <v>78305775</v>
      </c>
      <c r="Q23" s="38">
        <v>0.19</v>
      </c>
      <c r="R23" s="54">
        <f>+ROUND((R21+R22)*Q23,0)</f>
        <v>77078611</v>
      </c>
    </row>
    <row r="24" spans="1:19" x14ac:dyDescent="0.2">
      <c r="A24" s="13"/>
      <c r="B24" s="88" t="s">
        <v>19</v>
      </c>
      <c r="C24" s="88"/>
      <c r="D24" s="88"/>
      <c r="E24" s="88"/>
      <c r="F24" s="55"/>
      <c r="G24" s="56">
        <f>SUM(G22:G23)</f>
        <v>100366365</v>
      </c>
      <c r="H24" s="62"/>
      <c r="I24" s="56">
        <f>SUM(I22:I23)</f>
        <v>144874670</v>
      </c>
      <c r="J24" s="62"/>
      <c r="K24" s="56">
        <f>SUM(K22:K23)</f>
        <v>204589989</v>
      </c>
      <c r="L24" s="11"/>
      <c r="M24" s="23"/>
      <c r="N24" s="56">
        <f>SUM(N22:N23)</f>
        <v>149943675</v>
      </c>
      <c r="O24" s="23"/>
      <c r="P24" s="56">
        <f>SUM(P22:P23)</f>
        <v>97931282</v>
      </c>
      <c r="Q24" s="23"/>
      <c r="R24" s="56">
        <f>SUM(R22:R23)</f>
        <v>96396559</v>
      </c>
    </row>
    <row r="25" spans="1:19" x14ac:dyDescent="0.2">
      <c r="A25" s="13"/>
      <c r="B25" s="90" t="s">
        <v>33</v>
      </c>
      <c r="C25" s="90"/>
      <c r="D25" s="90"/>
      <c r="E25" s="90"/>
      <c r="F25" s="57"/>
      <c r="G25" s="58">
        <f>+G21+G24</f>
        <v>502636365</v>
      </c>
      <c r="H25" s="63"/>
      <c r="I25" s="58">
        <f>+I21+I24</f>
        <v>725534670</v>
      </c>
      <c r="J25" s="63"/>
      <c r="K25" s="58">
        <f>+K21+K24</f>
        <v>1024589941</v>
      </c>
      <c r="L25" s="11"/>
      <c r="M25" s="24"/>
      <c r="N25" s="58">
        <f>+N21+N24</f>
        <v>750920326</v>
      </c>
      <c r="O25" s="24"/>
      <c r="P25" s="58">
        <f>+P21+P24</f>
        <v>490441431</v>
      </c>
      <c r="Q25" s="24"/>
      <c r="R25" s="58">
        <f>+R21+R24</f>
        <v>482755511</v>
      </c>
    </row>
    <row r="26" spans="1:19" x14ac:dyDescent="0.2">
      <c r="A26" s="13"/>
      <c r="M26" s="19"/>
      <c r="N26" s="19"/>
      <c r="O26" s="19"/>
      <c r="P26" s="19"/>
      <c r="Q26" s="19"/>
      <c r="R26" s="28"/>
    </row>
    <row r="27" spans="1:19" x14ac:dyDescent="0.2">
      <c r="A27" s="13"/>
      <c r="M27" s="19"/>
      <c r="N27" s="39"/>
      <c r="O27" s="39"/>
      <c r="P27" s="39"/>
      <c r="Q27" s="19"/>
      <c r="R27" s="28"/>
    </row>
    <row r="28" spans="1:19" x14ac:dyDescent="0.2">
      <c r="A28" s="13"/>
      <c r="C28" s="91" t="s">
        <v>18</v>
      </c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21">
        <f>+N25</f>
        <v>750920326</v>
      </c>
      <c r="O28" s="26" t="str">
        <f>+M7</f>
        <v>PROMEDIO</v>
      </c>
      <c r="P28" s="39"/>
      <c r="Q28" s="19"/>
      <c r="R28" s="28"/>
    </row>
    <row r="29" spans="1:19" x14ac:dyDescent="0.2">
      <c r="A29" s="13"/>
      <c r="M29" s="19"/>
      <c r="N29" s="19"/>
      <c r="O29" s="19"/>
      <c r="P29" s="19"/>
      <c r="Q29" s="19"/>
      <c r="R29" s="28"/>
    </row>
    <row r="30" spans="1:19" x14ac:dyDescent="0.2">
      <c r="A30" s="13"/>
      <c r="M30" s="19"/>
      <c r="N30" s="19"/>
      <c r="O30" s="19"/>
      <c r="P30" s="19"/>
      <c r="Q30" s="19"/>
      <c r="R30" s="28"/>
    </row>
    <row r="31" spans="1:19" x14ac:dyDescent="0.2">
      <c r="A31" s="13"/>
      <c r="M31" s="19"/>
      <c r="N31" s="19"/>
      <c r="O31" s="19"/>
      <c r="P31" s="19"/>
      <c r="Q31" s="19"/>
      <c r="R31" s="28"/>
    </row>
    <row r="32" spans="1:19" x14ac:dyDescent="0.2">
      <c r="A32" s="13"/>
      <c r="M32" s="19"/>
      <c r="N32" s="19"/>
      <c r="O32" s="19"/>
      <c r="P32" s="19"/>
      <c r="Q32" s="19"/>
      <c r="R32" s="28"/>
    </row>
    <row r="33" spans="1:18" x14ac:dyDescent="0.2">
      <c r="A33" s="13"/>
      <c r="M33" s="19"/>
      <c r="N33" s="19"/>
      <c r="O33" s="19"/>
      <c r="P33" s="19"/>
      <c r="Q33" s="19"/>
      <c r="R33" s="28"/>
    </row>
    <row r="34" spans="1:18" s="10" customFormat="1" ht="12" customHeight="1" x14ac:dyDescent="0.2">
      <c r="A34" s="14"/>
      <c r="B34" s="46"/>
      <c r="C34" s="15"/>
      <c r="E34" s="43"/>
      <c r="F34" s="59"/>
      <c r="G34" s="59"/>
      <c r="H34" s="92" t="s">
        <v>21</v>
      </c>
      <c r="I34" s="92"/>
      <c r="J34" s="92"/>
      <c r="K34" s="92"/>
      <c r="L34" s="92"/>
      <c r="M34" s="92"/>
      <c r="N34" s="18"/>
      <c r="O34" s="92"/>
      <c r="P34" s="92"/>
      <c r="Q34" s="92"/>
      <c r="R34" s="30"/>
    </row>
    <row r="35" spans="1:18" s="10" customFormat="1" x14ac:dyDescent="0.2">
      <c r="A35" s="14"/>
      <c r="B35" s="46"/>
      <c r="E35" s="43"/>
      <c r="F35" s="60"/>
      <c r="G35" s="60"/>
      <c r="H35" s="80" t="s">
        <v>22</v>
      </c>
      <c r="I35" s="80"/>
      <c r="J35" s="80"/>
      <c r="K35" s="80"/>
      <c r="L35" s="80"/>
      <c r="M35" s="80"/>
      <c r="N35" s="18"/>
      <c r="O35" s="80"/>
      <c r="P35" s="80"/>
      <c r="Q35" s="80"/>
      <c r="R35" s="30"/>
    </row>
    <row r="36" spans="1:18" x14ac:dyDescent="0.2">
      <c r="A36" s="16"/>
      <c r="B36" s="50"/>
      <c r="C36" s="17"/>
      <c r="D36" s="17"/>
      <c r="E36" s="45"/>
      <c r="F36" s="61"/>
      <c r="G36" s="61"/>
      <c r="H36" s="61"/>
      <c r="I36" s="61"/>
      <c r="J36" s="61"/>
      <c r="K36" s="61"/>
      <c r="L36" s="17"/>
      <c r="M36" s="22"/>
      <c r="N36" s="22"/>
      <c r="O36" s="22"/>
      <c r="P36" s="22"/>
      <c r="Q36" s="22"/>
      <c r="R36" s="29"/>
    </row>
  </sheetData>
  <mergeCells count="20">
    <mergeCell ref="O35:Q35"/>
    <mergeCell ref="F7:G7"/>
    <mergeCell ref="H7:I7"/>
    <mergeCell ref="B21:E21"/>
    <mergeCell ref="B22:E22"/>
    <mergeCell ref="B24:E24"/>
    <mergeCell ref="B25:E25"/>
    <mergeCell ref="C28:M28"/>
    <mergeCell ref="O34:Q34"/>
    <mergeCell ref="H34:M34"/>
    <mergeCell ref="H35:M35"/>
    <mergeCell ref="B23:E23"/>
    <mergeCell ref="B1:N1"/>
    <mergeCell ref="B4:N4"/>
    <mergeCell ref="M7:N7"/>
    <mergeCell ref="O7:P7"/>
    <mergeCell ref="Q7:R7"/>
    <mergeCell ref="B2:N2"/>
    <mergeCell ref="J7:K7"/>
    <mergeCell ref="B5:N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"/>
  <sheetViews>
    <sheetView workbookViewId="0">
      <selection activeCell="E6" sqref="E6"/>
    </sheetView>
  </sheetViews>
  <sheetFormatPr baseColWidth="10" defaultRowHeight="12.75" x14ac:dyDescent="0.2"/>
  <cols>
    <col min="1" max="1" width="46.7109375" bestFit="1" customWidth="1"/>
    <col min="4" max="4" width="11.7109375" style="3" bestFit="1" customWidth="1"/>
    <col min="5" max="5" width="11.42578125" style="3"/>
    <col min="6" max="6" width="14.28515625" style="3" bestFit="1" customWidth="1"/>
    <col min="7" max="7" width="1.42578125" style="3" customWidth="1"/>
    <col min="8" max="8" width="11.7109375" style="3" bestFit="1" customWidth="1"/>
    <col min="9" max="9" width="14.28515625" bestFit="1" customWidth="1"/>
    <col min="10" max="10" width="14.5703125" customWidth="1"/>
  </cols>
  <sheetData>
    <row r="1" spans="1:12" x14ac:dyDescent="0.2">
      <c r="D1" s="93" t="s">
        <v>12</v>
      </c>
      <c r="E1" s="93"/>
      <c r="F1" s="93"/>
      <c r="H1" s="93" t="s">
        <v>13</v>
      </c>
      <c r="I1" s="93"/>
      <c r="J1" s="93"/>
    </row>
    <row r="2" spans="1:12" x14ac:dyDescent="0.2">
      <c r="D2" s="4" t="s">
        <v>15</v>
      </c>
      <c r="E2" s="4" t="s">
        <v>16</v>
      </c>
      <c r="F2" s="4" t="s">
        <v>17</v>
      </c>
      <c r="H2" s="4" t="s">
        <v>15</v>
      </c>
      <c r="I2" s="4" t="s">
        <v>16</v>
      </c>
      <c r="J2" s="4" t="s">
        <v>17</v>
      </c>
    </row>
    <row r="3" spans="1:12" x14ac:dyDescent="0.2">
      <c r="A3" s="5" t="s">
        <v>8</v>
      </c>
      <c r="B3" s="5" t="s">
        <v>7</v>
      </c>
      <c r="C3" s="8">
        <v>1</v>
      </c>
      <c r="D3" s="6">
        <v>20050000</v>
      </c>
      <c r="E3" s="6">
        <f>+D3*1.19</f>
        <v>23859500</v>
      </c>
      <c r="F3" s="7">
        <f>+E3*C3</f>
        <v>23859500</v>
      </c>
      <c r="H3" s="6">
        <v>19960000</v>
      </c>
      <c r="I3" s="7">
        <f>+H3*1.19</f>
        <v>23752400</v>
      </c>
      <c r="J3" s="7">
        <f>+I3*C3</f>
        <v>23752400</v>
      </c>
      <c r="L3">
        <f>+(E3+I3)/2</f>
        <v>23805950</v>
      </c>
    </row>
    <row r="4" spans="1:12" x14ac:dyDescent="0.2">
      <c r="A4" s="5" t="s">
        <v>9</v>
      </c>
      <c r="B4" s="5" t="s">
        <v>7</v>
      </c>
      <c r="C4" s="8">
        <v>2</v>
      </c>
      <c r="D4" s="6">
        <v>1271470</v>
      </c>
      <c r="E4" s="6">
        <f t="shared" ref="E4:E6" si="0">+D4*1.19</f>
        <v>1513049.3</v>
      </c>
      <c r="F4" s="7">
        <f t="shared" ref="F4:F6" si="1">+E4*C4</f>
        <v>3026098.6</v>
      </c>
      <c r="H4" s="6">
        <v>1320000</v>
      </c>
      <c r="I4" s="7">
        <f t="shared" ref="I4:I6" si="2">+H4*1.19</f>
        <v>1570800</v>
      </c>
      <c r="J4" s="7">
        <f t="shared" ref="J4:J6" si="3">+I4*C4</f>
        <v>3141600</v>
      </c>
    </row>
    <row r="5" spans="1:12" x14ac:dyDescent="0.2">
      <c r="A5" s="5" t="s">
        <v>10</v>
      </c>
      <c r="B5" s="5" t="s">
        <v>7</v>
      </c>
      <c r="C5" s="8">
        <v>4</v>
      </c>
      <c r="D5" s="6">
        <v>2000000</v>
      </c>
      <c r="E5" s="6">
        <f t="shared" si="0"/>
        <v>2380000</v>
      </c>
      <c r="F5" s="7">
        <f t="shared" si="1"/>
        <v>9520000</v>
      </c>
      <c r="H5" s="6">
        <v>1950000</v>
      </c>
      <c r="I5" s="7">
        <f t="shared" si="2"/>
        <v>2320500</v>
      </c>
      <c r="J5" s="7">
        <f t="shared" si="3"/>
        <v>9282000</v>
      </c>
    </row>
    <row r="6" spans="1:12" x14ac:dyDescent="0.2">
      <c r="A6" s="5" t="s">
        <v>11</v>
      </c>
      <c r="B6" s="5" t="s">
        <v>7</v>
      </c>
      <c r="C6" s="8">
        <v>1</v>
      </c>
      <c r="D6" s="6">
        <v>500000</v>
      </c>
      <c r="E6" s="6">
        <f t="shared" si="0"/>
        <v>595000</v>
      </c>
      <c r="F6" s="7">
        <f t="shared" si="1"/>
        <v>595000</v>
      </c>
      <c r="H6" s="6">
        <v>530000</v>
      </c>
      <c r="I6" s="7">
        <f t="shared" si="2"/>
        <v>630700</v>
      </c>
      <c r="J6" s="7">
        <f t="shared" si="3"/>
        <v>630700</v>
      </c>
    </row>
    <row r="7" spans="1:12" x14ac:dyDescent="0.2">
      <c r="A7" s="5"/>
      <c r="B7" s="5"/>
      <c r="C7" s="8"/>
      <c r="D7" s="6"/>
      <c r="E7" s="6"/>
      <c r="F7" s="7">
        <f>SUM(F3:F6)</f>
        <v>37000598.600000001</v>
      </c>
      <c r="H7" s="6"/>
      <c r="I7" s="5"/>
      <c r="J7" s="7">
        <f>SUM(J3:J6)</f>
        <v>36806700</v>
      </c>
    </row>
    <row r="10" spans="1:12" x14ac:dyDescent="0.2">
      <c r="F10" s="2" t="s">
        <v>14</v>
      </c>
      <c r="H10" s="3">
        <f>(J7+F7)/2</f>
        <v>36903649.299999997</v>
      </c>
    </row>
    <row r="12" spans="1:12" x14ac:dyDescent="0.2">
      <c r="H12" s="3">
        <v>37175600</v>
      </c>
    </row>
  </sheetData>
  <mergeCells count="2">
    <mergeCell ref="D1:F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</vt:lpstr>
      <vt:lpstr>Hoja1</vt:lpstr>
      <vt:lpstr>'ESTUDIO DE MERCADO'!Área_de_impresión</vt:lpstr>
    </vt:vector>
  </TitlesOfParts>
  <Company>CONSORCIO 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mrangel</dc:creator>
  <cp:lastModifiedBy>Claudia Zoraya Guerrero Sarmiento</cp:lastModifiedBy>
  <cp:lastPrinted>2023-06-21T19:00:47Z</cp:lastPrinted>
  <dcterms:created xsi:type="dcterms:W3CDTF">2007-05-28T14:41:59Z</dcterms:created>
  <dcterms:modified xsi:type="dcterms:W3CDTF">2025-05-28T14:39:43Z</dcterms:modified>
</cp:coreProperties>
</file>