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WebImage.xml" ContentType="application/vnd.ms-excel.rdrichvaluewebim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05241955-AB4C-4811-869A-1C947766F56C}" xr6:coauthVersionLast="43" xr6:coauthVersionMax="47" xr10:uidLastSave="{00000000-0000-0000-0000-000000000000}"/>
  <bookViews>
    <workbookView xWindow="-120" yWindow="-120" windowWidth="20730" windowHeight="11160" tabRatio="902" activeTab="3" xr2:uid="{7B688C74-6957-421F-8487-09C64BCA6CFD}"/>
  </bookViews>
  <sheets>
    <sheet name="Cotizaciones Empresas" sheetId="1" r:id="rId1"/>
    <sheet name="D.P. 2025 SAD, SPA &amp; SPF" sheetId="9" state="hidden" r:id="rId2"/>
    <sheet name="Cundinamarca" sheetId="10" state="hidden" r:id="rId3"/>
    <sheet name="ARAUCA" sheetId="11" r:id="rId4"/>
    <sheet name="ARMENIA" sheetId="12" state="hidden" r:id="rId5"/>
    <sheet name="BARRANCABERMEJA" sheetId="13" state="hidden" r:id="rId6"/>
    <sheet name="BELLO" sheetId="14" state="hidden" r:id="rId7"/>
    <sheet name="CUCUTA" sheetId="15" state="hidden" r:id="rId8"/>
    <sheet name="IBAGUE" sheetId="16" state="hidden" r:id="rId9"/>
    <sheet name="LA DORADA" sheetId="17" state="hidden" r:id="rId10"/>
    <sheet name="MAGDALENA" sheetId="18" state="hidden" r:id="rId11"/>
    <sheet name="NEIVA" sheetId="19" state="hidden" r:id="rId12"/>
    <sheet name="POPAYAN" sheetId="20" state="hidden" r:id="rId13"/>
    <sheet name="VALLE DEL CAUCA" sheetId="21" state="hidden" r:id="rId14"/>
    <sheet name="YOPAL" sheetId="22" state="hidden" r:id="rId15"/>
    <sheet name="Empresas" sheetId="3" state="hidden" r:id="rId16"/>
  </sheets>
  <definedNames>
    <definedName name="_xlnm._FilterDatabase" localSheetId="0" hidden="1">'Cotizaciones Empresas'!$A$1:$BC$145</definedName>
    <definedName name="EMRESPEL2025">'Cotizaciones Empresas'!$A$2:$BC$145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13" i="11" l="1"/>
  <c r="J23" i="11" l="1"/>
  <c r="E18" i="22"/>
  <c r="D18" i="22"/>
  <c r="E17" i="22"/>
  <c r="K17" i="22" s="1"/>
  <c r="G26" i="22" s="1"/>
  <c r="H42" i="22" s="1"/>
  <c r="H16" i="22"/>
  <c r="E16" i="22"/>
  <c r="K16" i="22" s="1"/>
  <c r="E15" i="22"/>
  <c r="K15" i="22" s="1"/>
  <c r="I14" i="22"/>
  <c r="E14" i="22"/>
  <c r="H14" i="22" s="1"/>
  <c r="D23" i="22" s="1"/>
  <c r="K13" i="22"/>
  <c r="G22" i="22" s="1"/>
  <c r="J13" i="22"/>
  <c r="F22" i="22" s="1"/>
  <c r="I13" i="22"/>
  <c r="E22" i="22" s="1"/>
  <c r="H13" i="22"/>
  <c r="D22" i="22" s="1"/>
  <c r="E13" i="22"/>
  <c r="S8" i="22"/>
  <c r="O8" i="22"/>
  <c r="N8" i="22"/>
  <c r="M8" i="22"/>
  <c r="L8" i="22"/>
  <c r="G8" i="22"/>
  <c r="F8" i="22"/>
  <c r="R8" i="22" s="1"/>
  <c r="F26" i="22" s="1"/>
  <c r="G42" i="22" s="1"/>
  <c r="E8" i="22"/>
  <c r="Q8" i="22" s="1"/>
  <c r="D8" i="22"/>
  <c r="P8" i="22" s="1"/>
  <c r="O7" i="22"/>
  <c r="N7" i="22"/>
  <c r="M7" i="22"/>
  <c r="L7" i="22"/>
  <c r="G7" i="22"/>
  <c r="S7" i="22" s="1"/>
  <c r="F7" i="22"/>
  <c r="R7" i="22" s="1"/>
  <c r="F25" i="22" s="1"/>
  <c r="G41" i="22" s="1"/>
  <c r="E7" i="22"/>
  <c r="Q7" i="22" s="1"/>
  <c r="D7" i="22"/>
  <c r="P7" i="22" s="1"/>
  <c r="D25" i="22" s="1"/>
  <c r="O6" i="22"/>
  <c r="N6" i="22"/>
  <c r="M6" i="22"/>
  <c r="L6" i="22"/>
  <c r="G6" i="22"/>
  <c r="S6" i="22" s="1"/>
  <c r="F6" i="22"/>
  <c r="R6" i="22" s="1"/>
  <c r="F24" i="22" s="1"/>
  <c r="G40" i="22" s="1"/>
  <c r="E6" i="22"/>
  <c r="Q6" i="22" s="1"/>
  <c r="D6" i="22"/>
  <c r="P6" i="22" s="1"/>
  <c r="O5" i="22"/>
  <c r="N5" i="22"/>
  <c r="M5" i="22"/>
  <c r="L5" i="22"/>
  <c r="G5" i="22"/>
  <c r="S5" i="22" s="1"/>
  <c r="F5" i="22"/>
  <c r="R5" i="22" s="1"/>
  <c r="E5" i="22"/>
  <c r="Q5" i="22" s="1"/>
  <c r="D5" i="22"/>
  <c r="P5" i="22" s="1"/>
  <c r="S4" i="22"/>
  <c r="R4" i="22"/>
  <c r="Q4" i="22"/>
  <c r="P4" i="22"/>
  <c r="E18" i="21"/>
  <c r="D18" i="21"/>
  <c r="K17" i="21"/>
  <c r="I17" i="21"/>
  <c r="E17" i="21"/>
  <c r="H17" i="21" s="1"/>
  <c r="K16" i="21"/>
  <c r="H16" i="21"/>
  <c r="E16" i="21"/>
  <c r="I16" i="21" s="1"/>
  <c r="E25" i="21" s="1"/>
  <c r="F41" i="21" s="1"/>
  <c r="K15" i="21"/>
  <c r="G24" i="21" s="1"/>
  <c r="H40" i="21" s="1"/>
  <c r="I15" i="21"/>
  <c r="E15" i="21"/>
  <c r="H15" i="21" s="1"/>
  <c r="K14" i="21"/>
  <c r="I14" i="21"/>
  <c r="H14" i="21"/>
  <c r="E14" i="21"/>
  <c r="J14" i="21" s="1"/>
  <c r="K13" i="21"/>
  <c r="G22" i="21" s="1"/>
  <c r="J13" i="21"/>
  <c r="F22" i="21" s="1"/>
  <c r="I13" i="21"/>
  <c r="H13" i="21"/>
  <c r="D22" i="21" s="1"/>
  <c r="E13" i="21"/>
  <c r="S8" i="21"/>
  <c r="G26" i="21" s="1"/>
  <c r="H42" i="21" s="1"/>
  <c r="O8" i="21"/>
  <c r="N8" i="21"/>
  <c r="M8" i="21"/>
  <c r="L8" i="21"/>
  <c r="G8" i="21"/>
  <c r="F8" i="21"/>
  <c r="R8" i="21" s="1"/>
  <c r="F26" i="21" s="1"/>
  <c r="G42" i="21" s="1"/>
  <c r="E8" i="21"/>
  <c r="Q8" i="21" s="1"/>
  <c r="D8" i="21"/>
  <c r="P8" i="21" s="1"/>
  <c r="O7" i="21"/>
  <c r="N7" i="21"/>
  <c r="M7" i="21"/>
  <c r="L7" i="21"/>
  <c r="G7" i="21"/>
  <c r="S7" i="21" s="1"/>
  <c r="F7" i="21"/>
  <c r="R7" i="21" s="1"/>
  <c r="F25" i="21" s="1"/>
  <c r="G41" i="21" s="1"/>
  <c r="E7" i="21"/>
  <c r="Q7" i="21" s="1"/>
  <c r="D7" i="21"/>
  <c r="P7" i="21" s="1"/>
  <c r="D25" i="21" s="1"/>
  <c r="S6" i="21"/>
  <c r="O6" i="21"/>
  <c r="N6" i="21"/>
  <c r="M6" i="21"/>
  <c r="L6" i="21"/>
  <c r="G6" i="21"/>
  <c r="F6" i="21"/>
  <c r="R6" i="21" s="1"/>
  <c r="F24" i="21" s="1"/>
  <c r="G40" i="21" s="1"/>
  <c r="E6" i="21"/>
  <c r="Q6" i="21" s="1"/>
  <c r="D6" i="21"/>
  <c r="P6" i="21" s="1"/>
  <c r="O5" i="21"/>
  <c r="N5" i="21"/>
  <c r="M5" i="21"/>
  <c r="L5" i="21"/>
  <c r="G5" i="21"/>
  <c r="S5" i="21" s="1"/>
  <c r="F5" i="21"/>
  <c r="R5" i="21" s="1"/>
  <c r="E5" i="21"/>
  <c r="Q5" i="21" s="1"/>
  <c r="D5" i="21"/>
  <c r="P5" i="21" s="1"/>
  <c r="S4" i="21"/>
  <c r="R4" i="21"/>
  <c r="Q4" i="21"/>
  <c r="E22" i="21" s="1"/>
  <c r="P4" i="21"/>
  <c r="E18" i="20"/>
  <c r="D18" i="20"/>
  <c r="E17" i="20"/>
  <c r="K17" i="20" s="1"/>
  <c r="G26" i="20" s="1"/>
  <c r="H42" i="20" s="1"/>
  <c r="H16" i="20"/>
  <c r="E16" i="20"/>
  <c r="K16" i="20" s="1"/>
  <c r="E15" i="20"/>
  <c r="K15" i="20" s="1"/>
  <c r="G24" i="20" s="1"/>
  <c r="H40" i="20" s="1"/>
  <c r="I14" i="20"/>
  <c r="E14" i="20"/>
  <c r="H14" i="20" s="1"/>
  <c r="K13" i="20"/>
  <c r="G22" i="20" s="1"/>
  <c r="J13" i="20"/>
  <c r="I13" i="20"/>
  <c r="E22" i="20" s="1"/>
  <c r="H13" i="20"/>
  <c r="D22" i="20" s="1"/>
  <c r="E13" i="20"/>
  <c r="S8" i="20"/>
  <c r="O8" i="20"/>
  <c r="N8" i="20"/>
  <c r="M8" i="20"/>
  <c r="L8" i="20"/>
  <c r="G8" i="20"/>
  <c r="F8" i="20"/>
  <c r="R8" i="20" s="1"/>
  <c r="F26" i="20" s="1"/>
  <c r="G42" i="20" s="1"/>
  <c r="E8" i="20"/>
  <c r="Q8" i="20" s="1"/>
  <c r="D8" i="20"/>
  <c r="P8" i="20" s="1"/>
  <c r="O7" i="20"/>
  <c r="N7" i="20"/>
  <c r="M7" i="20"/>
  <c r="L7" i="20"/>
  <c r="G7" i="20"/>
  <c r="S7" i="20" s="1"/>
  <c r="F7" i="20"/>
  <c r="R7" i="20" s="1"/>
  <c r="F25" i="20" s="1"/>
  <c r="G41" i="20" s="1"/>
  <c r="E7" i="20"/>
  <c r="Q7" i="20" s="1"/>
  <c r="D7" i="20"/>
  <c r="P7" i="20" s="1"/>
  <c r="S6" i="20"/>
  <c r="O6" i="20"/>
  <c r="N6" i="20"/>
  <c r="M6" i="20"/>
  <c r="L6" i="20"/>
  <c r="G6" i="20"/>
  <c r="F6" i="20"/>
  <c r="R6" i="20" s="1"/>
  <c r="F24" i="20" s="1"/>
  <c r="G40" i="20" s="1"/>
  <c r="E6" i="20"/>
  <c r="Q6" i="20" s="1"/>
  <c r="D6" i="20"/>
  <c r="P6" i="20" s="1"/>
  <c r="O5" i="20"/>
  <c r="N5" i="20"/>
  <c r="M5" i="20"/>
  <c r="L5" i="20"/>
  <c r="G5" i="20"/>
  <c r="S5" i="20" s="1"/>
  <c r="F5" i="20"/>
  <c r="R5" i="20" s="1"/>
  <c r="E5" i="20"/>
  <c r="Q5" i="20" s="1"/>
  <c r="D5" i="20"/>
  <c r="P5" i="20" s="1"/>
  <c r="S4" i="20"/>
  <c r="R4" i="20"/>
  <c r="F22" i="20" s="1"/>
  <c r="Q4" i="20"/>
  <c r="P4" i="20"/>
  <c r="E18" i="19"/>
  <c r="D18" i="19"/>
  <c r="E17" i="19"/>
  <c r="K17" i="19" s="1"/>
  <c r="G26" i="19" s="1"/>
  <c r="H42" i="19" s="1"/>
  <c r="H16" i="19"/>
  <c r="E16" i="19"/>
  <c r="K16" i="19" s="1"/>
  <c r="E15" i="19"/>
  <c r="K15" i="19" s="1"/>
  <c r="G24" i="19" s="1"/>
  <c r="H40" i="19" s="1"/>
  <c r="I14" i="19"/>
  <c r="H14" i="19"/>
  <c r="E14" i="19"/>
  <c r="K14" i="19" s="1"/>
  <c r="G23" i="19" s="1"/>
  <c r="H39" i="19" s="1"/>
  <c r="K13" i="19"/>
  <c r="G22" i="19" s="1"/>
  <c r="J13" i="19"/>
  <c r="F22" i="19" s="1"/>
  <c r="I13" i="19"/>
  <c r="E22" i="19" s="1"/>
  <c r="H13" i="19"/>
  <c r="D22" i="19" s="1"/>
  <c r="E13" i="19"/>
  <c r="S8" i="19"/>
  <c r="O8" i="19"/>
  <c r="N8" i="19"/>
  <c r="M8" i="19"/>
  <c r="L8" i="19"/>
  <c r="G8" i="19"/>
  <c r="F8" i="19"/>
  <c r="R8" i="19" s="1"/>
  <c r="F26" i="19" s="1"/>
  <c r="G42" i="19" s="1"/>
  <c r="E8" i="19"/>
  <c r="Q8" i="19" s="1"/>
  <c r="D8" i="19"/>
  <c r="P8" i="19" s="1"/>
  <c r="O7" i="19"/>
  <c r="N7" i="19"/>
  <c r="M7" i="19"/>
  <c r="L7" i="19"/>
  <c r="G7" i="19"/>
  <c r="S7" i="19" s="1"/>
  <c r="F7" i="19"/>
  <c r="R7" i="19" s="1"/>
  <c r="F25" i="19" s="1"/>
  <c r="G41" i="19" s="1"/>
  <c r="E7" i="19"/>
  <c r="Q7" i="19" s="1"/>
  <c r="D7" i="19"/>
  <c r="P7" i="19" s="1"/>
  <c r="D25" i="19" s="1"/>
  <c r="S6" i="19"/>
  <c r="O6" i="19"/>
  <c r="N6" i="19"/>
  <c r="M6" i="19"/>
  <c r="L6" i="19"/>
  <c r="G6" i="19"/>
  <c r="F6" i="19"/>
  <c r="R6" i="19" s="1"/>
  <c r="F24" i="19" s="1"/>
  <c r="G40" i="19" s="1"/>
  <c r="E6" i="19"/>
  <c r="Q6" i="19" s="1"/>
  <c r="D6" i="19"/>
  <c r="P6" i="19" s="1"/>
  <c r="O5" i="19"/>
  <c r="N5" i="19"/>
  <c r="M5" i="19"/>
  <c r="L5" i="19"/>
  <c r="G5" i="19"/>
  <c r="S5" i="19" s="1"/>
  <c r="F5" i="19"/>
  <c r="R5" i="19" s="1"/>
  <c r="E5" i="19"/>
  <c r="Q5" i="19" s="1"/>
  <c r="D5" i="19"/>
  <c r="P5" i="19" s="1"/>
  <c r="S4" i="19"/>
  <c r="R4" i="19"/>
  <c r="Q4" i="19"/>
  <c r="P4" i="19"/>
  <c r="E18" i="18"/>
  <c r="D18" i="18"/>
  <c r="E17" i="18"/>
  <c r="K17" i="18" s="1"/>
  <c r="G26" i="18" s="1"/>
  <c r="H42" i="18" s="1"/>
  <c r="H16" i="18"/>
  <c r="E16" i="18"/>
  <c r="K16" i="18" s="1"/>
  <c r="E15" i="18"/>
  <c r="K15" i="18" s="1"/>
  <c r="G24" i="18" s="1"/>
  <c r="H40" i="18" s="1"/>
  <c r="I14" i="18"/>
  <c r="H14" i="18"/>
  <c r="E14" i="18"/>
  <c r="K14" i="18" s="1"/>
  <c r="K13" i="18"/>
  <c r="G22" i="18" s="1"/>
  <c r="J13" i="18"/>
  <c r="I13" i="18"/>
  <c r="E22" i="18" s="1"/>
  <c r="H13" i="18"/>
  <c r="D22" i="18" s="1"/>
  <c r="E13" i="18"/>
  <c r="S8" i="18"/>
  <c r="O8" i="18"/>
  <c r="N8" i="18"/>
  <c r="M8" i="18"/>
  <c r="L8" i="18"/>
  <c r="G8" i="18"/>
  <c r="F8" i="18"/>
  <c r="R8" i="18" s="1"/>
  <c r="F26" i="18" s="1"/>
  <c r="G42" i="18" s="1"/>
  <c r="E8" i="18"/>
  <c r="Q8" i="18" s="1"/>
  <c r="D8" i="18"/>
  <c r="P8" i="18" s="1"/>
  <c r="O7" i="18"/>
  <c r="N7" i="18"/>
  <c r="M7" i="18"/>
  <c r="L7" i="18"/>
  <c r="G7" i="18"/>
  <c r="S7" i="18" s="1"/>
  <c r="F7" i="18"/>
  <c r="R7" i="18" s="1"/>
  <c r="F25" i="18" s="1"/>
  <c r="G41" i="18" s="1"/>
  <c r="E7" i="18"/>
  <c r="Q7" i="18" s="1"/>
  <c r="D7" i="18"/>
  <c r="P7" i="18" s="1"/>
  <c r="D25" i="18" s="1"/>
  <c r="S6" i="18"/>
  <c r="O6" i="18"/>
  <c r="N6" i="18"/>
  <c r="M6" i="18"/>
  <c r="L6" i="18"/>
  <c r="G6" i="18"/>
  <c r="F6" i="18"/>
  <c r="R6" i="18" s="1"/>
  <c r="F24" i="18" s="1"/>
  <c r="G40" i="18" s="1"/>
  <c r="E6" i="18"/>
  <c r="Q6" i="18" s="1"/>
  <c r="D6" i="18"/>
  <c r="P6" i="18" s="1"/>
  <c r="O5" i="18"/>
  <c r="N5" i="18"/>
  <c r="M5" i="18"/>
  <c r="L5" i="18"/>
  <c r="G5" i="18"/>
  <c r="S5" i="18" s="1"/>
  <c r="F5" i="18"/>
  <c r="R5" i="18" s="1"/>
  <c r="E5" i="18"/>
  <c r="Q5" i="18" s="1"/>
  <c r="D5" i="18"/>
  <c r="P5" i="18" s="1"/>
  <c r="S4" i="18"/>
  <c r="R4" i="18"/>
  <c r="F22" i="18" s="1"/>
  <c r="Q4" i="18"/>
  <c r="P4" i="18"/>
  <c r="E18" i="17"/>
  <c r="D18" i="17"/>
  <c r="I17" i="17"/>
  <c r="H17" i="17"/>
  <c r="E17" i="17"/>
  <c r="K17" i="17" s="1"/>
  <c r="G26" i="17" s="1"/>
  <c r="H42" i="17" s="1"/>
  <c r="H16" i="17"/>
  <c r="E16" i="17"/>
  <c r="K16" i="17" s="1"/>
  <c r="I15" i="17"/>
  <c r="H15" i="17"/>
  <c r="D24" i="17" s="1"/>
  <c r="E15" i="17"/>
  <c r="K15" i="17" s="1"/>
  <c r="G24" i="17" s="1"/>
  <c r="H40" i="17" s="1"/>
  <c r="I14" i="17"/>
  <c r="E14" i="17"/>
  <c r="H14" i="17" s="1"/>
  <c r="K13" i="17"/>
  <c r="J13" i="17"/>
  <c r="F22" i="17" s="1"/>
  <c r="I13" i="17"/>
  <c r="E22" i="17" s="1"/>
  <c r="H13" i="17"/>
  <c r="D22" i="17" s="1"/>
  <c r="E13" i="17"/>
  <c r="S8" i="17"/>
  <c r="O8" i="17"/>
  <c r="N8" i="17"/>
  <c r="M8" i="17"/>
  <c r="L8" i="17"/>
  <c r="G8" i="17"/>
  <c r="F8" i="17"/>
  <c r="R8" i="17" s="1"/>
  <c r="F26" i="17" s="1"/>
  <c r="G42" i="17" s="1"/>
  <c r="E8" i="17"/>
  <c r="Q8" i="17" s="1"/>
  <c r="D8" i="17"/>
  <c r="P8" i="17" s="1"/>
  <c r="O7" i="17"/>
  <c r="N7" i="17"/>
  <c r="M7" i="17"/>
  <c r="L7" i="17"/>
  <c r="G7" i="17"/>
  <c r="S7" i="17" s="1"/>
  <c r="F7" i="17"/>
  <c r="R7" i="17" s="1"/>
  <c r="F25" i="17" s="1"/>
  <c r="G41" i="17" s="1"/>
  <c r="E7" i="17"/>
  <c r="Q7" i="17" s="1"/>
  <c r="D7" i="17"/>
  <c r="P7" i="17" s="1"/>
  <c r="S6" i="17"/>
  <c r="O6" i="17"/>
  <c r="N6" i="17"/>
  <c r="M6" i="17"/>
  <c r="L6" i="17"/>
  <c r="G6" i="17"/>
  <c r="F6" i="17"/>
  <c r="R6" i="17" s="1"/>
  <c r="F24" i="17" s="1"/>
  <c r="G40" i="17" s="1"/>
  <c r="E6" i="17"/>
  <c r="Q6" i="17" s="1"/>
  <c r="E24" i="17" s="1"/>
  <c r="F40" i="17" s="1"/>
  <c r="D6" i="17"/>
  <c r="P6" i="17" s="1"/>
  <c r="O5" i="17"/>
  <c r="N5" i="17"/>
  <c r="M5" i="17"/>
  <c r="L5" i="17"/>
  <c r="G5" i="17"/>
  <c r="S5" i="17" s="1"/>
  <c r="F5" i="17"/>
  <c r="R5" i="17" s="1"/>
  <c r="E5" i="17"/>
  <c r="Q5" i="17" s="1"/>
  <c r="D5" i="17"/>
  <c r="P5" i="17" s="1"/>
  <c r="S4" i="17"/>
  <c r="G22" i="17" s="1"/>
  <c r="R4" i="17"/>
  <c r="Q4" i="17"/>
  <c r="P4" i="17"/>
  <c r="E18" i="16"/>
  <c r="D18" i="16"/>
  <c r="E17" i="16"/>
  <c r="K17" i="16" s="1"/>
  <c r="G26" i="16" s="1"/>
  <c r="H42" i="16" s="1"/>
  <c r="H16" i="16"/>
  <c r="E16" i="16"/>
  <c r="K16" i="16" s="1"/>
  <c r="E15" i="16"/>
  <c r="K15" i="16" s="1"/>
  <c r="I14" i="16"/>
  <c r="H14" i="16"/>
  <c r="D23" i="16" s="1"/>
  <c r="E14" i="16"/>
  <c r="K14" i="16" s="1"/>
  <c r="K13" i="16"/>
  <c r="G22" i="16" s="1"/>
  <c r="J13" i="16"/>
  <c r="I13" i="16"/>
  <c r="E22" i="16" s="1"/>
  <c r="H13" i="16"/>
  <c r="D22" i="16" s="1"/>
  <c r="E13" i="16"/>
  <c r="S8" i="16"/>
  <c r="O8" i="16"/>
  <c r="N8" i="16"/>
  <c r="M8" i="16"/>
  <c r="L8" i="16"/>
  <c r="G8" i="16"/>
  <c r="F8" i="16"/>
  <c r="R8" i="16" s="1"/>
  <c r="F26" i="16" s="1"/>
  <c r="G42" i="16" s="1"/>
  <c r="E8" i="16"/>
  <c r="Q8" i="16" s="1"/>
  <c r="D8" i="16"/>
  <c r="P8" i="16" s="1"/>
  <c r="O7" i="16"/>
  <c r="N7" i="16"/>
  <c r="M7" i="16"/>
  <c r="L7" i="16"/>
  <c r="G7" i="16"/>
  <c r="S7" i="16" s="1"/>
  <c r="F7" i="16"/>
  <c r="R7" i="16" s="1"/>
  <c r="F25" i="16" s="1"/>
  <c r="G41" i="16" s="1"/>
  <c r="E7" i="16"/>
  <c r="Q7" i="16" s="1"/>
  <c r="D7" i="16"/>
  <c r="P7" i="16" s="1"/>
  <c r="D25" i="16" s="1"/>
  <c r="O6" i="16"/>
  <c r="N6" i="16"/>
  <c r="M6" i="16"/>
  <c r="L6" i="16"/>
  <c r="G6" i="16"/>
  <c r="S6" i="16" s="1"/>
  <c r="F6" i="16"/>
  <c r="R6" i="16" s="1"/>
  <c r="F24" i="16" s="1"/>
  <c r="G40" i="16" s="1"/>
  <c r="E6" i="16"/>
  <c r="Q6" i="16" s="1"/>
  <c r="D6" i="16"/>
  <c r="P6" i="16" s="1"/>
  <c r="O5" i="16"/>
  <c r="N5" i="16"/>
  <c r="M5" i="16"/>
  <c r="L5" i="16"/>
  <c r="G5" i="16"/>
  <c r="S5" i="16" s="1"/>
  <c r="F5" i="16"/>
  <c r="R5" i="16" s="1"/>
  <c r="E5" i="16"/>
  <c r="Q5" i="16" s="1"/>
  <c r="D5" i="16"/>
  <c r="P5" i="16" s="1"/>
  <c r="S4" i="16"/>
  <c r="R4" i="16"/>
  <c r="F22" i="16" s="1"/>
  <c r="Q4" i="16"/>
  <c r="P4" i="16"/>
  <c r="E18" i="15"/>
  <c r="D18" i="15"/>
  <c r="H17" i="15"/>
  <c r="E17" i="15"/>
  <c r="K17" i="15" s="1"/>
  <c r="G26" i="15" s="1"/>
  <c r="H42" i="15" s="1"/>
  <c r="K16" i="15"/>
  <c r="G25" i="15" s="1"/>
  <c r="H41" i="15" s="1"/>
  <c r="H16" i="15"/>
  <c r="E16" i="15"/>
  <c r="I16" i="15" s="1"/>
  <c r="H15" i="15"/>
  <c r="D24" i="15" s="1"/>
  <c r="E15" i="15"/>
  <c r="K15" i="15" s="1"/>
  <c r="G24" i="15" s="1"/>
  <c r="H40" i="15" s="1"/>
  <c r="I14" i="15"/>
  <c r="E14" i="15"/>
  <c r="H14" i="15" s="1"/>
  <c r="K13" i="15"/>
  <c r="G22" i="15" s="1"/>
  <c r="J13" i="15"/>
  <c r="F22" i="15" s="1"/>
  <c r="I13" i="15"/>
  <c r="E22" i="15" s="1"/>
  <c r="H13" i="15"/>
  <c r="D22" i="15" s="1"/>
  <c r="E13" i="15"/>
  <c r="S8" i="15"/>
  <c r="O8" i="15"/>
  <c r="N8" i="15"/>
  <c r="M8" i="15"/>
  <c r="L8" i="15"/>
  <c r="G8" i="15"/>
  <c r="F8" i="15"/>
  <c r="R8" i="15" s="1"/>
  <c r="F26" i="15" s="1"/>
  <c r="G42" i="15" s="1"/>
  <c r="E8" i="15"/>
  <c r="Q8" i="15" s="1"/>
  <c r="D8" i="15"/>
  <c r="P8" i="15" s="1"/>
  <c r="O7" i="15"/>
  <c r="N7" i="15"/>
  <c r="M7" i="15"/>
  <c r="L7" i="15"/>
  <c r="G7" i="15"/>
  <c r="S7" i="15" s="1"/>
  <c r="F7" i="15"/>
  <c r="R7" i="15" s="1"/>
  <c r="F25" i="15" s="1"/>
  <c r="G41" i="15" s="1"/>
  <c r="E7" i="15"/>
  <c r="Q7" i="15" s="1"/>
  <c r="D7" i="15"/>
  <c r="P7" i="15" s="1"/>
  <c r="S6" i="15"/>
  <c r="O6" i="15"/>
  <c r="N6" i="15"/>
  <c r="M6" i="15"/>
  <c r="L6" i="15"/>
  <c r="G6" i="15"/>
  <c r="F6" i="15"/>
  <c r="R6" i="15" s="1"/>
  <c r="F24" i="15" s="1"/>
  <c r="G40" i="15" s="1"/>
  <c r="E6" i="15"/>
  <c r="Q6" i="15" s="1"/>
  <c r="D6" i="15"/>
  <c r="P6" i="15" s="1"/>
  <c r="O5" i="15"/>
  <c r="N5" i="15"/>
  <c r="M5" i="15"/>
  <c r="L5" i="15"/>
  <c r="G5" i="15"/>
  <c r="S5" i="15" s="1"/>
  <c r="F5" i="15"/>
  <c r="R5" i="15" s="1"/>
  <c r="E5" i="15"/>
  <c r="Q5" i="15" s="1"/>
  <c r="D5" i="15"/>
  <c r="P5" i="15" s="1"/>
  <c r="S4" i="15"/>
  <c r="R4" i="15"/>
  <c r="Q4" i="15"/>
  <c r="P4" i="15"/>
  <c r="E18" i="14"/>
  <c r="D18" i="14"/>
  <c r="E17" i="14"/>
  <c r="K17" i="14" s="1"/>
  <c r="I16" i="14"/>
  <c r="H16" i="14"/>
  <c r="E16" i="14"/>
  <c r="K16" i="14" s="1"/>
  <c r="E15" i="14"/>
  <c r="K15" i="14" s="1"/>
  <c r="G24" i="14" s="1"/>
  <c r="H40" i="14" s="1"/>
  <c r="J14" i="14"/>
  <c r="I14" i="14"/>
  <c r="H14" i="14"/>
  <c r="E14" i="14"/>
  <c r="K14" i="14" s="1"/>
  <c r="E13" i="14"/>
  <c r="K13" i="14" s="1"/>
  <c r="G22" i="14" s="1"/>
  <c r="O8" i="14"/>
  <c r="N8" i="14"/>
  <c r="M8" i="14"/>
  <c r="L8" i="14"/>
  <c r="G8" i="14"/>
  <c r="S8" i="14" s="1"/>
  <c r="F8" i="14"/>
  <c r="R8" i="14" s="1"/>
  <c r="F26" i="14" s="1"/>
  <c r="G42" i="14" s="1"/>
  <c r="E8" i="14"/>
  <c r="Q8" i="14" s="1"/>
  <c r="D8" i="14"/>
  <c r="P8" i="14" s="1"/>
  <c r="O7" i="14"/>
  <c r="N7" i="14"/>
  <c r="M7" i="14"/>
  <c r="L7" i="14"/>
  <c r="G7" i="14"/>
  <c r="S7" i="14" s="1"/>
  <c r="F7" i="14"/>
  <c r="R7" i="14" s="1"/>
  <c r="F25" i="14" s="1"/>
  <c r="G41" i="14" s="1"/>
  <c r="E7" i="14"/>
  <c r="Q7" i="14" s="1"/>
  <c r="D7" i="14"/>
  <c r="P7" i="14" s="1"/>
  <c r="D25" i="14" s="1"/>
  <c r="S6" i="14"/>
  <c r="O6" i="14"/>
  <c r="N6" i="14"/>
  <c r="M6" i="14"/>
  <c r="L6" i="14"/>
  <c r="G6" i="14"/>
  <c r="F6" i="14"/>
  <c r="R6" i="14" s="1"/>
  <c r="F24" i="14" s="1"/>
  <c r="G40" i="14" s="1"/>
  <c r="E6" i="14"/>
  <c r="Q6" i="14" s="1"/>
  <c r="D6" i="14"/>
  <c r="P6" i="14" s="1"/>
  <c r="O5" i="14"/>
  <c r="N5" i="14"/>
  <c r="M5" i="14"/>
  <c r="L5" i="14"/>
  <c r="G5" i="14"/>
  <c r="S5" i="14" s="1"/>
  <c r="F5" i="14"/>
  <c r="R5" i="14" s="1"/>
  <c r="F23" i="14" s="1"/>
  <c r="G39" i="14" s="1"/>
  <c r="E5" i="14"/>
  <c r="Q5" i="14" s="1"/>
  <c r="D5" i="14"/>
  <c r="P5" i="14" s="1"/>
  <c r="S4" i="14"/>
  <c r="R4" i="14"/>
  <c r="Q4" i="14"/>
  <c r="P4" i="14"/>
  <c r="E18" i="13"/>
  <c r="D18" i="13"/>
  <c r="E17" i="13"/>
  <c r="K17" i="13" s="1"/>
  <c r="G26" i="13" s="1"/>
  <c r="H42" i="13" s="1"/>
  <c r="H16" i="13"/>
  <c r="E16" i="13"/>
  <c r="K16" i="13" s="1"/>
  <c r="E15" i="13"/>
  <c r="K15" i="13" s="1"/>
  <c r="G24" i="13" s="1"/>
  <c r="H40" i="13" s="1"/>
  <c r="I14" i="13"/>
  <c r="E14" i="13"/>
  <c r="H14" i="13" s="1"/>
  <c r="D23" i="13" s="1"/>
  <c r="K13" i="13"/>
  <c r="G22" i="13" s="1"/>
  <c r="J13" i="13"/>
  <c r="F22" i="13" s="1"/>
  <c r="I13" i="13"/>
  <c r="E22" i="13" s="1"/>
  <c r="H13" i="13"/>
  <c r="D22" i="13" s="1"/>
  <c r="E13" i="13"/>
  <c r="S8" i="13"/>
  <c r="O8" i="13"/>
  <c r="N8" i="13"/>
  <c r="M8" i="13"/>
  <c r="L8" i="13"/>
  <c r="G8" i="13"/>
  <c r="F8" i="13"/>
  <c r="R8" i="13" s="1"/>
  <c r="F26" i="13" s="1"/>
  <c r="G42" i="13" s="1"/>
  <c r="E8" i="13"/>
  <c r="Q8" i="13" s="1"/>
  <c r="D8" i="13"/>
  <c r="P8" i="13" s="1"/>
  <c r="O7" i="13"/>
  <c r="N7" i="13"/>
  <c r="M7" i="13"/>
  <c r="L7" i="13"/>
  <c r="G7" i="13"/>
  <c r="S7" i="13" s="1"/>
  <c r="F7" i="13"/>
  <c r="R7" i="13" s="1"/>
  <c r="F25" i="13" s="1"/>
  <c r="G41" i="13" s="1"/>
  <c r="E7" i="13"/>
  <c r="Q7" i="13" s="1"/>
  <c r="D7" i="13"/>
  <c r="P7" i="13" s="1"/>
  <c r="S6" i="13"/>
  <c r="O6" i="13"/>
  <c r="N6" i="13"/>
  <c r="M6" i="13"/>
  <c r="L6" i="13"/>
  <c r="G6" i="13"/>
  <c r="F6" i="13"/>
  <c r="R6" i="13" s="1"/>
  <c r="F24" i="13" s="1"/>
  <c r="G40" i="13" s="1"/>
  <c r="E6" i="13"/>
  <c r="Q6" i="13" s="1"/>
  <c r="D6" i="13"/>
  <c r="P6" i="13" s="1"/>
  <c r="O5" i="13"/>
  <c r="N5" i="13"/>
  <c r="M5" i="13"/>
  <c r="L5" i="13"/>
  <c r="G5" i="13"/>
  <c r="S5" i="13" s="1"/>
  <c r="F5" i="13"/>
  <c r="R5" i="13" s="1"/>
  <c r="E5" i="13"/>
  <c r="Q5" i="13" s="1"/>
  <c r="D5" i="13"/>
  <c r="P5" i="13" s="1"/>
  <c r="S4" i="13"/>
  <c r="R4" i="13"/>
  <c r="Q4" i="13"/>
  <c r="P4" i="13"/>
  <c r="F25" i="12"/>
  <c r="G41" i="12" s="1"/>
  <c r="F22" i="12"/>
  <c r="E22" i="12"/>
  <c r="E18" i="12"/>
  <c r="D18" i="12"/>
  <c r="E17" i="12"/>
  <c r="K17" i="12" s="1"/>
  <c r="G26" i="12" s="1"/>
  <c r="H42" i="12" s="1"/>
  <c r="K16" i="12"/>
  <c r="H16" i="12"/>
  <c r="D25" i="12" s="1"/>
  <c r="E16" i="12"/>
  <c r="I16" i="12" s="1"/>
  <c r="E25" i="12" s="1"/>
  <c r="F41" i="12" s="1"/>
  <c r="E15" i="12"/>
  <c r="K15" i="12" s="1"/>
  <c r="G24" i="12" s="1"/>
  <c r="H40" i="12" s="1"/>
  <c r="K14" i="12"/>
  <c r="I14" i="12"/>
  <c r="E23" i="12" s="1"/>
  <c r="F39" i="12" s="1"/>
  <c r="E14" i="12"/>
  <c r="H14" i="12" s="1"/>
  <c r="K13" i="12"/>
  <c r="G22" i="12" s="1"/>
  <c r="J13" i="12"/>
  <c r="I13" i="12"/>
  <c r="H13" i="12"/>
  <c r="D22" i="12" s="1"/>
  <c r="E13" i="12"/>
  <c r="O8" i="12"/>
  <c r="N8" i="12"/>
  <c r="M8" i="12"/>
  <c r="L8" i="12"/>
  <c r="G8" i="12"/>
  <c r="S8" i="12" s="1"/>
  <c r="F8" i="12"/>
  <c r="R8" i="12" s="1"/>
  <c r="F26" i="12" s="1"/>
  <c r="G42" i="12" s="1"/>
  <c r="E8" i="12"/>
  <c r="Q8" i="12" s="1"/>
  <c r="D8" i="12"/>
  <c r="P8" i="12" s="1"/>
  <c r="R7" i="12"/>
  <c r="Q7" i="12"/>
  <c r="O7" i="12"/>
  <c r="N7" i="12"/>
  <c r="M7" i="12"/>
  <c r="L7" i="12"/>
  <c r="G7" i="12"/>
  <c r="S7" i="12" s="1"/>
  <c r="F7" i="12"/>
  <c r="E7" i="12"/>
  <c r="D7" i="12"/>
  <c r="P7" i="12" s="1"/>
  <c r="O6" i="12"/>
  <c r="N6" i="12"/>
  <c r="M6" i="12"/>
  <c r="L6" i="12"/>
  <c r="G6" i="12"/>
  <c r="S6" i="12" s="1"/>
  <c r="F6" i="12"/>
  <c r="R6" i="12" s="1"/>
  <c r="F24" i="12" s="1"/>
  <c r="G40" i="12" s="1"/>
  <c r="E6" i="12"/>
  <c r="Q6" i="12" s="1"/>
  <c r="D6" i="12"/>
  <c r="P6" i="12" s="1"/>
  <c r="R5" i="12"/>
  <c r="Q5" i="12"/>
  <c r="O5" i="12"/>
  <c r="N5" i="12"/>
  <c r="M5" i="12"/>
  <c r="L5" i="12"/>
  <c r="G5" i="12"/>
  <c r="S5" i="12" s="1"/>
  <c r="F5" i="12"/>
  <c r="E5" i="12"/>
  <c r="D5" i="12"/>
  <c r="P5" i="12" s="1"/>
  <c r="S4" i="12"/>
  <c r="R4" i="12"/>
  <c r="Q4" i="12"/>
  <c r="P4" i="12"/>
  <c r="L6" i="11"/>
  <c r="M6" i="11"/>
  <c r="N6" i="11"/>
  <c r="O6" i="11"/>
  <c r="L7" i="11"/>
  <c r="M7" i="11"/>
  <c r="N7" i="11"/>
  <c r="O7" i="11"/>
  <c r="L8" i="11"/>
  <c r="M8" i="11"/>
  <c r="N8" i="11"/>
  <c r="O8" i="11"/>
  <c r="M5" i="11"/>
  <c r="N5" i="11"/>
  <c r="O5" i="11"/>
  <c r="L5" i="11"/>
  <c r="D6" i="11"/>
  <c r="E6" i="11"/>
  <c r="F6" i="11"/>
  <c r="G6" i="11"/>
  <c r="D7" i="11"/>
  <c r="E7" i="11"/>
  <c r="F7" i="11"/>
  <c r="G7" i="11"/>
  <c r="D8" i="11"/>
  <c r="E8" i="11"/>
  <c r="F8" i="11"/>
  <c r="G8" i="11"/>
  <c r="E5" i="11"/>
  <c r="F5" i="11"/>
  <c r="G5" i="11"/>
  <c r="D5" i="11"/>
  <c r="E17" i="11"/>
  <c r="K17" i="11" s="1"/>
  <c r="E16" i="11"/>
  <c r="E15" i="11"/>
  <c r="E14" i="11"/>
  <c r="K14" i="11" s="1"/>
  <c r="E13" i="11"/>
  <c r="P4" i="11"/>
  <c r="BK4" i="1"/>
  <c r="BK5" i="1" s="1"/>
  <c r="O4" i="10"/>
  <c r="N5" i="10"/>
  <c r="N6" i="10"/>
  <c r="N7" i="10"/>
  <c r="N8" i="10"/>
  <c r="N9" i="10"/>
  <c r="N10" i="10"/>
  <c r="N11" i="10"/>
  <c r="N12" i="10"/>
  <c r="N13" i="10"/>
  <c r="N14" i="10"/>
  <c r="N15" i="10"/>
  <c r="N16" i="10"/>
  <c r="N17" i="10"/>
  <c r="N18" i="10"/>
  <c r="N19" i="10"/>
  <c r="N20" i="10"/>
  <c r="N21" i="10"/>
  <c r="N22" i="10"/>
  <c r="N23" i="10"/>
  <c r="N24" i="10"/>
  <c r="N25" i="10"/>
  <c r="N26" i="10"/>
  <c r="N27" i="10"/>
  <c r="N28" i="10"/>
  <c r="N29" i="10"/>
  <c r="N30" i="10"/>
  <c r="N4" i="10"/>
  <c r="M5" i="10"/>
  <c r="M6" i="10"/>
  <c r="M7" i="10"/>
  <c r="M8" i="10"/>
  <c r="M9" i="10"/>
  <c r="M10" i="10"/>
  <c r="M11" i="10"/>
  <c r="M12" i="10"/>
  <c r="M13" i="10"/>
  <c r="M14" i="10"/>
  <c r="M15" i="10"/>
  <c r="M16" i="10"/>
  <c r="M17" i="10"/>
  <c r="M18" i="10"/>
  <c r="M19" i="10"/>
  <c r="M20" i="10"/>
  <c r="M21" i="10"/>
  <c r="M22" i="10"/>
  <c r="M23" i="10"/>
  <c r="M24" i="10"/>
  <c r="M25" i="10"/>
  <c r="M26" i="10"/>
  <c r="M27" i="10"/>
  <c r="M28" i="10"/>
  <c r="M29" i="10"/>
  <c r="M30" i="10"/>
  <c r="M4" i="10"/>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4" i="10"/>
  <c r="F5" i="10"/>
  <c r="F6" i="10"/>
  <c r="F7" i="10"/>
  <c r="F8" i="10"/>
  <c r="F9" i="10"/>
  <c r="F10" i="10"/>
  <c r="F11" i="10"/>
  <c r="F12" i="10"/>
  <c r="F13" i="10"/>
  <c r="F14" i="10"/>
  <c r="F15" i="10"/>
  <c r="F16" i="10"/>
  <c r="F17" i="10"/>
  <c r="F18" i="10"/>
  <c r="F19" i="10"/>
  <c r="F20" i="10"/>
  <c r="F21" i="10"/>
  <c r="F22" i="10"/>
  <c r="F23" i="10"/>
  <c r="F24" i="10"/>
  <c r="F25" i="10"/>
  <c r="F26" i="10"/>
  <c r="F27" i="10"/>
  <c r="F28" i="10"/>
  <c r="F29" i="10"/>
  <c r="F30"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4" i="10"/>
  <c r="F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4" i="10"/>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4" i="10"/>
  <c r="J5" i="10"/>
  <c r="J6" i="10"/>
  <c r="J7" i="10"/>
  <c r="J8" i="10"/>
  <c r="J9" i="10"/>
  <c r="J10" i="10"/>
  <c r="J11" i="10"/>
  <c r="J12" i="10"/>
  <c r="J13" i="10"/>
  <c r="J14" i="10"/>
  <c r="J15" i="10"/>
  <c r="J16" i="10"/>
  <c r="J17" i="10"/>
  <c r="J18" i="10"/>
  <c r="J19" i="10"/>
  <c r="J20" i="10"/>
  <c r="J21" i="10"/>
  <c r="J22" i="10"/>
  <c r="J23" i="10"/>
  <c r="J24" i="10"/>
  <c r="J25" i="10"/>
  <c r="J26" i="10"/>
  <c r="J27" i="10"/>
  <c r="J28" i="10"/>
  <c r="J29" i="10"/>
  <c r="J30" i="10"/>
  <c r="J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4" i="10"/>
  <c r="H5" i="10"/>
  <c r="H6" i="10"/>
  <c r="H7" i="10"/>
  <c r="H8" i="10"/>
  <c r="H9" i="10"/>
  <c r="H10" i="10"/>
  <c r="H11" i="10"/>
  <c r="H12" i="10"/>
  <c r="H13" i="10"/>
  <c r="H14" i="10"/>
  <c r="H15" i="10"/>
  <c r="H16" i="10"/>
  <c r="H17" i="10"/>
  <c r="H18" i="10"/>
  <c r="H19" i="10"/>
  <c r="H20" i="10"/>
  <c r="H21" i="10"/>
  <c r="H22" i="10"/>
  <c r="H23" i="10"/>
  <c r="H24" i="10"/>
  <c r="H25" i="10"/>
  <c r="H26" i="10"/>
  <c r="H27" i="10"/>
  <c r="H28" i="10"/>
  <c r="H29" i="10"/>
  <c r="H30" i="10"/>
  <c r="H4" i="10"/>
  <c r="D44" i="10"/>
  <c r="E44" i="10" s="1"/>
  <c r="D43" i="10"/>
  <c r="E39" i="22" l="1"/>
  <c r="E23" i="22"/>
  <c r="F39" i="22" s="1"/>
  <c r="E41" i="22"/>
  <c r="G24" i="22"/>
  <c r="H40" i="22" s="1"/>
  <c r="G25" i="22"/>
  <c r="H41" i="22" s="1"/>
  <c r="E33" i="22"/>
  <c r="H22" i="22"/>
  <c r="D27" i="22"/>
  <c r="F33" i="22"/>
  <c r="G33" i="22"/>
  <c r="H33" i="22"/>
  <c r="J14" i="22"/>
  <c r="F23" i="22" s="1"/>
  <c r="G39" i="22" s="1"/>
  <c r="I16" i="22"/>
  <c r="E25" i="22" s="1"/>
  <c r="F41" i="22" s="1"/>
  <c r="K14" i="22"/>
  <c r="G23" i="22" s="1"/>
  <c r="H39" i="22" s="1"/>
  <c r="H15" i="22"/>
  <c r="D24" i="22" s="1"/>
  <c r="H17" i="22"/>
  <c r="D26" i="22" s="1"/>
  <c r="I15" i="22"/>
  <c r="E24" i="22" s="1"/>
  <c r="F40" i="22" s="1"/>
  <c r="I17" i="22"/>
  <c r="E26" i="22" s="1"/>
  <c r="F42" i="22" s="1"/>
  <c r="F23" i="21"/>
  <c r="G39" i="21" s="1"/>
  <c r="G27" i="21"/>
  <c r="H33" i="21"/>
  <c r="D23" i="21"/>
  <c r="G25" i="21"/>
  <c r="H41" i="21" s="1"/>
  <c r="E41" i="21"/>
  <c r="E23" i="21"/>
  <c r="F39" i="21" s="1"/>
  <c r="D26" i="21"/>
  <c r="D27" i="21" s="1"/>
  <c r="G23" i="21"/>
  <c r="H39" i="21" s="1"/>
  <c r="E26" i="21"/>
  <c r="F42" i="21" s="1"/>
  <c r="E33" i="21"/>
  <c r="H22" i="21"/>
  <c r="D24" i="21"/>
  <c r="E24" i="21"/>
  <c r="F40" i="21" s="1"/>
  <c r="F33" i="21"/>
  <c r="E27" i="21"/>
  <c r="F27" i="21"/>
  <c r="G33" i="21"/>
  <c r="D23" i="20"/>
  <c r="E23" i="20"/>
  <c r="F39" i="20" s="1"/>
  <c r="G25" i="20"/>
  <c r="H41" i="20" s="1"/>
  <c r="E33" i="20"/>
  <c r="H22" i="20"/>
  <c r="D25" i="20"/>
  <c r="F33" i="20"/>
  <c r="G33" i="20"/>
  <c r="G27" i="20"/>
  <c r="H33" i="20"/>
  <c r="J14" i="20"/>
  <c r="F23" i="20" s="1"/>
  <c r="G39" i="20" s="1"/>
  <c r="I16" i="20"/>
  <c r="E25" i="20" s="1"/>
  <c r="F41" i="20" s="1"/>
  <c r="K14" i="20"/>
  <c r="G23" i="20" s="1"/>
  <c r="H39" i="20" s="1"/>
  <c r="H15" i="20"/>
  <c r="D24" i="20" s="1"/>
  <c r="H17" i="20"/>
  <c r="D26" i="20" s="1"/>
  <c r="I15" i="20"/>
  <c r="E24" i="20" s="1"/>
  <c r="F40" i="20" s="1"/>
  <c r="I17" i="20"/>
  <c r="E26" i="20" s="1"/>
  <c r="F42" i="20" s="1"/>
  <c r="E41" i="19"/>
  <c r="H25" i="19"/>
  <c r="I41" i="19" s="1"/>
  <c r="E23" i="19"/>
  <c r="F39" i="19" s="1"/>
  <c r="D23" i="19"/>
  <c r="E33" i="19"/>
  <c r="H22" i="19"/>
  <c r="G25" i="19"/>
  <c r="H41" i="19" s="1"/>
  <c r="F33" i="19"/>
  <c r="F27" i="19"/>
  <c r="G33" i="19"/>
  <c r="H33" i="19"/>
  <c r="J14" i="19"/>
  <c r="F23" i="19" s="1"/>
  <c r="G39" i="19" s="1"/>
  <c r="I16" i="19"/>
  <c r="E25" i="19" s="1"/>
  <c r="F41" i="19" s="1"/>
  <c r="H15" i="19"/>
  <c r="D24" i="19" s="1"/>
  <c r="D27" i="19" s="1"/>
  <c r="H17" i="19"/>
  <c r="D26" i="19" s="1"/>
  <c r="I15" i="19"/>
  <c r="E24" i="19" s="1"/>
  <c r="F40" i="19" s="1"/>
  <c r="I17" i="19"/>
  <c r="E26" i="19" s="1"/>
  <c r="F42" i="19" s="1"/>
  <c r="E41" i="18"/>
  <c r="E23" i="18"/>
  <c r="F39" i="18" s="1"/>
  <c r="E33" i="18"/>
  <c r="H22" i="18"/>
  <c r="G25" i="18"/>
  <c r="H41" i="18" s="1"/>
  <c r="D23" i="18"/>
  <c r="F33" i="18"/>
  <c r="F27" i="18"/>
  <c r="G33" i="18"/>
  <c r="G27" i="18"/>
  <c r="H33" i="18"/>
  <c r="G23" i="18"/>
  <c r="H39" i="18" s="1"/>
  <c r="J14" i="18"/>
  <c r="F23" i="18" s="1"/>
  <c r="G39" i="18" s="1"/>
  <c r="I16" i="18"/>
  <c r="E25" i="18" s="1"/>
  <c r="F41" i="18" s="1"/>
  <c r="H15" i="18"/>
  <c r="D24" i="18" s="1"/>
  <c r="H17" i="18"/>
  <c r="D26" i="18" s="1"/>
  <c r="D27" i="18" s="1"/>
  <c r="I15" i="18"/>
  <c r="E24" i="18" s="1"/>
  <c r="F40" i="18" s="1"/>
  <c r="I17" i="18"/>
  <c r="E26" i="18" s="1"/>
  <c r="F42" i="18" s="1"/>
  <c r="E33" i="17"/>
  <c r="H22" i="17"/>
  <c r="D27" i="17"/>
  <c r="F33" i="17"/>
  <c r="G25" i="17"/>
  <c r="H41" i="17" s="1"/>
  <c r="F27" i="17"/>
  <c r="G33" i="17"/>
  <c r="D25" i="17"/>
  <c r="G27" i="17"/>
  <c r="H33" i="17"/>
  <c r="D23" i="17"/>
  <c r="D26" i="17"/>
  <c r="E23" i="17"/>
  <c r="F39" i="17" s="1"/>
  <c r="E26" i="17"/>
  <c r="F42" i="17" s="1"/>
  <c r="H24" i="17"/>
  <c r="I40" i="17" s="1"/>
  <c r="E40" i="17"/>
  <c r="J14" i="17"/>
  <c r="F23" i="17" s="1"/>
  <c r="G39" i="17" s="1"/>
  <c r="I16" i="17"/>
  <c r="E25" i="17" s="1"/>
  <c r="F41" i="17" s="1"/>
  <c r="K14" i="17"/>
  <c r="G23" i="17" s="1"/>
  <c r="H39" i="17" s="1"/>
  <c r="E39" i="16"/>
  <c r="E41" i="16"/>
  <c r="E23" i="16"/>
  <c r="F39" i="16" s="1"/>
  <c r="G24" i="16"/>
  <c r="H40" i="16" s="1"/>
  <c r="E33" i="16"/>
  <c r="H22" i="16"/>
  <c r="D27" i="16"/>
  <c r="G25" i="16"/>
  <c r="H41" i="16" s="1"/>
  <c r="E27" i="16"/>
  <c r="F33" i="16"/>
  <c r="H33" i="16"/>
  <c r="G33" i="16"/>
  <c r="G23" i="16"/>
  <c r="H39" i="16" s="1"/>
  <c r="J14" i="16"/>
  <c r="F23" i="16" s="1"/>
  <c r="G39" i="16" s="1"/>
  <c r="I16" i="16"/>
  <c r="E25" i="16" s="1"/>
  <c r="F41" i="16" s="1"/>
  <c r="H15" i="16"/>
  <c r="D24" i="16" s="1"/>
  <c r="H17" i="16"/>
  <c r="D26" i="16" s="1"/>
  <c r="I15" i="16"/>
  <c r="E24" i="16" s="1"/>
  <c r="F40" i="16" s="1"/>
  <c r="I17" i="16"/>
  <c r="E26" i="16" s="1"/>
  <c r="F42" i="16" s="1"/>
  <c r="H24" i="15"/>
  <c r="I40" i="15" s="1"/>
  <c r="E40" i="15"/>
  <c r="E33" i="15"/>
  <c r="H22" i="15"/>
  <c r="D27" i="15"/>
  <c r="E25" i="15"/>
  <c r="F41" i="15" s="1"/>
  <c r="F33" i="15"/>
  <c r="D25" i="15"/>
  <c r="G33" i="15"/>
  <c r="G27" i="15"/>
  <c r="H33" i="15"/>
  <c r="D23" i="15"/>
  <c r="D26" i="15"/>
  <c r="E23" i="15"/>
  <c r="F39" i="15" s="1"/>
  <c r="J14" i="15"/>
  <c r="F23" i="15" s="1"/>
  <c r="G39" i="15" s="1"/>
  <c r="K14" i="15"/>
  <c r="G23" i="15" s="1"/>
  <c r="H39" i="15" s="1"/>
  <c r="I15" i="15"/>
  <c r="E24" i="15" s="1"/>
  <c r="F40" i="15" s="1"/>
  <c r="I17" i="15"/>
  <c r="E26" i="15" s="1"/>
  <c r="F42" i="15" s="1"/>
  <c r="G25" i="14"/>
  <c r="H41" i="14" s="1"/>
  <c r="E41" i="14"/>
  <c r="H25" i="14"/>
  <c r="I41" i="14" s="1"/>
  <c r="H33" i="14"/>
  <c r="E25" i="14"/>
  <c r="F41" i="14" s="1"/>
  <c r="G23" i="14"/>
  <c r="H39" i="14" s="1"/>
  <c r="G26" i="14"/>
  <c r="H42" i="14" s="1"/>
  <c r="D23" i="14"/>
  <c r="E23" i="14"/>
  <c r="F39" i="14" s="1"/>
  <c r="H13" i="14"/>
  <c r="D22" i="14" s="1"/>
  <c r="I13" i="14"/>
  <c r="E22" i="14" s="1"/>
  <c r="J13" i="14"/>
  <c r="F22" i="14" s="1"/>
  <c r="H15" i="14"/>
  <c r="D24" i="14" s="1"/>
  <c r="H17" i="14"/>
  <c r="D26" i="14" s="1"/>
  <c r="I15" i="14"/>
  <c r="E24" i="14" s="1"/>
  <c r="F40" i="14" s="1"/>
  <c r="I17" i="14"/>
  <c r="E26" i="14" s="1"/>
  <c r="F42" i="14" s="1"/>
  <c r="E23" i="13"/>
  <c r="F39" i="13" s="1"/>
  <c r="E39" i="13"/>
  <c r="G25" i="13"/>
  <c r="H41" i="13" s="1"/>
  <c r="E33" i="13"/>
  <c r="H22" i="13"/>
  <c r="D25" i="13"/>
  <c r="F33" i="13"/>
  <c r="G33" i="13"/>
  <c r="H33" i="13"/>
  <c r="J14" i="13"/>
  <c r="F23" i="13" s="1"/>
  <c r="G39" i="13" s="1"/>
  <c r="I16" i="13"/>
  <c r="E25" i="13" s="1"/>
  <c r="F41" i="13" s="1"/>
  <c r="K14" i="13"/>
  <c r="G23" i="13" s="1"/>
  <c r="H39" i="13" s="1"/>
  <c r="H15" i="13"/>
  <c r="D24" i="13" s="1"/>
  <c r="D27" i="13" s="1"/>
  <c r="H17" i="13"/>
  <c r="D26" i="13" s="1"/>
  <c r="I15" i="13"/>
  <c r="E24" i="13" s="1"/>
  <c r="F40" i="13" s="1"/>
  <c r="I17" i="13"/>
  <c r="E26" i="13" s="1"/>
  <c r="F42" i="13" s="1"/>
  <c r="E41" i="12"/>
  <c r="G25" i="12"/>
  <c r="H41" i="12" s="1"/>
  <c r="D23" i="12"/>
  <c r="G27" i="12"/>
  <c r="H33" i="12"/>
  <c r="G23" i="12"/>
  <c r="H39" i="12" s="1"/>
  <c r="E27" i="12"/>
  <c r="E33" i="12"/>
  <c r="H22" i="12"/>
  <c r="F33" i="12"/>
  <c r="J14" i="12"/>
  <c r="F23" i="12" s="1"/>
  <c r="G39" i="12" s="1"/>
  <c r="G33" i="12"/>
  <c r="H15" i="12"/>
  <c r="D24" i="12" s="1"/>
  <c r="H17" i="12"/>
  <c r="D26" i="12" s="1"/>
  <c r="I15" i="12"/>
  <c r="E24" i="12" s="1"/>
  <c r="F40" i="12" s="1"/>
  <c r="I17" i="12"/>
  <c r="E26" i="12" s="1"/>
  <c r="F42" i="12" s="1"/>
  <c r="Q5" i="11"/>
  <c r="R6" i="11"/>
  <c r="G40" i="11" s="1"/>
  <c r="Q8" i="11"/>
  <c r="R4" i="11"/>
  <c r="S6" i="11"/>
  <c r="S4" i="11"/>
  <c r="R8" i="11"/>
  <c r="G42" i="11" s="1"/>
  <c r="P8" i="11"/>
  <c r="Q7" i="11"/>
  <c r="R7" i="11"/>
  <c r="G41" i="11" s="1"/>
  <c r="S8" i="11"/>
  <c r="H42" i="11" s="1"/>
  <c r="P6" i="11"/>
  <c r="K16" i="11"/>
  <c r="I16" i="11"/>
  <c r="H16" i="11"/>
  <c r="Q4" i="11"/>
  <c r="Q6" i="11"/>
  <c r="P7" i="11"/>
  <c r="R5" i="11"/>
  <c r="S5" i="11"/>
  <c r="H39" i="11" s="1"/>
  <c r="P5" i="11"/>
  <c r="S7" i="11"/>
  <c r="K15" i="11"/>
  <c r="I15" i="11"/>
  <c r="H15" i="11"/>
  <c r="I13" i="11"/>
  <c r="E18" i="11"/>
  <c r="J13" i="11"/>
  <c r="K13" i="11"/>
  <c r="D18" i="11"/>
  <c r="H14" i="11"/>
  <c r="H17" i="11"/>
  <c r="I14" i="11"/>
  <c r="I17" i="11"/>
  <c r="J14" i="11"/>
  <c r="H44" i="10"/>
  <c r="K44" i="10"/>
  <c r="I44" i="10"/>
  <c r="H27" i="22" l="1"/>
  <c r="I33" i="22"/>
  <c r="G27" i="22"/>
  <c r="H23" i="22"/>
  <c r="I39" i="22" s="1"/>
  <c r="E42" i="22"/>
  <c r="H26" i="22"/>
  <c r="I42" i="22" s="1"/>
  <c r="F27" i="22"/>
  <c r="H25" i="22"/>
  <c r="I41" i="22" s="1"/>
  <c r="H24" i="22"/>
  <c r="I40" i="22" s="1"/>
  <c r="E40" i="22"/>
  <c r="E27" i="22"/>
  <c r="H24" i="21"/>
  <c r="I40" i="21" s="1"/>
  <c r="E40" i="21"/>
  <c r="H25" i="21"/>
  <c r="I41" i="21" s="1"/>
  <c r="I33" i="21"/>
  <c r="E42" i="21"/>
  <c r="H26" i="21"/>
  <c r="I42" i="21" s="1"/>
  <c r="E39" i="21"/>
  <c r="H23" i="21"/>
  <c r="I39" i="21" s="1"/>
  <c r="E27" i="20"/>
  <c r="E41" i="20"/>
  <c r="H25" i="20"/>
  <c r="I41" i="20" s="1"/>
  <c r="D27" i="20"/>
  <c r="H27" i="20"/>
  <c r="I33" i="20"/>
  <c r="E42" i="20"/>
  <c r="H26" i="20"/>
  <c r="I42" i="20" s="1"/>
  <c r="F27" i="20"/>
  <c r="H24" i="20"/>
  <c r="I40" i="20" s="1"/>
  <c r="E40" i="20"/>
  <c r="E39" i="20"/>
  <c r="H23" i="20"/>
  <c r="I39" i="20" s="1"/>
  <c r="E27" i="19"/>
  <c r="H24" i="19"/>
  <c r="I40" i="19" s="1"/>
  <c r="E40" i="19"/>
  <c r="I33" i="19"/>
  <c r="G27" i="19"/>
  <c r="E42" i="19"/>
  <c r="H26" i="19"/>
  <c r="I42" i="19" s="1"/>
  <c r="E39" i="19"/>
  <c r="H23" i="19"/>
  <c r="I39" i="19" s="1"/>
  <c r="E39" i="18"/>
  <c r="H23" i="18"/>
  <c r="I39" i="18" s="1"/>
  <c r="I33" i="18"/>
  <c r="E42" i="18"/>
  <c r="H26" i="18"/>
  <c r="I42" i="18" s="1"/>
  <c r="H24" i="18"/>
  <c r="I40" i="18" s="1"/>
  <c r="E40" i="18"/>
  <c r="H25" i="18"/>
  <c r="I41" i="18" s="1"/>
  <c r="E27" i="18"/>
  <c r="E42" i="17"/>
  <c r="H26" i="17"/>
  <c r="I42" i="17" s="1"/>
  <c r="E27" i="17"/>
  <c r="E39" i="17"/>
  <c r="H23" i="17"/>
  <c r="I39" i="17" s="1"/>
  <c r="I33" i="17"/>
  <c r="E41" i="17"/>
  <c r="H25" i="17"/>
  <c r="I41" i="17" s="1"/>
  <c r="H23" i="16"/>
  <c r="I39" i="16" s="1"/>
  <c r="H27" i="16"/>
  <c r="I33" i="16"/>
  <c r="F27" i="16"/>
  <c r="E42" i="16"/>
  <c r="H26" i="16"/>
  <c r="I42" i="16" s="1"/>
  <c r="G27" i="16"/>
  <c r="H24" i="16"/>
  <c r="I40" i="16" s="1"/>
  <c r="E40" i="16"/>
  <c r="H25" i="16"/>
  <c r="I41" i="16" s="1"/>
  <c r="E42" i="15"/>
  <c r="H26" i="15"/>
  <c r="I42" i="15" s="1"/>
  <c r="E27" i="15"/>
  <c r="E39" i="15"/>
  <c r="H23" i="15"/>
  <c r="I39" i="15" s="1"/>
  <c r="I33" i="15"/>
  <c r="F27" i="15"/>
  <c r="E41" i="15"/>
  <c r="H25" i="15"/>
  <c r="I41" i="15" s="1"/>
  <c r="E42" i="14"/>
  <c r="H26" i="14"/>
  <c r="I42" i="14" s="1"/>
  <c r="H24" i="14"/>
  <c r="I40" i="14" s="1"/>
  <c r="E40" i="14"/>
  <c r="F27" i="14"/>
  <c r="G33" i="14"/>
  <c r="E27" i="14"/>
  <c r="F33" i="14"/>
  <c r="G27" i="14"/>
  <c r="E33" i="14"/>
  <c r="H22" i="14"/>
  <c r="D27" i="14"/>
  <c r="E39" i="14"/>
  <c r="H23" i="14"/>
  <c r="I39" i="14" s="1"/>
  <c r="E41" i="13"/>
  <c r="H25" i="13"/>
  <c r="I41" i="13" s="1"/>
  <c r="H27" i="13"/>
  <c r="I33" i="13"/>
  <c r="G27" i="13"/>
  <c r="E42" i="13"/>
  <c r="H26" i="13"/>
  <c r="I42" i="13" s="1"/>
  <c r="F27" i="13"/>
  <c r="H23" i="13"/>
  <c r="I39" i="13" s="1"/>
  <c r="H24" i="13"/>
  <c r="I40" i="13" s="1"/>
  <c r="E40" i="13"/>
  <c r="E27" i="13"/>
  <c r="H24" i="12"/>
  <c r="I40" i="12" s="1"/>
  <c r="E40" i="12"/>
  <c r="I33" i="12"/>
  <c r="H23" i="12"/>
  <c r="I39" i="12" s="1"/>
  <c r="E39" i="12"/>
  <c r="D27" i="12"/>
  <c r="H25" i="12"/>
  <c r="I41" i="12" s="1"/>
  <c r="E42" i="12"/>
  <c r="H26" i="12"/>
  <c r="I42" i="12" s="1"/>
  <c r="F27" i="12"/>
  <c r="H40" i="11"/>
  <c r="H41" i="11"/>
  <c r="F27" i="11"/>
  <c r="F42" i="11"/>
  <c r="F39" i="11"/>
  <c r="F41" i="11"/>
  <c r="G39" i="11"/>
  <c r="E39" i="11"/>
  <c r="H33" i="11"/>
  <c r="E33" i="11"/>
  <c r="D47" i="10"/>
  <c r="E47" i="10" s="1"/>
  <c r="D48" i="10"/>
  <c r="E48" i="10" s="1"/>
  <c r="D49" i="10"/>
  <c r="E49" i="10" s="1"/>
  <c r="D50" i="10"/>
  <c r="E50" i="10" s="1"/>
  <c r="D51" i="10"/>
  <c r="E51" i="10" s="1"/>
  <c r="D52" i="10"/>
  <c r="E52" i="10" s="1"/>
  <c r="D53" i="10"/>
  <c r="E53" i="10" s="1"/>
  <c r="D54" i="10"/>
  <c r="E54" i="10" s="1"/>
  <c r="D55" i="10"/>
  <c r="E55" i="10" s="1"/>
  <c r="D56" i="10"/>
  <c r="E56" i="10" s="1"/>
  <c r="D57" i="10"/>
  <c r="E57" i="10" s="1"/>
  <c r="D58" i="10"/>
  <c r="E58" i="10" s="1"/>
  <c r="D59" i="10"/>
  <c r="E59" i="10" s="1"/>
  <c r="D60" i="10"/>
  <c r="E60" i="10" s="1"/>
  <c r="D61" i="10"/>
  <c r="E61" i="10" s="1"/>
  <c r="D46" i="10"/>
  <c r="E46" i="10" s="1"/>
  <c r="D45" i="10"/>
  <c r="E45" i="10" s="1"/>
  <c r="E43" i="10"/>
  <c r="D35" i="10"/>
  <c r="D36" i="10"/>
  <c r="E36" i="10" s="1"/>
  <c r="D37" i="10"/>
  <c r="E37" i="10" s="1"/>
  <c r="K37" i="10" s="1"/>
  <c r="D38" i="10"/>
  <c r="E38" i="10" s="1"/>
  <c r="I38" i="10" s="1"/>
  <c r="D39" i="10"/>
  <c r="E39" i="10" s="1"/>
  <c r="I39" i="10" s="1"/>
  <c r="D40" i="10"/>
  <c r="E40" i="10" s="1"/>
  <c r="I40" i="10" s="1"/>
  <c r="D41" i="10"/>
  <c r="E41" i="10" s="1"/>
  <c r="H41" i="10" s="1"/>
  <c r="D42" i="10"/>
  <c r="E42" i="10" s="1"/>
  <c r="H42" i="10" s="1"/>
  <c r="Q5" i="10"/>
  <c r="R5" i="10"/>
  <c r="S5" i="10"/>
  <c r="Q6" i="10"/>
  <c r="R6" i="10"/>
  <c r="F68" i="10" s="1"/>
  <c r="G101" i="10" s="1"/>
  <c r="S6" i="10"/>
  <c r="Q7" i="10"/>
  <c r="R7" i="10"/>
  <c r="F69" i="10" s="1"/>
  <c r="G102" i="10" s="1"/>
  <c r="S7" i="10"/>
  <c r="Q8" i="10"/>
  <c r="R8" i="10"/>
  <c r="F70" i="10" s="1"/>
  <c r="G103" i="10" s="1"/>
  <c r="S8" i="10"/>
  <c r="Q9" i="10"/>
  <c r="R9" i="10"/>
  <c r="F71" i="10" s="1"/>
  <c r="G104" i="10" s="1"/>
  <c r="S9" i="10"/>
  <c r="Q10" i="10"/>
  <c r="R10" i="10"/>
  <c r="F72" i="10" s="1"/>
  <c r="G105" i="10" s="1"/>
  <c r="S10" i="10"/>
  <c r="Q11" i="10"/>
  <c r="R11" i="10"/>
  <c r="F73" i="10" s="1"/>
  <c r="G106" i="10" s="1"/>
  <c r="S11" i="10"/>
  <c r="Q12" i="10"/>
  <c r="R12" i="10"/>
  <c r="S12" i="10"/>
  <c r="Q13" i="10"/>
  <c r="E75" i="10" s="1"/>
  <c r="F112" i="10" s="1"/>
  <c r="R13" i="10"/>
  <c r="F75" i="10" s="1"/>
  <c r="G112" i="10" s="1"/>
  <c r="S13" i="10"/>
  <c r="G75" i="10" s="1"/>
  <c r="H112" i="10" s="1"/>
  <c r="Q14" i="10"/>
  <c r="E76" i="10" s="1"/>
  <c r="F117" i="10" s="1"/>
  <c r="R14" i="10"/>
  <c r="F76" i="10" s="1"/>
  <c r="G117" i="10" s="1"/>
  <c r="S14" i="10"/>
  <c r="G76" i="10" s="1"/>
  <c r="H117" i="10" s="1"/>
  <c r="Q15" i="10"/>
  <c r="E77" i="10" s="1"/>
  <c r="F118" i="10" s="1"/>
  <c r="R15" i="10"/>
  <c r="F77" i="10" s="1"/>
  <c r="G118" i="10" s="1"/>
  <c r="S15" i="10"/>
  <c r="G77" i="10" s="1"/>
  <c r="H118" i="10" s="1"/>
  <c r="Q16" i="10"/>
  <c r="E78" i="10" s="1"/>
  <c r="F119" i="10" s="1"/>
  <c r="R16" i="10"/>
  <c r="F78" i="10" s="1"/>
  <c r="G119" i="10" s="1"/>
  <c r="S16" i="10"/>
  <c r="G78" i="10" s="1"/>
  <c r="H119" i="10" s="1"/>
  <c r="Q17" i="10"/>
  <c r="E79" i="10" s="1"/>
  <c r="F120" i="10" s="1"/>
  <c r="R17" i="10"/>
  <c r="F79" i="10" s="1"/>
  <c r="G120" i="10" s="1"/>
  <c r="S17" i="10"/>
  <c r="G79" i="10" s="1"/>
  <c r="H120" i="10" s="1"/>
  <c r="Q18" i="10"/>
  <c r="E80" i="10" s="1"/>
  <c r="F121" i="10" s="1"/>
  <c r="R18" i="10"/>
  <c r="F80" i="10" s="1"/>
  <c r="G121" i="10" s="1"/>
  <c r="S18" i="10"/>
  <c r="G80" i="10" s="1"/>
  <c r="H121" i="10" s="1"/>
  <c r="Q19" i="10"/>
  <c r="E81" i="10" s="1"/>
  <c r="F122" i="10" s="1"/>
  <c r="R19" i="10"/>
  <c r="F81" i="10" s="1"/>
  <c r="G122" i="10" s="1"/>
  <c r="S19" i="10"/>
  <c r="G81" i="10" s="1"/>
  <c r="H122" i="10" s="1"/>
  <c r="Q20" i="10"/>
  <c r="E82" i="10" s="1"/>
  <c r="F123" i="10" s="1"/>
  <c r="R20" i="10"/>
  <c r="F82" i="10" s="1"/>
  <c r="G123" i="10" s="1"/>
  <c r="S20" i="10"/>
  <c r="G82" i="10" s="1"/>
  <c r="H123" i="10" s="1"/>
  <c r="Q21" i="10"/>
  <c r="E83" i="10" s="1"/>
  <c r="F124" i="10" s="1"/>
  <c r="R21" i="10"/>
  <c r="F83" i="10" s="1"/>
  <c r="G124" i="10" s="1"/>
  <c r="S21" i="10"/>
  <c r="G83" i="10" s="1"/>
  <c r="H124" i="10" s="1"/>
  <c r="Q22" i="10"/>
  <c r="E84" i="10" s="1"/>
  <c r="F125" i="10" s="1"/>
  <c r="R22" i="10"/>
  <c r="F84" i="10" s="1"/>
  <c r="G125" i="10" s="1"/>
  <c r="S22" i="10"/>
  <c r="G84" i="10" s="1"/>
  <c r="H125" i="10" s="1"/>
  <c r="Q23" i="10"/>
  <c r="E85" i="10" s="1"/>
  <c r="F126" i="10" s="1"/>
  <c r="R23" i="10"/>
  <c r="F85" i="10" s="1"/>
  <c r="G126" i="10" s="1"/>
  <c r="S23" i="10"/>
  <c r="G85" i="10" s="1"/>
  <c r="H126" i="10" s="1"/>
  <c r="Q24" i="10"/>
  <c r="E86" i="10" s="1"/>
  <c r="F127" i="10" s="1"/>
  <c r="R24" i="10"/>
  <c r="F86" i="10" s="1"/>
  <c r="G127" i="10" s="1"/>
  <c r="S24" i="10"/>
  <c r="G86" i="10" s="1"/>
  <c r="H127" i="10" s="1"/>
  <c r="Q25" i="10"/>
  <c r="E87" i="10" s="1"/>
  <c r="F128" i="10" s="1"/>
  <c r="R25" i="10"/>
  <c r="F87" i="10" s="1"/>
  <c r="G128" i="10" s="1"/>
  <c r="S25" i="10"/>
  <c r="G87" i="10" s="1"/>
  <c r="H128" i="10" s="1"/>
  <c r="Q26" i="10"/>
  <c r="E88" i="10" s="1"/>
  <c r="F129" i="10" s="1"/>
  <c r="R26" i="10"/>
  <c r="F88" i="10" s="1"/>
  <c r="G129" i="10" s="1"/>
  <c r="S26" i="10"/>
  <c r="G88" i="10" s="1"/>
  <c r="H129" i="10" s="1"/>
  <c r="Q27" i="10"/>
  <c r="E89" i="10" s="1"/>
  <c r="R27" i="10"/>
  <c r="F89" i="10" s="1"/>
  <c r="G130" i="10" s="1"/>
  <c r="S27" i="10"/>
  <c r="G89" i="10" s="1"/>
  <c r="H130" i="10" s="1"/>
  <c r="Q28" i="10"/>
  <c r="E90" i="10" s="1"/>
  <c r="F131" i="10" s="1"/>
  <c r="R28" i="10"/>
  <c r="F90" i="10" s="1"/>
  <c r="G131" i="10" s="1"/>
  <c r="S28" i="10"/>
  <c r="G90" i="10" s="1"/>
  <c r="H131" i="10" s="1"/>
  <c r="Q29" i="10"/>
  <c r="E91" i="10" s="1"/>
  <c r="F132" i="10" s="1"/>
  <c r="R29" i="10"/>
  <c r="F91" i="10" s="1"/>
  <c r="G132" i="10" s="1"/>
  <c r="S29" i="10"/>
  <c r="G91" i="10" s="1"/>
  <c r="H132" i="10" s="1"/>
  <c r="Q30" i="10"/>
  <c r="E92" i="10" s="1"/>
  <c r="F133" i="10" s="1"/>
  <c r="R30" i="10"/>
  <c r="F92" i="10" s="1"/>
  <c r="G133" i="10" s="1"/>
  <c r="S30" i="10"/>
  <c r="G92" i="10" s="1"/>
  <c r="H133" i="10" s="1"/>
  <c r="Q4" i="10"/>
  <c r="R4" i="10"/>
  <c r="S4" i="10"/>
  <c r="P4" i="10"/>
  <c r="P5" i="10"/>
  <c r="P6" i="10"/>
  <c r="P7" i="10"/>
  <c r="P8" i="10"/>
  <c r="P9" i="10"/>
  <c r="P10" i="10"/>
  <c r="P11" i="10"/>
  <c r="P12" i="10"/>
  <c r="P13" i="10"/>
  <c r="D75" i="10" s="1"/>
  <c r="P14" i="10"/>
  <c r="D76" i="10" s="1"/>
  <c r="P15" i="10"/>
  <c r="D77" i="10" s="1"/>
  <c r="P16" i="10"/>
  <c r="D78" i="10" s="1"/>
  <c r="P17" i="10"/>
  <c r="D79" i="10" s="1"/>
  <c r="E120" i="10" s="1"/>
  <c r="P18" i="10"/>
  <c r="D80" i="10" s="1"/>
  <c r="P19" i="10"/>
  <c r="D81" i="10" s="1"/>
  <c r="P20" i="10"/>
  <c r="D82" i="10" s="1"/>
  <c r="P21" i="10"/>
  <c r="D83" i="10" s="1"/>
  <c r="P22" i="10"/>
  <c r="D84" i="10" s="1"/>
  <c r="P23" i="10"/>
  <c r="D85" i="10" s="1"/>
  <c r="P24" i="10"/>
  <c r="D86" i="10" s="1"/>
  <c r="P25" i="10"/>
  <c r="D87" i="10" s="1"/>
  <c r="P26" i="10"/>
  <c r="D88" i="10" s="1"/>
  <c r="P27" i="10"/>
  <c r="D89" i="10" s="1"/>
  <c r="E130" i="10" s="1"/>
  <c r="P28" i="10"/>
  <c r="D90" i="10" s="1"/>
  <c r="P29" i="10"/>
  <c r="D91" i="10" s="1"/>
  <c r="P30" i="10"/>
  <c r="D92" i="10" s="1"/>
  <c r="H27" i="21" l="1"/>
  <c r="H27" i="19"/>
  <c r="H27" i="18"/>
  <c r="H27" i="17"/>
  <c r="H27" i="15"/>
  <c r="H27" i="14"/>
  <c r="I33" i="14"/>
  <c r="H27" i="12"/>
  <c r="G33" i="11"/>
  <c r="G27" i="11"/>
  <c r="I40" i="11"/>
  <c r="F40" i="11"/>
  <c r="I42" i="11"/>
  <c r="I41" i="11"/>
  <c r="D27" i="11"/>
  <c r="F33" i="11"/>
  <c r="E27" i="11"/>
  <c r="H22" i="11"/>
  <c r="I39" i="11"/>
  <c r="E125" i="10"/>
  <c r="H84" i="10"/>
  <c r="I125" i="10" s="1"/>
  <c r="E133" i="10"/>
  <c r="H92" i="10"/>
  <c r="I133" i="10" s="1"/>
  <c r="H91" i="10"/>
  <c r="I132" i="10" s="1"/>
  <c r="E132" i="10"/>
  <c r="E131" i="10"/>
  <c r="H90" i="10"/>
  <c r="I131" i="10" s="1"/>
  <c r="H89" i="10"/>
  <c r="I130" i="10" s="1"/>
  <c r="F130" i="10"/>
  <c r="E129" i="10"/>
  <c r="H88" i="10"/>
  <c r="I129" i="10" s="1"/>
  <c r="H87" i="10"/>
  <c r="I128" i="10" s="1"/>
  <c r="E128" i="10"/>
  <c r="H86" i="10"/>
  <c r="I127" i="10" s="1"/>
  <c r="E127" i="10"/>
  <c r="H85" i="10"/>
  <c r="I126" i="10" s="1"/>
  <c r="E126" i="10"/>
  <c r="E124" i="10"/>
  <c r="H83" i="10"/>
  <c r="I124" i="10" s="1"/>
  <c r="E123" i="10"/>
  <c r="H82" i="10"/>
  <c r="I123" i="10" s="1"/>
  <c r="E122" i="10"/>
  <c r="H81" i="10"/>
  <c r="I122" i="10" s="1"/>
  <c r="E121" i="10"/>
  <c r="H80" i="10"/>
  <c r="I121" i="10" s="1"/>
  <c r="E69" i="10"/>
  <c r="F102" i="10" s="1"/>
  <c r="E119" i="10"/>
  <c r="H78" i="10"/>
  <c r="I119" i="10" s="1"/>
  <c r="H77" i="10"/>
  <c r="I118" i="10" s="1"/>
  <c r="E118" i="10"/>
  <c r="E117" i="10"/>
  <c r="H76" i="10"/>
  <c r="I117" i="10" s="1"/>
  <c r="D73" i="10"/>
  <c r="E106" i="10" s="1"/>
  <c r="D72" i="10"/>
  <c r="E71" i="10"/>
  <c r="F104" i="10" s="1"/>
  <c r="E70" i="10"/>
  <c r="F103" i="10" s="1"/>
  <c r="G68" i="10"/>
  <c r="H101" i="10" s="1"/>
  <c r="H79" i="10"/>
  <c r="I120" i="10" s="1"/>
  <c r="E35" i="10"/>
  <c r="E62" i="10" s="1"/>
  <c r="D62" i="10"/>
  <c r="I43" i="10"/>
  <c r="E74" i="10" s="1"/>
  <c r="F111" i="10" s="1"/>
  <c r="K43" i="10"/>
  <c r="G74" i="10" s="1"/>
  <c r="J43" i="10"/>
  <c r="F74" i="10" s="1"/>
  <c r="H43" i="10"/>
  <c r="D74" i="10" s="1"/>
  <c r="H75" i="10"/>
  <c r="I112" i="10" s="1"/>
  <c r="E112" i="10"/>
  <c r="H37" i="10"/>
  <c r="D68" i="10" s="1"/>
  <c r="E101" i="10" s="1"/>
  <c r="H39" i="10"/>
  <c r="D70" i="10" s="1"/>
  <c r="E103" i="10" s="1"/>
  <c r="K39" i="10"/>
  <c r="G70" i="10" s="1"/>
  <c r="H103" i="10" s="1"/>
  <c r="K38" i="10"/>
  <c r="G69" i="10" s="1"/>
  <c r="H102" i="10" s="1"/>
  <c r="E105" i="10"/>
  <c r="H38" i="10"/>
  <c r="D69" i="10" s="1"/>
  <c r="I37" i="10"/>
  <c r="E68" i="10" s="1"/>
  <c r="F101" i="10" s="1"/>
  <c r="I42" i="10"/>
  <c r="E73" i="10" s="1"/>
  <c r="F106" i="10" s="1"/>
  <c r="K41" i="10"/>
  <c r="G72" i="10" s="1"/>
  <c r="H105" i="10" s="1"/>
  <c r="K42" i="10"/>
  <c r="G73" i="10" s="1"/>
  <c r="H106" i="10" s="1"/>
  <c r="I41" i="10"/>
  <c r="E72" i="10" s="1"/>
  <c r="F105" i="10" s="1"/>
  <c r="K40" i="10"/>
  <c r="G71" i="10" s="1"/>
  <c r="H104" i="10" s="1"/>
  <c r="H40" i="10"/>
  <c r="D71" i="10" s="1"/>
  <c r="I36" i="10"/>
  <c r="E67" i="10" s="1"/>
  <c r="F100" i="10" s="1"/>
  <c r="H36" i="10"/>
  <c r="D67" i="10" s="1"/>
  <c r="K36" i="10"/>
  <c r="G67" i="10" s="1"/>
  <c r="H100" i="10" s="1"/>
  <c r="J36" i="10"/>
  <c r="F67" i="10" s="1"/>
  <c r="G100" i="10" s="1"/>
  <c r="H35" i="10"/>
  <c r="D66" i="10" s="1"/>
  <c r="I33" i="11" l="1"/>
  <c r="H27" i="11"/>
  <c r="K35" i="10"/>
  <c r="G66" i="10" s="1"/>
  <c r="H99" i="10" s="1"/>
  <c r="I35" i="10"/>
  <c r="E66" i="10" s="1"/>
  <c r="F99" i="10" s="1"/>
  <c r="J35" i="10"/>
  <c r="F66" i="10" s="1"/>
  <c r="G99" i="10" s="1"/>
  <c r="H70" i="10"/>
  <c r="I103" i="10" s="1"/>
  <c r="H74" i="10"/>
  <c r="I111" i="10" s="1"/>
  <c r="F93" i="10"/>
  <c r="E111" i="10"/>
  <c r="D93" i="10"/>
  <c r="G111" i="10"/>
  <c r="G93" i="10"/>
  <c r="H111" i="10"/>
  <c r="H72" i="10"/>
  <c r="I105" i="10" s="1"/>
  <c r="H73" i="10"/>
  <c r="I106" i="10" s="1"/>
  <c r="E104" i="10"/>
  <c r="H71" i="10"/>
  <c r="I104" i="10" s="1"/>
  <c r="E99" i="10"/>
  <c r="E100" i="10"/>
  <c r="H67" i="10"/>
  <c r="I100" i="10" s="1"/>
  <c r="E102" i="10"/>
  <c r="H69" i="10"/>
  <c r="I102" i="10" s="1"/>
  <c r="H68" i="10"/>
  <c r="I101" i="10" s="1"/>
  <c r="H66" i="10" l="1"/>
  <c r="I99" i="10" s="1"/>
  <c r="E93" i="10"/>
  <c r="H93" i="10"/>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4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bk>
      <extLst>
        <ext uri="{3e2802c4-a4d2-4d8b-9148-e3be6c30e623}">
          <xlrd:rvb i="142"/>
        </ext>
      </extLst>
    </bk>
    <bk>
      <extLst>
        <ext uri="{3e2802c4-a4d2-4d8b-9148-e3be6c30e623}">
          <xlrd:rvb i="143"/>
        </ext>
      </extLst>
    </bk>
    <bk>
      <extLst>
        <ext uri="{3e2802c4-a4d2-4d8b-9148-e3be6c30e623}">
          <xlrd:rvb i="144"/>
        </ext>
      </extLst>
    </bk>
    <bk>
      <extLst>
        <ext uri="{3e2802c4-a4d2-4d8b-9148-e3be6c30e623}">
          <xlrd:rvb i="145"/>
        </ext>
      </extLst>
    </bk>
    <bk>
      <extLst>
        <ext uri="{3e2802c4-a4d2-4d8b-9148-e3be6c30e623}">
          <xlrd:rvb i="146"/>
        </ext>
      </extLst>
    </bk>
    <bk>
      <extLst>
        <ext uri="{3e2802c4-a4d2-4d8b-9148-e3be6c30e623}">
          <xlrd:rvb i="147"/>
        </ext>
      </extLst>
    </bk>
    <bk>
      <extLst>
        <ext uri="{3e2802c4-a4d2-4d8b-9148-e3be6c30e623}">
          <xlrd:rvb i="148"/>
        </ext>
      </extLst>
    </bk>
  </futureMetadata>
  <valueMetadata count="149">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valueMetadata>
</metadata>
</file>

<file path=xl/sharedStrings.xml><?xml version="1.0" encoding="utf-8"?>
<sst xmlns="http://schemas.openxmlformats.org/spreadsheetml/2006/main" count="1802" uniqueCount="347">
  <si>
    <t>SECCIONALES</t>
  </si>
  <si>
    <t>Bello</t>
  </si>
  <si>
    <t>Arauca</t>
  </si>
  <si>
    <t>Sogamoso</t>
  </si>
  <si>
    <t>Manizales</t>
  </si>
  <si>
    <t>Florencia</t>
  </si>
  <si>
    <t>Yopal</t>
  </si>
  <si>
    <t>Popayán</t>
  </si>
  <si>
    <t>Aguachica</t>
  </si>
  <si>
    <t>Cereté</t>
  </si>
  <si>
    <t>Neiva</t>
  </si>
  <si>
    <t>Villavicencio</t>
  </si>
  <si>
    <t>Pasto</t>
  </si>
  <si>
    <t>Cúcuta</t>
  </si>
  <si>
    <t>Armenia</t>
  </si>
  <si>
    <t>Bucaramanga</t>
  </si>
  <si>
    <t>Sincelejo</t>
  </si>
  <si>
    <t>Ibagué</t>
  </si>
  <si>
    <t>Palmira</t>
  </si>
  <si>
    <t>SEDE</t>
  </si>
  <si>
    <t>Soledad</t>
  </si>
  <si>
    <t>Paujil</t>
  </si>
  <si>
    <t>TIBAITATA</t>
  </si>
  <si>
    <t>Aeropuerto Palo Negro Lebrija</t>
  </si>
  <si>
    <t>fecompras@rhsas.com.co</t>
  </si>
  <si>
    <t>bcriano@asei.co</t>
  </si>
  <si>
    <t>edepsa@edepsa.com</t>
  </si>
  <si>
    <t>servicios-industriales.colombia@veolia.com</t>
  </si>
  <si>
    <t>direccionprossam@gmail.com</t>
  </si>
  <si>
    <t>comserva_saesp@hotmail.com</t>
  </si>
  <si>
    <t>info@marees.co</t>
  </si>
  <si>
    <t>aserhiesp@hotmail.com</t>
  </si>
  <si>
    <t>olopez@descont.com.co</t>
  </si>
  <si>
    <t>calidad@bio-residuos.com.co</t>
  </si>
  <si>
    <t>presidencia@incihuila.com.co</t>
  </si>
  <si>
    <t>crubio@descont.com.co</t>
  </si>
  <si>
    <t>comercial2@incihuila.com.co</t>
  </si>
  <si>
    <t>salviltda@hotmail.com</t>
  </si>
  <si>
    <t>servicioalcliente@sandesol.com </t>
  </si>
  <si>
    <t>ambiental@sandesol.com</t>
  </si>
  <si>
    <t>mcastanog.rh@ciudadlimpia.com.co</t>
  </si>
  <si>
    <t xml:space="preserve">ASEI &amp; Biologicos y contaminados </t>
  </si>
  <si>
    <t>EDEPSA</t>
  </si>
  <si>
    <t>VEOLIA</t>
  </si>
  <si>
    <t>dflores@asei.co</t>
  </si>
  <si>
    <t>eliana.vergara@veolia.com</t>
  </si>
  <si>
    <t>COMSERVA</t>
  </si>
  <si>
    <t>MAREES</t>
  </si>
  <si>
    <t>contratos@marees.co</t>
  </si>
  <si>
    <t>DESCONT</t>
  </si>
  <si>
    <t>BIORESIDUOS</t>
  </si>
  <si>
    <t>SANDESOL</t>
  </si>
  <si>
    <t>RH S.A.S.</t>
  </si>
  <si>
    <t>PROSSAM</t>
  </si>
  <si>
    <t>ASERHI</t>
  </si>
  <si>
    <t>INCIHUILA</t>
  </si>
  <si>
    <t>SALVI</t>
  </si>
  <si>
    <t xml:space="preserve">RH &amp;CIUDAD LIMPIA
Valor Kg Biosanitario  </t>
  </si>
  <si>
    <t>RH &amp;CIUDAD LIMPIA
Valor Kg Cortopunzantes</t>
  </si>
  <si>
    <t>RH &amp;CIUDAD LIMPIA 
Valor Kg Quimicos</t>
  </si>
  <si>
    <t>RH &amp;CIUDAD LIMPIA 
Valor Kg Animales</t>
  </si>
  <si>
    <t xml:space="preserve">ASEI &amp; Biologicos y contaminados 
Valor Kg Biosanitario </t>
  </si>
  <si>
    <t>ASEI &amp; Biologicos y contaminados 
Valor Kg Cortopunzantes</t>
  </si>
  <si>
    <t>ASEI &amp; Biologicos y contaminados 
Valor Kg Quimicos</t>
  </si>
  <si>
    <t xml:space="preserve">EDEPSA 
Valor Kg Biosanitario </t>
  </si>
  <si>
    <t>EDEPSA 
Valor Kg Cortopunzantes</t>
  </si>
  <si>
    <t>EDEPSA 
Valor Kg Quimicos</t>
  </si>
  <si>
    <t>EDEPSA 
Valor Flete</t>
  </si>
  <si>
    <t xml:space="preserve">VEOLIA
Valor Kg Biosanitario </t>
  </si>
  <si>
    <t>VEOLIA 
Valor Kg Cortopunzantes</t>
  </si>
  <si>
    <t>VEOLIA 
Valor Kg Quimicos</t>
  </si>
  <si>
    <t>VEOLIA 
Valor Kg Animales</t>
  </si>
  <si>
    <t>EDEPSA 
Valor Kg Animales</t>
  </si>
  <si>
    <t>ASEI &amp; Biologicos y contaminados 
Valor Kg Animales</t>
  </si>
  <si>
    <t xml:space="preserve">PROSSAM 
Valor Kg Biosanitario </t>
  </si>
  <si>
    <t>PROSSAM 
Valor Kg Cortopunzantes</t>
  </si>
  <si>
    <t>PROSSAM
Valor Kg Animales</t>
  </si>
  <si>
    <t>PROSSAM 
Valor Kg Quimicos</t>
  </si>
  <si>
    <t xml:space="preserve">COMSERVA 
Valor Kg Biosanitario </t>
  </si>
  <si>
    <t>COMSERVA
Valor Kg Cortopunzantes</t>
  </si>
  <si>
    <t>COMSERVA 
Valor Kg Quimicos</t>
  </si>
  <si>
    <t>COMSERVA
Valor Kg Animales</t>
  </si>
  <si>
    <t xml:space="preserve">MAREES 
Valor Kg Biosanitario </t>
  </si>
  <si>
    <t>MAREES 
Valor Kg Cortopunzantes</t>
  </si>
  <si>
    <t>MAREES 
Valor Kg Animales</t>
  </si>
  <si>
    <t>MAREES 
Valor Kg Quimicos</t>
  </si>
  <si>
    <t xml:space="preserve">ASERHI 
Valor Kg Biosanitario </t>
  </si>
  <si>
    <t>ASERHI 
Valor Kg Cortopunzantes</t>
  </si>
  <si>
    <t>ASERHI 
Valor Kg Quimicos</t>
  </si>
  <si>
    <t xml:space="preserve">DESCONT 
Valor Kg Biosanitario </t>
  </si>
  <si>
    <t>ASERHI 
Valor Kg Animales</t>
  </si>
  <si>
    <t>DESCONT 
Valor Kg Cortopunzantes</t>
  </si>
  <si>
    <t>DESCONT 
Valor Kg Animales</t>
  </si>
  <si>
    <t>DESCONT 
Valor Kg Quimicos</t>
  </si>
  <si>
    <t xml:space="preserve">BIORESIDUOS 
Valor Kg Biosanitario </t>
  </si>
  <si>
    <t>BIORESIDUOS 
Valor Kg Cortopunzantes</t>
  </si>
  <si>
    <t>BIORESIDUOS 
Valor Kg Animales</t>
  </si>
  <si>
    <t>BIORESIDUOS 
Valor Kg Quimicos</t>
  </si>
  <si>
    <t>INCIHUILA 
Valor Kg Biosanitario</t>
  </si>
  <si>
    <t>INCIHUILA 
Valor Kg Cortopunzantes</t>
  </si>
  <si>
    <t>INCIHUILA 
Valor Kg Animales</t>
  </si>
  <si>
    <t>INCIHUILA 
Valor Kg Quimicos</t>
  </si>
  <si>
    <t xml:space="preserve">SALVI 
Valor Kg Biosanitario </t>
  </si>
  <si>
    <t>SALVI 
Valor Kg Cortopunzantes</t>
  </si>
  <si>
    <t>SALVI 
Valor Kg Animales</t>
  </si>
  <si>
    <t>SALVI 
Valor Kg Quimicos</t>
  </si>
  <si>
    <t xml:space="preserve">SANDESOL 
Valor Kg Biosanitario </t>
  </si>
  <si>
    <t>SANDESOL 
Valor Kg Cortopunzantes</t>
  </si>
  <si>
    <t>SANDESOL 
Valor Kg Animales</t>
  </si>
  <si>
    <t>SANDESOL 
Valor Kg Quimicos</t>
  </si>
  <si>
    <t>Antioquia</t>
  </si>
  <si>
    <t>Atlántico</t>
  </si>
  <si>
    <t>Bolívar</t>
  </si>
  <si>
    <t>Boyacá</t>
  </si>
  <si>
    <t>Caldas</t>
  </si>
  <si>
    <t>Caquetá</t>
  </si>
  <si>
    <t>Casanare</t>
  </si>
  <si>
    <t>Cauca</t>
  </si>
  <si>
    <t>Cesar</t>
  </si>
  <si>
    <t>Córdoba</t>
  </si>
  <si>
    <t>Cundinamarca</t>
  </si>
  <si>
    <t>Huila</t>
  </si>
  <si>
    <t>Magdalena</t>
  </si>
  <si>
    <t>Meta</t>
  </si>
  <si>
    <t>Nariño</t>
  </si>
  <si>
    <t>Norte de Santander</t>
  </si>
  <si>
    <t>Quindío</t>
  </si>
  <si>
    <t>Santander</t>
  </si>
  <si>
    <t>Sucre</t>
  </si>
  <si>
    <t>Tolima</t>
  </si>
  <si>
    <t>SAD</t>
  </si>
  <si>
    <t>SPA</t>
  </si>
  <si>
    <t>SPF</t>
  </si>
  <si>
    <t>Cartagena de Indias</t>
  </si>
  <si>
    <t>Valle del Cauca</t>
  </si>
  <si>
    <t>Subgerencia de Análisis y Diagnóstico- SAD</t>
  </si>
  <si>
    <t>UNIDAD DE MEDIDA</t>
  </si>
  <si>
    <t>Cantidades requeridas (kg)</t>
  </si>
  <si>
    <t>Subgerencia de Protección Fronteriza- SPF</t>
  </si>
  <si>
    <t xml:space="preserve">ECO San Jorge  (Soacha) </t>
  </si>
  <si>
    <t>Estacion de cuarentena vegetal</t>
  </si>
  <si>
    <t xml:space="preserve">Seccional Cundinamarca (Subgerencia de Protección Animal) </t>
  </si>
  <si>
    <t>TIBAITATA   </t>
  </si>
  <si>
    <t>Tabio   </t>
  </si>
  <si>
    <t>Chía   </t>
  </si>
  <si>
    <t>Ubaté   </t>
  </si>
  <si>
    <t>Cáqueza</t>
  </si>
  <si>
    <t>Zipaquirá   </t>
  </si>
  <si>
    <t>Yacopí   </t>
  </si>
  <si>
    <t>Pacho   </t>
  </si>
  <si>
    <t>Medina   </t>
  </si>
  <si>
    <t>Chocontá   </t>
  </si>
  <si>
    <t>Facatativá   </t>
  </si>
  <si>
    <t>Soacha   </t>
  </si>
  <si>
    <t>Villeta   </t>
  </si>
  <si>
    <t>Gachetá   </t>
  </si>
  <si>
    <t>La mesa   </t>
  </si>
  <si>
    <t>Girardor</t>
  </si>
  <si>
    <t xml:space="preserve"> Biosanitario  </t>
  </si>
  <si>
    <t xml:space="preserve"> Cortopunzantes</t>
  </si>
  <si>
    <t xml:space="preserve"> Animales</t>
  </si>
  <si>
    <t xml:space="preserve"> Quimicos</t>
  </si>
  <si>
    <t>Fusagasugá  </t>
  </si>
  <si>
    <t>SECCIONAL</t>
  </si>
  <si>
    <t>Cortopunzantes</t>
  </si>
  <si>
    <t>DEPARTAMENTO</t>
  </si>
  <si>
    <t>MUNICIPIO</t>
  </si>
  <si>
    <t>Fusagasugá</t>
  </si>
  <si>
    <t>LNDV / Bogotá</t>
  </si>
  <si>
    <t>LANIP / Mosquera</t>
  </si>
  <si>
    <t>LTC / Mosquera</t>
  </si>
  <si>
    <t>LNCV / Mosquera</t>
  </si>
  <si>
    <t>LANASE / Mosquera</t>
  </si>
  <si>
    <t>LANIA / Tibaitatá Mosquera</t>
  </si>
  <si>
    <t>LNDF / Tibaitatá Mosquera</t>
  </si>
  <si>
    <t>LOGM / Tibaitatá Mosquera</t>
  </si>
  <si>
    <t>ECO San Jorge / Soacha</t>
  </si>
  <si>
    <t>Estación de Cuarentena vegetal / Mosquera</t>
  </si>
  <si>
    <t>Tibaitatá / Mosquera</t>
  </si>
  <si>
    <t xml:space="preserve"> Soacha </t>
  </si>
  <si>
    <t xml:space="preserve"> Tabio </t>
  </si>
  <si>
    <t xml:space="preserve"> Chía </t>
  </si>
  <si>
    <t xml:space="preserve"> Ubaté </t>
  </si>
  <si>
    <t xml:space="preserve"> Cáqueza </t>
  </si>
  <si>
    <t xml:space="preserve"> Fusagasugá </t>
  </si>
  <si>
    <t xml:space="preserve"> Zipaquirá </t>
  </si>
  <si>
    <t xml:space="preserve"> Yacopí </t>
  </si>
  <si>
    <t xml:space="preserve"> Pacho </t>
  </si>
  <si>
    <t xml:space="preserve"> Medina </t>
  </si>
  <si>
    <t xml:space="preserve"> Chocontá </t>
  </si>
  <si>
    <t xml:space="preserve"> Facatativá </t>
  </si>
  <si>
    <t xml:space="preserve"> Villeta </t>
  </si>
  <si>
    <t xml:space="preserve"> Gachetá </t>
  </si>
  <si>
    <t xml:space="preserve"> La Mesa </t>
  </si>
  <si>
    <t xml:space="preserve"> Girardot </t>
  </si>
  <si>
    <t>Animales</t>
  </si>
  <si>
    <t>Quimicos</t>
  </si>
  <si>
    <t>Valor promedio de Kilogramo Quimicos</t>
  </si>
  <si>
    <t>Valor promedio de Kilogramog Animales</t>
  </si>
  <si>
    <t>Valor promedio de Kilogramo Cortopunzantes</t>
  </si>
  <si>
    <t>Valor promedio de Kilogramo Biosanitario</t>
  </si>
  <si>
    <t>Columna1</t>
  </si>
  <si>
    <t>PRESUPUESTO 2025</t>
  </si>
  <si>
    <t>Valledupar</t>
  </si>
  <si>
    <t>LNTC / Mosquera</t>
  </si>
  <si>
    <t>LCV / Mosquera</t>
  </si>
  <si>
    <t>Soacha</t>
  </si>
  <si>
    <t>Tabio</t>
  </si>
  <si>
    <t>Chía</t>
  </si>
  <si>
    <t>Ubaté</t>
  </si>
  <si>
    <t>Zipaquirá</t>
  </si>
  <si>
    <t>Yacopí</t>
  </si>
  <si>
    <t>Pacho</t>
  </si>
  <si>
    <t>Medina</t>
  </si>
  <si>
    <t>Chocontá</t>
  </si>
  <si>
    <t>Facatativá</t>
  </si>
  <si>
    <t>COTIZACIONES PARA 2025</t>
  </si>
  <si>
    <t>PRESUPUESTO 2025  SAD, SPA &amp; SPF</t>
  </si>
  <si>
    <t xml:space="preserve">Proyección kilogramos 2025 Biosanitario  </t>
  </si>
  <si>
    <t>Proyección kilogramos 2025 Cortopunzantes</t>
  </si>
  <si>
    <t>Proyección kilogramos 2025 Animales</t>
  </si>
  <si>
    <t>Proyección kilogramos 2025 Quimicos</t>
  </si>
  <si>
    <t xml:space="preserve">Proyección kilogramos 2025 </t>
  </si>
  <si>
    <t xml:space="preserve">PRESUPUESTO 2025 Biosanitario  </t>
  </si>
  <si>
    <t>PRESUPUESTO 2025 Cortopunzantes</t>
  </si>
  <si>
    <t>PRESUPUESTO 2025 Quimicos</t>
  </si>
  <si>
    <t>PRESUPUESTO 2025 Animales</t>
  </si>
  <si>
    <t xml:space="preserve">DISTRIBUCIÓN PRESUPUESTO TIPO DE DESECHO </t>
  </si>
  <si>
    <t xml:space="preserve">TOTAL DE KILOGRAMOS </t>
  </si>
  <si>
    <t xml:space="preserve">KILOGRAMOS </t>
  </si>
  <si>
    <t>Tuluá</t>
  </si>
  <si>
    <t>Carepa</t>
  </si>
  <si>
    <t>Necoclí</t>
  </si>
  <si>
    <t>Turbo</t>
  </si>
  <si>
    <t>Santa Rosa de Osos</t>
  </si>
  <si>
    <t>Rionegro</t>
  </si>
  <si>
    <t>La Pintada</t>
  </si>
  <si>
    <t>Caucasia</t>
  </si>
  <si>
    <t>Puerto Berrío</t>
  </si>
  <si>
    <t>Arauquita</t>
  </si>
  <si>
    <t>Tame</t>
  </si>
  <si>
    <t>Saravena</t>
  </si>
  <si>
    <t>Santa Cruz de Mompox</t>
  </si>
  <si>
    <t>Magangué</t>
  </si>
  <si>
    <t>San Juan Nepomuceno</t>
  </si>
  <si>
    <t>El Carmen de Bolívar</t>
  </si>
  <si>
    <t>Duitama</t>
  </si>
  <si>
    <t>Tunja</t>
  </si>
  <si>
    <t>Miraflores</t>
  </si>
  <si>
    <t>Soatá</t>
  </si>
  <si>
    <t>Garagoa</t>
  </si>
  <si>
    <t>Moniquirá</t>
  </si>
  <si>
    <t>Puerto Boyacá</t>
  </si>
  <si>
    <t>Chiquinquirá</t>
  </si>
  <si>
    <t>Cubará</t>
  </si>
  <si>
    <t>La Dorada</t>
  </si>
  <si>
    <t>San Vicente del Caguán</t>
  </si>
  <si>
    <t>Puerto Rico</t>
  </si>
  <si>
    <t>Roncello</t>
  </si>
  <si>
    <t>Cartagena del Chairá</t>
  </si>
  <si>
    <t>Albania</t>
  </si>
  <si>
    <t>Villanueva</t>
  </si>
  <si>
    <t>Tauramena</t>
  </si>
  <si>
    <t>Paz de Ariporo</t>
  </si>
  <si>
    <t>Hato Corozal</t>
  </si>
  <si>
    <t>Trinidad</t>
  </si>
  <si>
    <t>Orocué</t>
  </si>
  <si>
    <t>Santander de Quilichao</t>
  </si>
  <si>
    <t>El Bordo</t>
  </si>
  <si>
    <t>Agustín Codazzi</t>
  </si>
  <si>
    <t>Bosconia</t>
  </si>
  <si>
    <t>Chiriguaná</t>
  </si>
  <si>
    <t>Pailitas</t>
  </si>
  <si>
    <t>San Juan del Cesar</t>
  </si>
  <si>
    <t>San Alberto</t>
  </si>
  <si>
    <t>Montería</t>
  </si>
  <si>
    <t>Santa Cruz de Lorica</t>
  </si>
  <si>
    <t>Sahagún</t>
  </si>
  <si>
    <t>Planeta Rica</t>
  </si>
  <si>
    <t>El Banco</t>
  </si>
  <si>
    <t>Valencia</t>
  </si>
  <si>
    <t>Tierralta</t>
  </si>
  <si>
    <t>Ayapel</t>
  </si>
  <si>
    <t>Montelíbano</t>
  </si>
  <si>
    <t>Villeta</t>
  </si>
  <si>
    <t>Gachetá</t>
  </si>
  <si>
    <t>La Mesa</t>
  </si>
  <si>
    <t>Girardot</t>
  </si>
  <si>
    <t>Pitalito</t>
  </si>
  <si>
    <t>La Plata</t>
  </si>
  <si>
    <t>Garzón</t>
  </si>
  <si>
    <t>Zona Bananera</t>
  </si>
  <si>
    <t>Fundación</t>
  </si>
  <si>
    <t>Santa Marta</t>
  </si>
  <si>
    <t>Ariguaní</t>
  </si>
  <si>
    <t>Plato</t>
  </si>
  <si>
    <t>Restrepo</t>
  </si>
  <si>
    <t>Cumaral</t>
  </si>
  <si>
    <t>Acacías</t>
  </si>
  <si>
    <t>Guamal</t>
  </si>
  <si>
    <t>San Martín</t>
  </si>
  <si>
    <t>Granada</t>
  </si>
  <si>
    <t>San Juan de Arama</t>
  </si>
  <si>
    <t>Puerto López</t>
  </si>
  <si>
    <t>Puerto Gaitán</t>
  </si>
  <si>
    <t>Ipiales</t>
  </si>
  <si>
    <t>Túquerres</t>
  </si>
  <si>
    <t>Guachucal</t>
  </si>
  <si>
    <t>La Cruz</t>
  </si>
  <si>
    <t>Paestum</t>
  </si>
  <si>
    <t>Pamplona</t>
  </si>
  <si>
    <t>Ocaña</t>
  </si>
  <si>
    <t>Barrancabermeja</t>
  </si>
  <si>
    <t>San Vicente de Chucurí</t>
  </si>
  <si>
    <t>Cimitarra</t>
  </si>
  <si>
    <t>Sabana de Torres</t>
  </si>
  <si>
    <t>Málaga</t>
  </si>
  <si>
    <t>San Gil</t>
  </si>
  <si>
    <t>El Socorro</t>
  </si>
  <si>
    <t>Vélez</t>
  </si>
  <si>
    <t>Corozal</t>
  </si>
  <si>
    <t>Majagual</t>
  </si>
  <si>
    <t>San Marcos</t>
  </si>
  <si>
    <t>San Onofre</t>
  </si>
  <si>
    <t>Sincé</t>
  </si>
  <si>
    <t>Toluviejo</t>
  </si>
  <si>
    <t>Total</t>
  </si>
  <si>
    <t>HISTORICO
2024 + IPC 2025 (3%)Biosanitario</t>
  </si>
  <si>
    <t>HISTORICO
2024  + IPC 2025 (3%) 
Cortopunzantes</t>
  </si>
  <si>
    <t>HISTORICO
2024  + IPC 2025 (3%)Animales</t>
  </si>
  <si>
    <t>HISTORICO
2024  + IPC 2025 (3%) Quimicos</t>
  </si>
  <si>
    <t>Valor Kg 2024</t>
  </si>
  <si>
    <t>IPC 2025</t>
  </si>
  <si>
    <t xml:space="preserve">incremento </t>
  </si>
  <si>
    <t>total con incremento</t>
  </si>
  <si>
    <t>histotico 2024</t>
  </si>
  <si>
    <t>HISTORICO 2024  + IPC 2025 (3%) 
Cortopunzantes</t>
  </si>
  <si>
    <t>HISTORICO 2024 + IPC 2025 (3%)
Biosanitario</t>
  </si>
  <si>
    <t>HISTORICO 2024  + IPC 2025 (3%)
Animales</t>
  </si>
  <si>
    <t>HISTORICO 2024  + IPC 2025 (3%) 
Quimicos</t>
  </si>
  <si>
    <t>ARAUCA</t>
  </si>
  <si>
    <t>LDV Arauca</t>
  </si>
  <si>
    <t xml:space="preserve">EDEPSA 
Valor Kg Biosanitario  </t>
  </si>
  <si>
    <t xml:space="preserve">
Valor Kg Biosanitario </t>
  </si>
  <si>
    <t xml:space="preserve"> 
Valor Kg Cortopunzantes</t>
  </si>
  <si>
    <t xml:space="preserve">
Valor Kg Animales</t>
  </si>
  <si>
    <t xml:space="preserve">
Valor Kg Quimicos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</si>
</sst>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164" formatCode="_-&quot;$&quot;\ * #,##0_-;\-&quot;$&quot;\ * #,##0_-;_-&quot;$&quot;\ * &quot;-&quot;??_-;_-@_-"/>
    <numFmt numFmtId="165" formatCode="_-[$$-240A]\ * #,##0_-;\-[$$-240A]\ * #,##0_-;_-[$$-240A]\ * &quot;-&quot;_-;_-@_-"/>
  </numFmts>
  <fonts count="30">
    <font>
      <sz val="11"/>
      <color theme="1"/>
      <name val="Aptos Narrow"/>
      <family val="2"/>
      <scheme val="minor"/>
    </font>
    <font>
      <b/>
      <sz val="12"/>
      <color theme="1"/>
      <name val="Arial"/>
      <family val="2"/>
    </font>
    <font>
      <sz val="12"/>
      <name val="Helvetica"/>
    </font>
    <font>
      <sz val="12"/>
      <color theme="1"/>
      <name val="Helvetica"/>
    </font>
    <font>
      <u/>
      <sz val="11"/>
      <color theme="10"/>
      <name val="Aptos Narrow"/>
      <family val="2"/>
      <scheme val="minor"/>
    </font>
    <font>
      <sz val="10"/>
      <color theme="1"/>
      <name val="HELVETICA"/>
    </font>
    <font>
      <b/>
      <sz val="11"/>
      <color theme="1"/>
      <name val="HELVETICA"/>
    </font>
    <font>
      <sz val="11"/>
      <color theme="1"/>
      <name val="HELVETICA"/>
    </font>
    <font>
      <sz val="11"/>
      <color rgb="FF000000"/>
      <name val="Open Sans"/>
      <family val="2"/>
    </font>
    <font>
      <sz val="11"/>
      <color rgb="FF000000"/>
      <name val="Calibri"/>
      <family val="2"/>
    </font>
    <font>
      <sz val="12"/>
      <color theme="1"/>
      <name val="Aptos Narrow"/>
      <family val="2"/>
      <scheme val="minor"/>
    </font>
    <font>
      <b/>
      <sz val="12"/>
      <name val="Helvetica"/>
    </font>
    <font>
      <sz val="11"/>
      <color theme="1"/>
      <name val="Aptos Narrow"/>
      <family val="2"/>
      <scheme val="minor"/>
    </font>
    <font>
      <b/>
      <sz val="12"/>
      <color theme="1"/>
      <name val="HELVETICA "/>
    </font>
    <font>
      <sz val="12"/>
      <color theme="1"/>
      <name val="HELVETICA "/>
    </font>
    <font>
      <sz val="12"/>
      <name val="HELVETICA "/>
    </font>
    <font>
      <sz val="8"/>
      <name val="Aptos Narrow"/>
      <family val="2"/>
      <scheme val="minor"/>
    </font>
    <font>
      <b/>
      <sz val="12"/>
      <name val="HELVETICA "/>
    </font>
    <font>
      <b/>
      <sz val="22"/>
      <color theme="1"/>
      <name val="HELVETICA "/>
    </font>
    <font>
      <b/>
      <sz val="24"/>
      <color theme="1"/>
      <name val="HELVETICA "/>
    </font>
    <font>
      <b/>
      <sz val="36"/>
      <color theme="1"/>
      <name val="HELVETICA "/>
    </font>
    <font>
      <sz val="12"/>
      <color theme="0"/>
      <name val="HELVETICA "/>
    </font>
    <font>
      <b/>
      <sz val="14"/>
      <name val="HELVETICA "/>
    </font>
    <font>
      <b/>
      <sz val="14"/>
      <color theme="1"/>
      <name val="HELVETICA "/>
    </font>
    <font>
      <b/>
      <sz val="16"/>
      <name val="HELVETICA "/>
    </font>
    <font>
      <b/>
      <sz val="22"/>
      <color theme="1"/>
      <name val="Hevetica"/>
    </font>
    <font>
      <sz val="22"/>
      <color theme="1"/>
      <name val="Hevetica"/>
    </font>
    <font>
      <sz val="12"/>
      <color theme="1"/>
      <name val="Hevetica"/>
    </font>
    <font>
      <sz val="12"/>
      <name val="Hevetica"/>
    </font>
    <font>
      <b/>
      <sz val="12"/>
      <color theme="1"/>
      <name val="Hevetica"/>
    </font>
  </fonts>
  <fills count="11">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FFFF66"/>
        <bgColor indexed="64"/>
      </patternFill>
    </fill>
    <fill>
      <patternFill patternType="solid">
        <fgColor rgb="FFFF000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rgb="FF000000"/>
      </left>
      <right/>
      <top style="medium">
        <color rgb="FF000000"/>
      </top>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4">
    <xf numFmtId="0" fontId="0" fillId="0" borderId="0"/>
    <xf numFmtId="0" fontId="4" fillId="0" borderId="0" applyNumberFormat="0" applyFill="0" applyBorder="0" applyAlignment="0" applyProtection="0"/>
    <xf numFmtId="44" fontId="12" fillId="0" borderId="0" applyFont="0" applyFill="0" applyBorder="0" applyAlignment="0" applyProtection="0"/>
    <xf numFmtId="9" fontId="12" fillId="0" borderId="0" applyFont="0" applyFill="0" applyBorder="0" applyAlignment="0" applyProtection="0"/>
  </cellStyleXfs>
  <cellXfs count="255">
    <xf numFmtId="0" fontId="0" fillId="0" borderId="0" xfId="0"/>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2" fillId="0" borderId="4" xfId="0" applyFont="1" applyBorder="1" applyAlignment="1">
      <alignment horizontal="left" vertical="center" wrapText="1"/>
    </xf>
    <xf numFmtId="0" fontId="7" fillId="0" borderId="0" xfId="0" applyFont="1"/>
    <xf numFmtId="0" fontId="7" fillId="0" borderId="0" xfId="0" applyFont="1" applyAlignment="1">
      <alignment horizontal="justify" vertical="center" wrapText="1"/>
    </xf>
    <xf numFmtId="0" fontId="7" fillId="0" borderId="1" xfId="0" applyFont="1" applyBorder="1" applyAlignment="1">
      <alignment horizontal="justify" vertical="center" wrapText="1"/>
    </xf>
    <xf numFmtId="0" fontId="7" fillId="0" borderId="1" xfId="0" applyFont="1" applyBorder="1"/>
    <xf numFmtId="0" fontId="5" fillId="0" borderId="1" xfId="0" applyFont="1" applyBorder="1" applyAlignment="1">
      <alignment horizontal="justify" vertical="center" wrapText="1"/>
    </xf>
    <xf numFmtId="0" fontId="0" fillId="0" borderId="1" xfId="0" applyBorder="1"/>
    <xf numFmtId="0" fontId="8" fillId="0" borderId="1" xfId="0" applyFont="1" applyBorder="1"/>
    <xf numFmtId="0" fontId="9" fillId="0" borderId="1" xfId="0" applyFont="1" applyBorder="1"/>
    <xf numFmtId="0" fontId="6" fillId="0" borderId="1" xfId="0" applyFont="1" applyBorder="1" applyAlignment="1">
      <alignment horizontal="left" vertical="center" wrapText="1"/>
    </xf>
    <xf numFmtId="0" fontId="6" fillId="0" borderId="1" xfId="0" applyFont="1" applyBorder="1" applyAlignment="1">
      <alignment horizontal="left"/>
    </xf>
    <xf numFmtId="0" fontId="4" fillId="0" borderId="1" xfId="1" applyBorder="1" applyAlignment="1">
      <alignment horizontal="justify"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27" xfId="0" applyFont="1" applyBorder="1" applyAlignment="1">
      <alignment horizontal="left" vertical="center" wrapText="1"/>
    </xf>
    <xf numFmtId="0" fontId="2" fillId="0" borderId="3" xfId="0" applyFont="1" applyBorder="1" applyAlignment="1">
      <alignment horizontal="left" vertical="center" wrapText="1"/>
    </xf>
    <xf numFmtId="0" fontId="3" fillId="0" borderId="26" xfId="0" applyFont="1" applyBorder="1" applyAlignment="1">
      <alignment horizontal="left" vertical="center" wrapText="1"/>
    </xf>
    <xf numFmtId="0" fontId="2" fillId="0" borderId="0" xfId="0" applyFont="1" applyAlignment="1">
      <alignment horizontal="left" vertical="center" wrapText="1"/>
    </xf>
    <xf numFmtId="0" fontId="10" fillId="0" borderId="0" xfId="0" applyFont="1"/>
    <xf numFmtId="41" fontId="11" fillId="0" borderId="7" xfId="0" applyNumberFormat="1" applyFont="1" applyBorder="1" applyAlignment="1">
      <alignment horizontal="center" vertical="center" wrapText="1"/>
    </xf>
    <xf numFmtId="41" fontId="2" fillId="0" borderId="28" xfId="0" applyNumberFormat="1" applyFont="1" applyBorder="1" applyAlignment="1">
      <alignment horizontal="center" vertical="center" wrapText="1"/>
    </xf>
    <xf numFmtId="41" fontId="11" fillId="0" borderId="28" xfId="0" applyNumberFormat="1" applyFont="1" applyBorder="1" applyAlignment="1">
      <alignment horizontal="center" vertical="center" wrapText="1"/>
    </xf>
    <xf numFmtId="41" fontId="11" fillId="0" borderId="10" xfId="0" applyNumberFormat="1" applyFont="1" applyBorder="1" applyAlignment="1">
      <alignment horizontal="center" vertical="center" wrapText="1"/>
    </xf>
    <xf numFmtId="41" fontId="2" fillId="0" borderId="29" xfId="0" applyNumberFormat="1" applyFont="1" applyBorder="1" applyAlignment="1">
      <alignment horizontal="center" vertical="center" wrapText="1"/>
    </xf>
    <xf numFmtId="41" fontId="2" fillId="0" borderId="13" xfId="0" applyNumberFormat="1" applyFont="1" applyBorder="1" applyAlignment="1">
      <alignment horizontal="center" vertical="center" wrapText="1"/>
    </xf>
    <xf numFmtId="41" fontId="2" fillId="0" borderId="17" xfId="0" applyNumberFormat="1" applyFont="1" applyBorder="1" applyAlignment="1">
      <alignment horizontal="center" vertical="center" wrapText="1"/>
    </xf>
    <xf numFmtId="41" fontId="2" fillId="0" borderId="7" xfId="0" applyNumberFormat="1" applyFont="1" applyBorder="1" applyAlignment="1">
      <alignment horizontal="center" vertical="center" wrapText="1"/>
    </xf>
    <xf numFmtId="41" fontId="2" fillId="0" borderId="10" xfId="0" applyNumberFormat="1" applyFont="1" applyBorder="1" applyAlignment="1">
      <alignment horizontal="center" vertical="center" wrapText="1"/>
    </xf>
    <xf numFmtId="41" fontId="2" fillId="0" borderId="15" xfId="0" applyNumberFormat="1" applyFont="1" applyBorder="1" applyAlignment="1">
      <alignment horizontal="center" vertical="center" wrapText="1"/>
    </xf>
    <xf numFmtId="41" fontId="3" fillId="0" borderId="8" xfId="0" applyNumberFormat="1" applyFont="1" applyBorder="1"/>
    <xf numFmtId="41" fontId="3" fillId="0" borderId="9" xfId="0" applyNumberFormat="1" applyFont="1" applyBorder="1"/>
    <xf numFmtId="41" fontId="3" fillId="0" borderId="1" xfId="0" applyNumberFormat="1" applyFont="1" applyBorder="1"/>
    <xf numFmtId="41" fontId="3" fillId="0" borderId="16" xfId="0" applyNumberFormat="1" applyFont="1" applyBorder="1"/>
    <xf numFmtId="41" fontId="3" fillId="0" borderId="11" xfId="0" applyNumberFormat="1" applyFont="1" applyBorder="1"/>
    <xf numFmtId="41" fontId="3" fillId="0" borderId="12" xfId="0" applyNumberFormat="1" applyFont="1" applyBorder="1"/>
    <xf numFmtId="41" fontId="3" fillId="0" borderId="6" xfId="0" applyNumberFormat="1" applyFont="1" applyBorder="1"/>
    <xf numFmtId="41" fontId="3" fillId="0" borderId="20" xfId="0" applyNumberFormat="1" applyFont="1" applyBorder="1"/>
    <xf numFmtId="41" fontId="3" fillId="0" borderId="4" xfId="0" applyNumberFormat="1" applyFont="1" applyBorder="1"/>
    <xf numFmtId="41" fontId="3" fillId="0" borderId="14" xfId="0" applyNumberFormat="1" applyFont="1" applyBorder="1"/>
    <xf numFmtId="41" fontId="3" fillId="0" borderId="18" xfId="0" applyNumberFormat="1" applyFont="1" applyBorder="1"/>
    <xf numFmtId="41" fontId="3" fillId="0" borderId="19" xfId="0" applyNumberFormat="1" applyFont="1" applyBorder="1"/>
    <xf numFmtId="41" fontId="3" fillId="0" borderId="5" xfId="0" applyNumberFormat="1" applyFont="1" applyBorder="1"/>
    <xf numFmtId="41" fontId="3" fillId="0" borderId="21" xfId="0" applyNumberFormat="1" applyFont="1" applyBorder="1"/>
    <xf numFmtId="0" fontId="3" fillId="0" borderId="4" xfId="0" applyFont="1" applyBorder="1" applyAlignment="1">
      <alignment vertical="center" wrapText="1"/>
    </xf>
    <xf numFmtId="0" fontId="1" fillId="0" borderId="6" xfId="0" applyFont="1" applyBorder="1" applyAlignment="1">
      <alignment horizontal="center" vertical="center" wrapText="1"/>
    </xf>
    <xf numFmtId="0" fontId="14" fillId="0" borderId="0" xfId="0" applyFont="1"/>
    <xf numFmtId="0" fontId="14" fillId="0" borderId="0" xfId="0" applyFont="1" applyAlignment="1">
      <alignment horizontal="center" vertical="center" wrapText="1"/>
    </xf>
    <xf numFmtId="0" fontId="15" fillId="0" borderId="41" xfId="0" applyFont="1" applyBorder="1" applyAlignment="1">
      <alignment vertical="center" wrapText="1"/>
    </xf>
    <xf numFmtId="164" fontId="14" fillId="0" borderId="6" xfId="0" applyNumberFormat="1" applyFont="1" applyBorder="1"/>
    <xf numFmtId="164" fontId="14" fillId="0" borderId="39" xfId="0" applyNumberFormat="1" applyFont="1" applyBorder="1"/>
    <xf numFmtId="3" fontId="14" fillId="0" borderId="1" xfId="0" applyNumberFormat="1" applyFont="1" applyBorder="1" applyAlignment="1">
      <alignment horizontal="center" vertical="center" wrapText="1"/>
    </xf>
    <xf numFmtId="3" fontId="14"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3" fontId="14" fillId="0" borderId="11" xfId="0" applyNumberFormat="1" applyFont="1" applyBorder="1" applyAlignment="1">
      <alignment horizontal="center" vertical="center" wrapText="1"/>
    </xf>
    <xf numFmtId="3" fontId="14" fillId="0" borderId="12" xfId="0" applyNumberFormat="1" applyFont="1" applyBorder="1" applyAlignment="1">
      <alignment horizontal="center" vertical="center" wrapText="1"/>
    </xf>
    <xf numFmtId="3" fontId="14" fillId="0" borderId="0" xfId="0" applyNumberFormat="1" applyFont="1" applyAlignment="1">
      <alignment horizontal="center" vertical="center" wrapText="1"/>
    </xf>
    <xf numFmtId="0" fontId="14" fillId="0" borderId="1" xfId="0" applyFont="1" applyBorder="1" applyAlignment="1">
      <alignment horizontal="left" vertical="center" wrapText="1"/>
    </xf>
    <xf numFmtId="0" fontId="15" fillId="0" borderId="0" xfId="0" applyFont="1" applyAlignment="1">
      <alignment vertical="center" wrapText="1"/>
    </xf>
    <xf numFmtId="0" fontId="14" fillId="0" borderId="11" xfId="0" applyFont="1" applyBorder="1" applyAlignment="1">
      <alignment horizontal="left" vertical="center" wrapText="1"/>
    </xf>
    <xf numFmtId="0" fontId="15" fillId="0" borderId="40" xfId="0" applyFont="1" applyBorder="1" applyAlignment="1">
      <alignment vertical="center" wrapText="1"/>
    </xf>
    <xf numFmtId="0" fontId="13" fillId="0" borderId="17" xfId="0" applyFont="1" applyBorder="1" applyAlignment="1">
      <alignment horizontal="left" vertical="center" wrapText="1"/>
    </xf>
    <xf numFmtId="0" fontId="13" fillId="0" borderId="18" xfId="0" applyFont="1" applyBorder="1" applyAlignment="1">
      <alignment horizontal="center" vertical="center" wrapText="1"/>
    </xf>
    <xf numFmtId="0" fontId="15" fillId="0" borderId="37" xfId="0" applyFont="1" applyBorder="1" applyAlignment="1">
      <alignment vertical="center" wrapText="1"/>
    </xf>
    <xf numFmtId="0" fontId="13" fillId="0" borderId="4" xfId="0" applyFont="1" applyBorder="1" applyAlignment="1">
      <alignment horizontal="center" vertical="center" wrapText="1"/>
    </xf>
    <xf numFmtId="164" fontId="14" fillId="0" borderId="1" xfId="0" applyNumberFormat="1" applyFont="1" applyBorder="1"/>
    <xf numFmtId="0" fontId="13" fillId="3" borderId="18" xfId="0" applyFont="1" applyFill="1" applyBorder="1" applyAlignment="1">
      <alignment horizontal="center" vertical="center" wrapText="1"/>
    </xf>
    <xf numFmtId="0" fontId="13" fillId="4" borderId="18" xfId="0" applyFont="1" applyFill="1" applyBorder="1" applyAlignment="1">
      <alignment horizontal="center" vertical="center" wrapText="1"/>
    </xf>
    <xf numFmtId="0" fontId="13" fillId="5" borderId="18" xfId="0" applyFont="1" applyFill="1" applyBorder="1" applyAlignment="1">
      <alignment horizontal="center" vertical="center" wrapText="1"/>
    </xf>
    <xf numFmtId="0" fontId="15" fillId="0" borderId="1" xfId="0" applyFont="1" applyBorder="1" applyAlignment="1">
      <alignment vertical="center" wrapText="1"/>
    </xf>
    <xf numFmtId="0" fontId="15" fillId="0" borderId="11" xfId="0" applyFont="1" applyBorder="1" applyAlignment="1">
      <alignment vertical="center" wrapText="1"/>
    </xf>
    <xf numFmtId="0" fontId="13" fillId="0" borderId="48" xfId="0" applyFont="1" applyBorder="1" applyAlignment="1">
      <alignment vertical="center" wrapText="1"/>
    </xf>
    <xf numFmtId="42" fontId="2" fillId="0" borderId="0" xfId="0" applyNumberFormat="1" applyFont="1" applyAlignment="1">
      <alignment horizontal="left" vertical="center" wrapText="1"/>
    </xf>
    <xf numFmtId="0" fontId="3" fillId="0" borderId="41" xfId="0" applyFont="1" applyBorder="1" applyAlignment="1">
      <alignment vertical="center" wrapText="1"/>
    </xf>
    <xf numFmtId="0" fontId="3" fillId="0" borderId="37" xfId="0" applyFont="1" applyBorder="1" applyAlignment="1">
      <alignment vertical="center" wrapText="1"/>
    </xf>
    <xf numFmtId="0" fontId="1" fillId="0" borderId="40" xfId="0" applyFont="1" applyBorder="1" applyAlignment="1">
      <alignment horizontal="center" vertical="center" wrapText="1"/>
    </xf>
    <xf numFmtId="0" fontId="1" fillId="0" borderId="39" xfId="0" applyFont="1" applyBorder="1" applyAlignment="1">
      <alignment horizontal="center" vertical="center" wrapText="1"/>
    </xf>
    <xf numFmtId="165" fontId="2" fillId="0" borderId="1" xfId="0" applyNumberFormat="1" applyFont="1" applyBorder="1" applyAlignment="1">
      <alignment horizontal="left" vertical="center" wrapText="1"/>
    </xf>
    <xf numFmtId="165" fontId="2" fillId="0" borderId="31" xfId="0" applyNumberFormat="1" applyFont="1" applyBorder="1" applyAlignment="1">
      <alignment horizontal="left" vertical="center" wrapText="1"/>
    </xf>
    <xf numFmtId="165" fontId="3" fillId="0" borderId="1" xfId="0" applyNumberFormat="1" applyFont="1" applyBorder="1" applyAlignment="1">
      <alignment horizontal="left" vertical="center" wrapText="1"/>
    </xf>
    <xf numFmtId="165" fontId="3" fillId="0" borderId="31" xfId="0" applyNumberFormat="1" applyFont="1" applyBorder="1" applyAlignment="1">
      <alignment horizontal="left" vertical="center" wrapText="1"/>
    </xf>
    <xf numFmtId="165" fontId="2" fillId="0" borderId="4" xfId="0" applyNumberFormat="1" applyFont="1" applyBorder="1" applyAlignment="1">
      <alignment horizontal="left" vertical="center" wrapText="1"/>
    </xf>
    <xf numFmtId="165" fontId="2" fillId="0" borderId="36" xfId="0" applyNumberFormat="1" applyFont="1" applyBorder="1" applyAlignment="1">
      <alignment horizontal="left" vertical="center" wrapText="1"/>
    </xf>
    <xf numFmtId="0" fontId="14" fillId="0" borderId="0" xfId="0" applyFont="1" applyAlignment="1">
      <alignment horizontal="center"/>
    </xf>
    <xf numFmtId="0" fontId="13" fillId="0" borderId="45" xfId="0" applyFont="1" applyBorder="1" applyAlignment="1">
      <alignment vertical="center" wrapText="1"/>
    </xf>
    <xf numFmtId="0" fontId="13" fillId="4" borderId="5" xfId="0" applyFont="1" applyFill="1" applyBorder="1" applyAlignment="1">
      <alignment horizontal="center" vertical="center" wrapText="1"/>
    </xf>
    <xf numFmtId="0" fontId="13" fillId="0" borderId="32" xfId="0" applyFont="1" applyBorder="1" applyAlignment="1">
      <alignment horizontal="left" vertical="center" wrapText="1"/>
    </xf>
    <xf numFmtId="0" fontId="14" fillId="0" borderId="31" xfId="0" applyFont="1" applyBorder="1" applyAlignment="1">
      <alignment horizontal="center" vertical="center" wrapText="1"/>
    </xf>
    <xf numFmtId="0" fontId="13" fillId="4" borderId="46" xfId="0" applyFont="1" applyFill="1" applyBorder="1" applyAlignment="1">
      <alignment horizontal="center" vertical="center" wrapText="1"/>
    </xf>
    <xf numFmtId="0" fontId="15" fillId="0" borderId="4" xfId="0" applyFont="1" applyBorder="1" applyAlignment="1">
      <alignment vertical="center" wrapText="1"/>
    </xf>
    <xf numFmtId="0" fontId="13" fillId="4" borderId="6" xfId="0" applyFont="1" applyFill="1" applyBorder="1" applyAlignment="1">
      <alignment horizontal="center" vertical="center" wrapText="1"/>
    </xf>
    <xf numFmtId="0" fontId="13" fillId="0" borderId="40" xfId="0" applyFont="1" applyBorder="1" applyAlignment="1">
      <alignment vertical="center" wrapText="1"/>
    </xf>
    <xf numFmtId="42" fontId="14" fillId="0" borderId="1" xfId="0" applyNumberFormat="1" applyFont="1" applyBorder="1"/>
    <xf numFmtId="3" fontId="14" fillId="0" borderId="1" xfId="0" applyNumberFormat="1" applyFont="1" applyBorder="1" applyAlignment="1">
      <alignment horizontal="center" vertical="center"/>
    </xf>
    <xf numFmtId="3" fontId="14" fillId="0" borderId="6" xfId="0" applyNumberFormat="1" applyFont="1" applyBorder="1" applyAlignment="1">
      <alignment horizontal="center" vertical="center"/>
    </xf>
    <xf numFmtId="0" fontId="14" fillId="0" borderId="49" xfId="0" applyFont="1" applyBorder="1" applyAlignment="1">
      <alignment horizontal="center" vertical="center" wrapText="1"/>
    </xf>
    <xf numFmtId="3" fontId="14" fillId="0" borderId="8" xfId="0" applyNumberFormat="1" applyFont="1" applyBorder="1" applyAlignment="1">
      <alignment horizontal="center" vertical="center" wrapText="1"/>
    </xf>
    <xf numFmtId="3" fontId="14" fillId="0" borderId="9" xfId="0" applyNumberFormat="1" applyFont="1" applyBorder="1" applyAlignment="1">
      <alignment horizontal="center" vertical="center" wrapText="1"/>
    </xf>
    <xf numFmtId="0" fontId="14" fillId="0" borderId="8" xfId="0" applyFont="1" applyBorder="1" applyAlignment="1">
      <alignment horizontal="left" vertical="center" wrapText="1"/>
    </xf>
    <xf numFmtId="0" fontId="14" fillId="0" borderId="50" xfId="0" applyFont="1" applyBorder="1" applyAlignment="1">
      <alignment horizontal="center" vertical="center" wrapText="1"/>
    </xf>
    <xf numFmtId="0" fontId="14" fillId="0" borderId="8" xfId="0" applyFont="1" applyBorder="1" applyAlignment="1">
      <alignment horizontal="center" vertical="center" wrapText="1"/>
    </xf>
    <xf numFmtId="3" fontId="14" fillId="0" borderId="8" xfId="0" applyNumberFormat="1" applyFont="1" applyBorder="1" applyAlignment="1">
      <alignment horizontal="center" wrapText="1"/>
    </xf>
    <xf numFmtId="0" fontId="13" fillId="0" borderId="4" xfId="0" applyFont="1" applyBorder="1" applyAlignment="1">
      <alignment horizontal="center" wrapText="1"/>
    </xf>
    <xf numFmtId="0" fontId="13" fillId="0" borderId="14" xfId="0" applyFont="1" applyBorder="1" applyAlignment="1">
      <alignment horizontal="center" wrapText="1"/>
    </xf>
    <xf numFmtId="3" fontId="14" fillId="0" borderId="9" xfId="0" applyNumberFormat="1" applyFont="1" applyBorder="1" applyAlignment="1">
      <alignment horizontal="center" wrapText="1"/>
    </xf>
    <xf numFmtId="3" fontId="14" fillId="0" borderId="11" xfId="0" applyNumberFormat="1" applyFont="1" applyBorder="1" applyAlignment="1">
      <alignment horizontal="center" wrapText="1"/>
    </xf>
    <xf numFmtId="3" fontId="14" fillId="0" borderId="12" xfId="0" applyNumberFormat="1" applyFont="1" applyBorder="1" applyAlignment="1">
      <alignment horizontal="center" wrapText="1"/>
    </xf>
    <xf numFmtId="0" fontId="15" fillId="0" borderId="8" xfId="0" applyFont="1" applyBorder="1" applyAlignment="1">
      <alignment vertical="center" wrapText="1"/>
    </xf>
    <xf numFmtId="0" fontId="13" fillId="0" borderId="37" xfId="0" applyFont="1" applyBorder="1" applyAlignment="1">
      <alignment horizontal="center" wrapText="1"/>
    </xf>
    <xf numFmtId="3" fontId="14" fillId="0" borderId="51" xfId="0" applyNumberFormat="1" applyFont="1" applyBorder="1" applyAlignment="1">
      <alignment horizontal="center" vertical="center" wrapText="1"/>
    </xf>
    <xf numFmtId="3" fontId="14" fillId="0" borderId="41" xfId="0" applyNumberFormat="1" applyFont="1" applyBorder="1" applyAlignment="1">
      <alignment horizontal="center" vertical="center" wrapText="1"/>
    </xf>
    <xf numFmtId="3" fontId="14" fillId="0" borderId="47" xfId="0" applyNumberFormat="1" applyFont="1" applyBorder="1" applyAlignment="1">
      <alignment horizontal="center" vertical="center" wrapText="1"/>
    </xf>
    <xf numFmtId="0" fontId="13" fillId="0" borderId="1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2" xfId="0" applyFont="1" applyBorder="1" applyAlignment="1">
      <alignment horizontal="center" vertical="center" wrapText="1"/>
    </xf>
    <xf numFmtId="3" fontId="14" fillId="0" borderId="51" xfId="0" applyNumberFormat="1" applyFont="1" applyBorder="1" applyAlignment="1">
      <alignment horizontal="center" wrapText="1"/>
    </xf>
    <xf numFmtId="3" fontId="14" fillId="0" borderId="47" xfId="0" applyNumberFormat="1" applyFont="1" applyBorder="1" applyAlignment="1">
      <alignment horizontal="center" wrapText="1"/>
    </xf>
    <xf numFmtId="0" fontId="13" fillId="0" borderId="37" xfId="0" applyFont="1" applyBorder="1" applyAlignment="1">
      <alignment horizontal="center" vertical="center" wrapText="1"/>
    </xf>
    <xf numFmtId="3" fontId="14" fillId="0" borderId="7" xfId="0" applyNumberFormat="1" applyFont="1" applyBorder="1" applyAlignment="1">
      <alignment horizontal="center" vertical="center"/>
    </xf>
    <xf numFmtId="3" fontId="14" fillId="0" borderId="8" xfId="0" applyNumberFormat="1" applyFont="1" applyBorder="1" applyAlignment="1">
      <alignment horizontal="center" vertical="center"/>
    </xf>
    <xf numFmtId="3" fontId="14" fillId="0" borderId="9" xfId="0" applyNumberFormat="1" applyFont="1" applyBorder="1" applyAlignment="1">
      <alignment horizontal="center" vertical="center"/>
    </xf>
    <xf numFmtId="3" fontId="14" fillId="0" borderId="28" xfId="0" applyNumberFormat="1" applyFont="1" applyBorder="1" applyAlignment="1">
      <alignment horizontal="center" vertical="center"/>
    </xf>
    <xf numFmtId="3" fontId="14" fillId="0" borderId="16" xfId="0" applyNumberFormat="1" applyFont="1" applyBorder="1" applyAlignment="1">
      <alignment horizontal="center" vertical="center"/>
    </xf>
    <xf numFmtId="3" fontId="14" fillId="0" borderId="10" xfId="0" applyNumberFormat="1" applyFont="1" applyBorder="1" applyAlignment="1">
      <alignment horizontal="center" vertical="center"/>
    </xf>
    <xf numFmtId="3" fontId="14" fillId="0" borderId="11" xfId="0" applyNumberFormat="1" applyFont="1" applyBorder="1" applyAlignment="1">
      <alignment horizontal="center" vertical="center"/>
    </xf>
    <xf numFmtId="3" fontId="14" fillId="0" borderId="12" xfId="0" applyNumberFormat="1" applyFont="1" applyBorder="1" applyAlignment="1">
      <alignment horizontal="center" vertical="center"/>
    </xf>
    <xf numFmtId="0" fontId="13" fillId="0" borderId="17" xfId="0" applyFont="1" applyBorder="1" applyAlignment="1">
      <alignment horizontal="center" vertical="center" wrapText="1"/>
    </xf>
    <xf numFmtId="0" fontId="15" fillId="0" borderId="47" xfId="0" applyFont="1" applyBorder="1" applyAlignment="1">
      <alignment vertical="center" wrapText="1"/>
    </xf>
    <xf numFmtId="0" fontId="22" fillId="9" borderId="5" xfId="0" applyFont="1" applyFill="1" applyBorder="1" applyAlignment="1">
      <alignment vertical="center" wrapText="1"/>
    </xf>
    <xf numFmtId="3" fontId="23" fillId="9" borderId="5" xfId="0" applyNumberFormat="1" applyFont="1" applyFill="1" applyBorder="1" applyAlignment="1">
      <alignment horizontal="center" vertical="center"/>
    </xf>
    <xf numFmtId="3" fontId="23" fillId="9" borderId="46" xfId="0" applyNumberFormat="1" applyFont="1" applyFill="1" applyBorder="1" applyAlignment="1">
      <alignment horizontal="center" vertical="center"/>
    </xf>
    <xf numFmtId="0" fontId="13" fillId="0" borderId="29" xfId="0" applyFont="1" applyBorder="1" applyAlignment="1">
      <alignment horizontal="left" vertical="center" wrapText="1"/>
    </xf>
    <xf numFmtId="0" fontId="13" fillId="4" borderId="20" xfId="0" applyFont="1" applyFill="1" applyBorder="1" applyAlignment="1">
      <alignment horizontal="center" vertical="center" wrapText="1"/>
    </xf>
    <xf numFmtId="42" fontId="14" fillId="0" borderId="16" xfId="0" applyNumberFormat="1" applyFont="1" applyBorder="1"/>
    <xf numFmtId="42" fontId="14" fillId="0" borderId="11" xfId="0" applyNumberFormat="1" applyFont="1" applyBorder="1"/>
    <xf numFmtId="42" fontId="14" fillId="0" borderId="12" xfId="0" applyNumberFormat="1" applyFont="1" applyBorder="1"/>
    <xf numFmtId="0" fontId="17" fillId="0" borderId="52" xfId="0" applyFont="1" applyBorder="1" applyAlignment="1">
      <alignment vertical="center" wrapText="1"/>
    </xf>
    <xf numFmtId="42" fontId="15" fillId="0" borderId="39" xfId="0" applyNumberFormat="1" applyFont="1" applyBorder="1" applyAlignment="1">
      <alignment vertical="center" wrapText="1"/>
    </xf>
    <xf numFmtId="42" fontId="15" fillId="0" borderId="31" xfId="0" applyNumberFormat="1" applyFont="1" applyBorder="1" applyAlignment="1">
      <alignment vertical="center" wrapText="1"/>
    </xf>
    <xf numFmtId="42" fontId="15" fillId="0" borderId="49" xfId="0" applyNumberFormat="1" applyFont="1" applyBorder="1" applyAlignment="1">
      <alignment vertical="center" wrapText="1"/>
    </xf>
    <xf numFmtId="0" fontId="21" fillId="6" borderId="0" xfId="0" applyFont="1" applyFill="1"/>
    <xf numFmtId="42" fontId="21" fillId="6" borderId="0" xfId="0" applyNumberFormat="1" applyFont="1" applyFill="1"/>
    <xf numFmtId="42" fontId="24" fillId="10" borderId="46" xfId="0" applyNumberFormat="1" applyFont="1" applyFill="1" applyBorder="1" applyAlignment="1">
      <alignment vertical="center" wrapText="1"/>
    </xf>
    <xf numFmtId="0" fontId="24" fillId="0" borderId="45" xfId="0" applyFont="1" applyBorder="1" applyAlignment="1">
      <alignment vertical="center" wrapText="1"/>
    </xf>
    <xf numFmtId="164" fontId="13" fillId="3" borderId="1" xfId="0" applyNumberFormat="1" applyFont="1" applyFill="1" applyBorder="1" applyAlignment="1">
      <alignment horizontal="center" vertical="center"/>
    </xf>
    <xf numFmtId="0" fontId="13" fillId="3" borderId="1" xfId="0" applyFont="1" applyFill="1" applyBorder="1" applyAlignment="1">
      <alignment horizontal="center" vertical="center"/>
    </xf>
    <xf numFmtId="9" fontId="13" fillId="3" borderId="1" xfId="3" applyFont="1" applyFill="1" applyBorder="1" applyAlignment="1">
      <alignment vertical="center"/>
    </xf>
    <xf numFmtId="0" fontId="13" fillId="3" borderId="1" xfId="0" applyFont="1" applyFill="1" applyBorder="1" applyAlignment="1">
      <alignment vertical="center"/>
    </xf>
    <xf numFmtId="164" fontId="13" fillId="3" borderId="1" xfId="0" applyNumberFormat="1" applyFont="1" applyFill="1" applyBorder="1" applyAlignment="1">
      <alignment vertical="center"/>
    </xf>
    <xf numFmtId="0" fontId="25" fillId="0" borderId="30" xfId="0" applyFont="1" applyBorder="1" applyAlignment="1">
      <alignment vertical="center" wrapText="1"/>
    </xf>
    <xf numFmtId="0" fontId="25" fillId="0" borderId="22" xfId="0" applyFont="1" applyBorder="1" applyAlignment="1">
      <alignment vertical="center" wrapText="1"/>
    </xf>
    <xf numFmtId="0" fontId="25" fillId="0" borderId="2" xfId="0" applyFont="1" applyBorder="1" applyAlignment="1">
      <alignment horizontal="center" wrapText="1"/>
    </xf>
    <xf numFmtId="0" fontId="25" fillId="5" borderId="11" xfId="0" applyFont="1" applyFill="1" applyBorder="1" applyAlignment="1">
      <alignment horizontal="center" vertical="center" wrapText="1"/>
    </xf>
    <xf numFmtId="0" fontId="26" fillId="0" borderId="0" xfId="0" applyFont="1"/>
    <xf numFmtId="0" fontId="27" fillId="0" borderId="1" xfId="0" applyFont="1" applyBorder="1" applyAlignment="1">
      <alignment vertical="center" wrapText="1"/>
    </xf>
    <xf numFmtId="0" fontId="28" fillId="0" borderId="40" xfId="0" applyFont="1" applyBorder="1" applyAlignment="1">
      <alignment vertical="center" wrapText="1"/>
    </xf>
    <xf numFmtId="41" fontId="28" fillId="0" borderId="28" xfId="0" applyNumberFormat="1" applyFont="1" applyBorder="1" applyAlignment="1">
      <alignment horizontal="center" vertical="center" wrapText="1"/>
    </xf>
    <xf numFmtId="41" fontId="27" fillId="0" borderId="1" xfId="0" applyNumberFormat="1" applyFont="1" applyBorder="1"/>
    <xf numFmtId="41" fontId="28" fillId="0" borderId="13" xfId="0" applyNumberFormat="1" applyFont="1" applyBorder="1" applyAlignment="1">
      <alignment horizontal="center" vertical="center" wrapText="1"/>
    </xf>
    <xf numFmtId="41" fontId="27" fillId="0" borderId="4" xfId="0" applyNumberFormat="1" applyFont="1" applyBorder="1"/>
    <xf numFmtId="41" fontId="27" fillId="0" borderId="14" xfId="0" applyNumberFormat="1" applyFont="1" applyBorder="1"/>
    <xf numFmtId="41" fontId="27" fillId="0" borderId="16" xfId="0" applyNumberFormat="1" applyFont="1" applyBorder="1"/>
    <xf numFmtId="41" fontId="27" fillId="0" borderId="36" xfId="0" applyNumberFormat="1" applyFont="1" applyBorder="1"/>
    <xf numFmtId="164" fontId="27" fillId="0" borderId="39" xfId="0" applyNumberFormat="1" applyFont="1" applyBorder="1"/>
    <xf numFmtId="0" fontId="27" fillId="0" borderId="0" xfId="0" applyFont="1"/>
    <xf numFmtId="0" fontId="28" fillId="0" borderId="41" xfId="0" applyFont="1" applyBorder="1" applyAlignment="1">
      <alignment vertical="center" wrapText="1"/>
    </xf>
    <xf numFmtId="0" fontId="28" fillId="0" borderId="24" xfId="0" applyFont="1" applyBorder="1" applyAlignment="1">
      <alignment horizontal="left" vertical="center" wrapText="1"/>
    </xf>
    <xf numFmtId="41" fontId="27" fillId="0" borderId="31" xfId="0" applyNumberFormat="1" applyFont="1" applyBorder="1"/>
    <xf numFmtId="0" fontId="28" fillId="0" borderId="27" xfId="0" applyFont="1" applyBorder="1" applyAlignment="1">
      <alignment horizontal="left" vertical="center" wrapText="1"/>
    </xf>
    <xf numFmtId="0" fontId="27" fillId="0" borderId="0" xfId="0" applyFont="1" applyAlignment="1">
      <alignment horizontal="left"/>
    </xf>
    <xf numFmtId="0" fontId="28" fillId="0" borderId="0" xfId="0" applyFont="1" applyAlignment="1">
      <alignment vertical="center" wrapText="1"/>
    </xf>
    <xf numFmtId="0" fontId="29" fillId="5" borderId="49" xfId="0" applyFont="1" applyFill="1" applyBorder="1" applyAlignment="1">
      <alignment horizontal="center" vertical="center" wrapText="1"/>
    </xf>
    <xf numFmtId="0" fontId="29" fillId="0" borderId="0" xfId="0" applyFont="1" applyAlignment="1">
      <alignment horizontal="center" vertical="center" wrapText="1"/>
    </xf>
    <xf numFmtId="164" fontId="27" fillId="0" borderId="0" xfId="0" applyNumberFormat="1" applyFont="1"/>
    <xf numFmtId="0" fontId="13" fillId="8" borderId="18" xfId="0" applyFont="1" applyFill="1" applyBorder="1" applyAlignment="1">
      <alignment horizontal="center" vertical="center" wrapText="1"/>
    </xf>
    <xf numFmtId="0" fontId="13" fillId="8" borderId="19" xfId="0" applyFont="1" applyFill="1" applyBorder="1" applyAlignment="1">
      <alignment horizontal="center" vertical="center" wrapText="1"/>
    </xf>
    <xf numFmtId="0" fontId="13" fillId="4" borderId="21" xfId="0" applyFont="1" applyFill="1" applyBorder="1" applyAlignment="1">
      <alignment horizontal="center" vertical="center" wrapText="1"/>
    </xf>
    <xf numFmtId="3" fontId="14" fillId="0" borderId="20" xfId="0" applyNumberFormat="1" applyFont="1" applyBorder="1" applyAlignment="1">
      <alignment horizontal="center" vertical="center"/>
    </xf>
    <xf numFmtId="3" fontId="14" fillId="0" borderId="57" xfId="0" applyNumberFormat="1" applyFont="1" applyBorder="1" applyAlignment="1">
      <alignment horizontal="center" vertical="center"/>
    </xf>
    <xf numFmtId="0" fontId="15" fillId="0" borderId="18" xfId="0" applyFont="1" applyBorder="1" applyAlignment="1">
      <alignment vertical="center" wrapText="1"/>
    </xf>
    <xf numFmtId="0" fontId="14" fillId="0" borderId="19" xfId="0" applyFont="1" applyBorder="1" applyAlignment="1">
      <alignment horizontal="center" vertical="center" wrapText="1"/>
    </xf>
    <xf numFmtId="3" fontId="14" fillId="0" borderId="48" xfId="0" applyNumberFormat="1" applyFont="1" applyBorder="1" applyAlignment="1">
      <alignment horizontal="center" vertical="center" wrapText="1"/>
    </xf>
    <xf numFmtId="3" fontId="14" fillId="0" borderId="18" xfId="0" applyNumberFormat="1" applyFont="1" applyBorder="1" applyAlignment="1">
      <alignment horizontal="center" vertical="center" wrapText="1"/>
    </xf>
    <xf numFmtId="3" fontId="14" fillId="0" borderId="19" xfId="0" applyNumberFormat="1" applyFont="1" applyBorder="1" applyAlignment="1">
      <alignment horizontal="center" vertical="center" wrapText="1"/>
    </xf>
    <xf numFmtId="0" fontId="15" fillId="0" borderId="51" xfId="0" applyFont="1" applyBorder="1" applyAlignment="1">
      <alignment vertical="center" wrapText="1"/>
    </xf>
    <xf numFmtId="164" fontId="14" fillId="0" borderId="8" xfId="0" applyNumberFormat="1" applyFont="1" applyBorder="1"/>
    <xf numFmtId="164" fontId="14" fillId="0" borderId="50" xfId="0" applyNumberFormat="1" applyFont="1" applyBorder="1"/>
    <xf numFmtId="164" fontId="14" fillId="0" borderId="9" xfId="0" applyNumberFormat="1" applyFont="1" applyBorder="1"/>
    <xf numFmtId="164" fontId="14" fillId="0" borderId="20" xfId="0" applyNumberFormat="1" applyFont="1" applyBorder="1"/>
    <xf numFmtId="164" fontId="14" fillId="0" borderId="53" xfId="0" applyNumberFormat="1" applyFont="1" applyBorder="1"/>
    <xf numFmtId="164" fontId="14" fillId="0" borderId="54" xfId="0" applyNumberFormat="1" applyFont="1" applyBorder="1"/>
    <xf numFmtId="164" fontId="14" fillId="0" borderId="11" xfId="0" applyNumberFormat="1" applyFont="1" applyBorder="1"/>
    <xf numFmtId="164" fontId="14" fillId="0" borderId="57" xfId="0" applyNumberFormat="1" applyFont="1" applyBorder="1"/>
    <xf numFmtId="42" fontId="15" fillId="0" borderId="9" xfId="0" applyNumberFormat="1" applyFont="1" applyBorder="1" applyAlignment="1">
      <alignment vertical="center" wrapText="1"/>
    </xf>
    <xf numFmtId="42" fontId="15" fillId="0" borderId="16" xfId="0" applyNumberFormat="1" applyFont="1" applyBorder="1" applyAlignment="1">
      <alignment vertical="center" wrapText="1"/>
    </xf>
    <xf numFmtId="42" fontId="15" fillId="0" borderId="12" xfId="0" applyNumberFormat="1" applyFont="1" applyBorder="1" applyAlignment="1">
      <alignment vertical="center" wrapText="1"/>
    </xf>
    <xf numFmtId="0" fontId="13" fillId="0" borderId="42" xfId="0" applyFont="1" applyBorder="1" applyAlignment="1">
      <alignment horizontal="left" vertical="center" wrapText="1"/>
    </xf>
    <xf numFmtId="0" fontId="13" fillId="0" borderId="55" xfId="0" applyFont="1" applyBorder="1" applyAlignment="1">
      <alignment vertical="center" wrapText="1"/>
    </xf>
    <xf numFmtId="0" fontId="13" fillId="4" borderId="43" xfId="0" applyFont="1" applyFill="1" applyBorder="1" applyAlignment="1">
      <alignment horizontal="center" vertical="center" wrapText="1"/>
    </xf>
    <xf numFmtId="0" fontId="13" fillId="4" borderId="44" xfId="0" applyFont="1" applyFill="1" applyBorder="1" applyAlignment="1">
      <alignment horizontal="center" vertical="center" wrapText="1"/>
    </xf>
    <xf numFmtId="42" fontId="14" fillId="0" borderId="8" xfId="0" applyNumberFormat="1" applyFont="1" applyBorder="1"/>
    <xf numFmtId="42" fontId="14" fillId="0" borderId="9" xfId="0" applyNumberFormat="1" applyFont="1" applyBorder="1"/>
    <xf numFmtId="0" fontId="24" fillId="0" borderId="0" xfId="0" applyFont="1" applyAlignment="1">
      <alignment vertical="center" wrapText="1"/>
    </xf>
    <xf numFmtId="42" fontId="24" fillId="10" borderId="56" xfId="0" applyNumberFormat="1" applyFont="1" applyFill="1" applyBorder="1" applyAlignment="1">
      <alignment vertical="center" wrapText="1"/>
    </xf>
    <xf numFmtId="9" fontId="27" fillId="0" borderId="0" xfId="3" applyFont="1"/>
    <xf numFmtId="4" fontId="14" fillId="0" borderId="1" xfId="0" applyNumberFormat="1" applyFont="1" applyBorder="1" applyAlignment="1">
      <alignment horizontal="center" vertical="center"/>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28" xfId="0" applyFont="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38" xfId="0" applyFont="1" applyFill="1" applyBorder="1" applyAlignment="1">
      <alignment horizontal="center" vertical="center" wrapText="1"/>
    </xf>
    <xf numFmtId="0" fontId="13" fillId="0" borderId="5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4" xfId="0" applyFont="1" applyBorder="1" applyAlignment="1">
      <alignment horizontal="center" vertical="center" wrapText="1"/>
    </xf>
    <xf numFmtId="0" fontId="13" fillId="2" borderId="42" xfId="0" applyFont="1" applyFill="1" applyBorder="1" applyAlignment="1">
      <alignment horizontal="center" vertical="center" wrapText="1"/>
    </xf>
    <xf numFmtId="0" fontId="13" fillId="2" borderId="43"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33"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35" xfId="0" applyFont="1" applyFill="1" applyBorder="1" applyAlignment="1">
      <alignment horizontal="center" vertical="center" wrapText="1"/>
    </xf>
    <xf numFmtId="0" fontId="13" fillId="0" borderId="4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10" xfId="0" applyFont="1" applyBorder="1" applyAlignment="1">
      <alignment horizontal="center" vertical="center" wrapText="1"/>
    </xf>
    <xf numFmtId="0" fontId="20" fillId="8" borderId="2" xfId="0" applyFont="1" applyFill="1" applyBorder="1" applyAlignment="1">
      <alignment horizontal="center"/>
    </xf>
    <xf numFmtId="0" fontId="20" fillId="8" borderId="3" xfId="0" applyFont="1" applyFill="1" applyBorder="1" applyAlignment="1">
      <alignment horizontal="center"/>
    </xf>
    <xf numFmtId="0" fontId="20" fillId="8" borderId="38" xfId="0" applyFont="1" applyFill="1" applyBorder="1" applyAlignment="1">
      <alignment horizontal="center"/>
    </xf>
    <xf numFmtId="0" fontId="18" fillId="7" borderId="2" xfId="0" applyFont="1" applyFill="1" applyBorder="1" applyAlignment="1">
      <alignment horizontal="center"/>
    </xf>
    <xf numFmtId="0" fontId="18" fillId="7" borderId="3" xfId="0" applyFont="1" applyFill="1" applyBorder="1" applyAlignment="1">
      <alignment horizontal="center"/>
    </xf>
    <xf numFmtId="0" fontId="18" fillId="7" borderId="38" xfId="0" applyFont="1" applyFill="1" applyBorder="1" applyAlignment="1">
      <alignment horizontal="center"/>
    </xf>
    <xf numFmtId="0" fontId="14" fillId="0" borderId="31" xfId="0" applyFont="1" applyBorder="1" applyAlignment="1">
      <alignment horizontal="center" vertical="center" wrapText="1"/>
    </xf>
    <xf numFmtId="0" fontId="19" fillId="7" borderId="2" xfId="0" applyFont="1" applyFill="1" applyBorder="1" applyAlignment="1">
      <alignment horizontal="center"/>
    </xf>
    <xf numFmtId="0" fontId="19" fillId="7" borderId="34" xfId="0" applyFont="1" applyFill="1" applyBorder="1" applyAlignment="1">
      <alignment horizontal="center"/>
    </xf>
    <xf numFmtId="0" fontId="19" fillId="7" borderId="35" xfId="0" applyFont="1" applyFill="1" applyBorder="1" applyAlignment="1">
      <alignment horizontal="center"/>
    </xf>
    <xf numFmtId="0" fontId="19" fillId="9" borderId="2" xfId="0" applyFont="1" applyFill="1" applyBorder="1" applyAlignment="1">
      <alignment horizontal="center"/>
    </xf>
    <xf numFmtId="0" fontId="19" fillId="9" borderId="3" xfId="0" applyFont="1" applyFill="1" applyBorder="1" applyAlignment="1">
      <alignment horizontal="center"/>
    </xf>
    <xf numFmtId="0" fontId="19" fillId="9" borderId="38" xfId="0" applyFont="1" applyFill="1" applyBorder="1" applyAlignment="1">
      <alignment horizontal="center"/>
    </xf>
    <xf numFmtId="0" fontId="13" fillId="0" borderId="42"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58" xfId="0" applyFont="1" applyBorder="1" applyAlignment="1">
      <alignment horizontal="center" vertical="center" wrapText="1"/>
    </xf>
    <xf numFmtId="0" fontId="19" fillId="7" borderId="33" xfId="0" applyFont="1" applyFill="1" applyBorder="1" applyAlignment="1">
      <alignment horizontal="center"/>
    </xf>
  </cellXfs>
  <cellStyles count="4">
    <cellStyle name="Hipervínculo" xfId="1" builtinId="8"/>
    <cellStyle name="Moneda 3" xfId="2" xr:uid="{77870EAF-F24B-4658-86EB-0EC7259C4498}"/>
    <cellStyle name="Normal" xfId="0" builtinId="0"/>
    <cellStyle name="Porcentaje" xfId="3" builtinId="5"/>
  </cellStyles>
  <dxfs count="801">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numFmt numFmtId="3" formatCode="#,##0"/>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HELVETICA "/>
        <scheme val="none"/>
      </font>
      <numFmt numFmtId="32" formatCode="_-&quot;$&quot;\ * #,##0_-;\-&quot;$&quot;\ * #,##0_-;_-&quot;$&quot;\ * &quot;-&quot;_-;_-@_-"/>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border outline="0">
        <bottom style="thin">
          <color indexed="64"/>
        </bottom>
      </border>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HELVETICA "/>
        <scheme val="none"/>
      </font>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4"/>
        <color theme="1"/>
        <name val="HELVETICA "/>
        <scheme val="none"/>
      </font>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HELVETICA "/>
        <scheme val="none"/>
      </font>
      <fill>
        <patternFill patternType="solid">
          <fgColor indexed="64"/>
          <bgColor rgb="FFFFFF66"/>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HELVETICA "/>
        <scheme val="none"/>
      </font>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HELVETICA "/>
        <scheme val="none"/>
      </font>
      <fill>
        <patternFill patternType="solid">
          <fgColor indexed="64"/>
          <bgColor rgb="FFFFFF66"/>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4"/>
        <name val="HELVETICA "/>
        <scheme val="none"/>
      </font>
      <fill>
        <patternFill patternType="solid">
          <fgColor indexed="64"/>
          <bgColor rgb="FFFFFF66"/>
        </patternFill>
      </fill>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2"/>
        <color theme="1"/>
        <name val="HELVETICA "/>
        <scheme val="none"/>
      </font>
    </dxf>
    <dxf>
      <font>
        <b/>
        <i val="0"/>
        <strike val="0"/>
        <condense val="0"/>
        <extend val="0"/>
        <outline val="0"/>
        <shadow val="0"/>
        <u val="none"/>
        <vertAlign val="baseline"/>
        <sz val="12"/>
        <color theme="1"/>
        <name val="HELVETICA "/>
        <scheme val="none"/>
      </fon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val="0"/>
        <strike val="0"/>
        <outline val="0"/>
        <shadow val="0"/>
        <u val="none"/>
        <vertAlign val="baseline"/>
        <sz val="12"/>
        <color theme="0"/>
        <name val="HELVETICA "/>
        <scheme val="none"/>
      </font>
      <numFmt numFmtId="32" formatCode="_-&quot;$&quot;\ * #,##0_-;\-&quot;$&quot;\ * #,##0_-;_-&quot;$&quot;\ * &quot;-&quot;_-;_-@_-"/>
      <fill>
        <patternFill patternType="solid">
          <fgColor indexed="64"/>
          <bgColor theme="0"/>
        </patternFill>
      </fill>
    </dxf>
    <dxf>
      <font>
        <b/>
        <i val="0"/>
        <strike val="0"/>
        <condense val="0"/>
        <extend val="0"/>
        <outline val="0"/>
        <shadow val="0"/>
        <u val="none"/>
        <vertAlign val="baseline"/>
        <sz val="16"/>
        <color auto="1"/>
        <name val="HELVETICA "/>
        <scheme val="none"/>
      </font>
      <numFmt numFmtId="32" formatCode="_-&quot;$&quot;\ * #,##0_-;\-&quot;$&quot;\ * #,##0_-;_-&quot;$&quot;\ * &quot;-&quot;_-;_-@_-"/>
      <fill>
        <patternFill patternType="solid">
          <fgColor indexed="64"/>
          <bgColor rgb="FFFF0000"/>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HELVETICA "/>
        <scheme val="none"/>
      </font>
      <numFmt numFmtId="32" formatCode="_-&quot;$&quot;\ * #,##0_-;\-&quot;$&quot;\ * #,##0_-;_-&quot;$&quot;\ * &quot;-&quot;_-;_-@_-"/>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6"/>
        <color auto="1"/>
        <name val="HELVETICA "/>
        <scheme val="none"/>
      </font>
      <alignment horizontal="general" vertical="center"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dxf>
    <dxf>
      <border outline="0">
        <left style="thin">
          <color indexed="64"/>
        </left>
        <right style="medium">
          <color indexed="64"/>
        </right>
        <top style="medium">
          <color indexed="64"/>
        </top>
        <bottom style="medium">
          <color indexed="64"/>
        </bottom>
      </border>
    </dxf>
    <dxf>
      <font>
        <b val="0"/>
      </font>
    </dxf>
    <dxf>
      <border outline="0">
        <bottom style="medium">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theme="1"/>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left style="thin">
          <color indexed="64"/>
        </left>
        <right/>
        <top/>
        <bottom style="thin">
          <color indexed="64"/>
        </bottom>
        <vertical/>
        <horizontal/>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strike val="0"/>
        <outline val="0"/>
        <shadow val="0"/>
        <u val="none"/>
        <vertAlign val="baseline"/>
        <sz val="12"/>
        <name val="HELVETICA "/>
        <scheme val="none"/>
      </font>
      <numFmt numFmtId="164" formatCode="_-&quot;$&quot;\ * #,##0_-;\-&quot;$&quot;\ * #,##0_-;_-&quot;$&quot;\ * &quot;-&quot;??_-;_-@_-"/>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HELVETICA "/>
        <scheme val="none"/>
      </font>
      <alignment horizontal="general"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outline="0">
        <right style="thin">
          <color indexed="64"/>
        </right>
        <top style="thin">
          <color indexed="64"/>
        </top>
        <bottom style="thin">
          <color indexed="64"/>
        </bottom>
      </border>
    </dxf>
    <dxf>
      <font>
        <strike val="0"/>
        <outline val="0"/>
        <shadow val="0"/>
        <u val="none"/>
        <vertAlign val="baseline"/>
        <sz val="12"/>
        <name val="HELVETICA "/>
        <scheme val="none"/>
      </font>
    </dxf>
    <dxf>
      <border>
        <bottom style="medium">
          <color indexed="64"/>
        </bottom>
      </border>
    </dxf>
    <dxf>
      <font>
        <b/>
        <i val="0"/>
        <strike val="0"/>
        <condense val="0"/>
        <extend val="0"/>
        <outline val="0"/>
        <shadow val="0"/>
        <u val="none"/>
        <vertAlign val="baseline"/>
        <sz val="12"/>
        <color theme="1"/>
        <name val="HELVETICA "/>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Helvetica"/>
        <scheme val="none"/>
      </font>
      <alignment horizontal="left" vertical="center" textRotation="0" wrapText="1" indent="0" justifyLastLine="0" shrinkToFit="0" readingOrder="0"/>
    </dxf>
    <dxf>
      <font>
        <b val="0"/>
        <i val="0"/>
        <strike val="0"/>
        <condense val="0"/>
        <extend val="0"/>
        <outline val="0"/>
        <shadow val="0"/>
        <u val="none"/>
        <vertAlign val="baseline"/>
        <sz val="12"/>
        <color auto="1"/>
        <name val="Helvetica"/>
        <scheme val="none"/>
      </font>
      <numFmt numFmtId="165" formatCode="_-[$$-240A]\ * #,##0_-;\-[$$-240A]\ * #,##0_-;_-[$$-240A]\ * &quot;-&quot;_-;_-@_-"/>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Helvetica"/>
        <scheme val="none"/>
      </font>
      <numFmt numFmtId="165" formatCode="_-[$$-240A]\ * #,##0_-;\-[$$-240A]\ * #,##0_-;_-[$$-240A]\ * &quot;-&quot;_-;_-@_-"/>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Helvetica"/>
        <scheme val="none"/>
      </font>
      <numFmt numFmtId="165" formatCode="_-[$$-240A]\ * #,##0_-;\-[$$-240A]\ * #,##0_-;_-[$$-240A]\ * &quot;-&quot;_-;_-@_-"/>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Helvetica"/>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Helvetica"/>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Helvetica"/>
        <scheme val="none"/>
      </font>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name val="Helvetica"/>
        <scheme val="none"/>
      </font>
      <numFmt numFmtId="33" formatCode="_-* #,##0_-;\-* #,##0_-;_-* &quot;-&quot;_-;_-@_-"/>
      <border diagonalUp="0" diagonalDown="0">
        <left style="thin">
          <color indexed="64"/>
        </left>
        <right style="medium">
          <color indexed="64"/>
        </right>
        <top style="thin">
          <color indexed="64"/>
        </top>
        <bottom/>
        <vertical/>
        <horizontal/>
      </border>
    </dxf>
    <dxf>
      <font>
        <strike val="0"/>
        <outline val="0"/>
        <shadow val="0"/>
        <u val="none"/>
        <vertAlign val="baseline"/>
        <sz val="12"/>
        <name val="Helvetica"/>
        <scheme val="none"/>
      </font>
      <numFmt numFmtId="33" formatCode="_-* #,##0_-;\-* #,##0_-;_-* &quot;-&quot;_-;_-@_-"/>
      <border diagonalUp="0" diagonalDown="0">
        <left style="thin">
          <color indexed="64"/>
        </left>
        <right style="thin">
          <color indexed="64"/>
        </right>
        <top style="thin">
          <color indexed="64"/>
        </top>
        <bottom/>
        <vertical/>
        <horizontal/>
      </border>
    </dxf>
    <dxf>
      <font>
        <strike val="0"/>
        <outline val="0"/>
        <shadow val="0"/>
        <u val="none"/>
        <vertAlign val="baseline"/>
        <sz val="12"/>
        <name val="Helvetica"/>
        <scheme val="none"/>
      </font>
      <numFmt numFmtId="33" formatCode="_-* #,##0_-;\-* #,##0_-;_-* &quot;-&quot;_-;_-@_-"/>
      <border diagonalUp="0" diagonalDown="0">
        <left style="thin">
          <color indexed="64"/>
        </left>
        <right style="thin">
          <color indexed="64"/>
        </right>
        <top style="thin">
          <color indexed="64"/>
        </top>
        <bottom/>
        <vertical/>
        <horizontal/>
      </border>
    </dxf>
    <dxf>
      <font>
        <strike val="0"/>
        <outline val="0"/>
        <shadow val="0"/>
        <u val="none"/>
        <vertAlign val="baseline"/>
        <sz val="12"/>
        <color auto="1"/>
        <name val="Helvetica"/>
        <scheme val="none"/>
      </font>
      <numFmt numFmtId="33" formatCode="_-* #,##0_-;\-* #,##0_-;_-* &quot;-&quot;_-;_-@_-"/>
      <alignment horizontal="center" vertical="center" textRotation="0" wrapText="1" indent="0" justifyLastLine="0" shrinkToFit="0" readingOrder="0"/>
      <border diagonalUp="0" diagonalDown="0">
        <left style="medium">
          <color indexed="64"/>
        </left>
        <right style="thin">
          <color indexed="64"/>
        </right>
        <top style="thin">
          <color indexed="64"/>
        </top>
        <bottom/>
        <vertical/>
        <horizontal/>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medium">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Helvetica"/>
        <scheme val="none"/>
      </font>
      <numFmt numFmtId="33" formatCode="_-* #,##0_-;\-* #,##0_-;_-* &quot;-&quot;_-;_-@_-"/>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numFmt numFmtId="33"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border>
    </dxf>
    <dxf>
      <font>
        <b val="0"/>
        <i val="0"/>
        <strike val="0"/>
        <condense val="0"/>
        <extend val="0"/>
        <outline val="0"/>
        <shadow val="0"/>
        <u val="none"/>
        <vertAlign val="baseline"/>
        <sz val="12"/>
        <color auto="1"/>
        <name val="Helvetica"/>
        <scheme val="none"/>
      </font>
      <fill>
        <patternFill patternType="none">
          <fgColor indexed="64"/>
          <bgColor indexed="65"/>
        </patternFill>
      </fill>
      <alignment horizontal="left"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2"/>
        <color theme="1"/>
        <name val="Helvetica"/>
        <scheme val="none"/>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right style="medium">
          <color indexed="64"/>
        </right>
        <bottom style="medium">
          <color indexed="64"/>
        </bottom>
      </border>
    </dxf>
    <dxf>
      <font>
        <strike val="0"/>
        <outline val="0"/>
        <shadow val="0"/>
        <u val="none"/>
        <vertAlign val="baseline"/>
        <sz val="12"/>
        <name val="Helvetica"/>
        <scheme val="none"/>
      </font>
    </dxf>
    <dxf>
      <font>
        <b/>
        <i val="0"/>
        <strike val="0"/>
        <condense val="0"/>
        <extend val="0"/>
        <outline val="0"/>
        <shadow val="0"/>
        <u val="none"/>
        <vertAlign val="baseline"/>
        <sz val="22"/>
        <color theme="1"/>
        <name val="Hevetica"/>
        <scheme val="none"/>
      </font>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26" Type="http://schemas.microsoft.com/office/2017/06/relationships/rdSupportingPropertyBag" Target="richData/rdsupportingpropertybag.xml"/><Relationship Id="rId3" Type="http://schemas.openxmlformats.org/officeDocument/2006/relationships/worksheet" Target="worksheets/sheet3.xml"/><Relationship Id="rId21" Type="http://schemas.microsoft.com/office/2017/06/relationships/rdRichValue" Target="richData/rdrichvalu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microsoft.com/office/2017/06/relationships/rdSupportingPropertyBagStructure" Target="richData/rdsupportingpropertybagstructure.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29" Type="http://schemas.microsoft.com/office/2020/07/relationships/rdRichValueWebImage" Target="richData/rdRichValueWebImag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ichStyles" Target="richData/rich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Array" Target="richData/rdarray.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Structure" Target="richData/rdrichvaluestructure.xml"/><Relationship Id="rId27"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62</xdr:col>
      <xdr:colOff>0</xdr:colOff>
      <xdr:row>6</xdr:row>
      <xdr:rowOff>0</xdr:rowOff>
    </xdr:from>
    <xdr:to>
      <xdr:col>69</xdr:col>
      <xdr:colOff>693571</xdr:colOff>
      <xdr:row>189</xdr:row>
      <xdr:rowOff>108024</xdr:rowOff>
    </xdr:to>
    <xdr:pic>
      <xdr:nvPicPr>
        <xdr:cNvPr id="2" name="Imagen 1">
          <a:extLst>
            <a:ext uri="{FF2B5EF4-FFF2-40B4-BE49-F238E27FC236}">
              <a16:creationId xmlns:a16="http://schemas.microsoft.com/office/drawing/2014/main" id="{2997D000-3306-4700-923A-A1F26D657A39}"/>
            </a:ext>
          </a:extLst>
        </xdr:cNvPr>
        <xdr:cNvPicPr>
          <a:picLocks noChangeAspect="1"/>
        </xdr:cNvPicPr>
      </xdr:nvPicPr>
      <xdr:blipFill>
        <a:blip xmlns:r="http://schemas.openxmlformats.org/officeDocument/2006/relationships" r:embed="rId1"/>
        <a:stretch>
          <a:fillRect/>
        </a:stretch>
      </xdr:blipFill>
      <xdr:spPr>
        <a:xfrm>
          <a:off x="218775643" y="1796143"/>
          <a:ext cx="6925642" cy="3781953"/>
        </a:xfrm>
        <a:prstGeom prst="rect">
          <a:avLst/>
        </a:prstGeom>
        <a:ln>
          <a:solidFill>
            <a:sysClr val="windowText" lastClr="000000"/>
          </a:solidFill>
        </a:ln>
      </xdr:spPr>
    </xdr:pic>
    <xdr:clientData/>
  </xdr:twoCellAnchor>
</xdr:wsDr>
</file>

<file path=xl/richData/_rels/rdRichValueWebImage.xml.rels><?xml version="1.0" encoding="UTF-8" standalone="yes"?>
<Relationships xmlns="http://schemas.openxmlformats.org/package/2006/relationships"><Relationship Id="rId117" Type="http://schemas.openxmlformats.org/officeDocument/2006/relationships/hyperlink" Target="https://www.bing.com/th?id=OSK.ONN6sdnC0zBNBWyowIFH9WHGjrukz2ME6i2vrqapB40&amp;qlt=95" TargetMode="External"/><Relationship Id="rId21" Type="http://schemas.openxmlformats.org/officeDocument/2006/relationships/hyperlink" Target="https://www.bing.com/th?id=OSK.5yi95Ipn2eKGX6cfdG-xnWBseUEkEW-w1dGTGtTx4KA&amp;qlt=95" TargetMode="External"/><Relationship Id="rId63" Type="http://schemas.openxmlformats.org/officeDocument/2006/relationships/hyperlink" Target="https://www.bing.com/th?id=OSK.keTd6MG0T6cMMGKnVQdC51-CzX7aPwrykZAuuX154Ug&amp;qlt=95" TargetMode="External"/><Relationship Id="rId159" Type="http://schemas.openxmlformats.org/officeDocument/2006/relationships/hyperlink" Target="https://www.bing.com/th?id=OSK.eb68a9589c3fb0457779f7d1c888fcf8&amp;qlt=95" TargetMode="External"/><Relationship Id="rId170" Type="http://schemas.openxmlformats.org/officeDocument/2006/relationships/hyperlink" Target="https://www.bing.com/images/search?form=xlimg&amp;q=Medina%20(Cundinamarca)" TargetMode="External"/><Relationship Id="rId226" Type="http://schemas.openxmlformats.org/officeDocument/2006/relationships/hyperlink" Target="https://www.bing.com/images/search?form=xlimg&amp;q=Puerto%20Gait%c3%a1n" TargetMode="External"/><Relationship Id="rId268" Type="http://schemas.openxmlformats.org/officeDocument/2006/relationships/hyperlink" Target="https://www.bing.com/images/search?form=xlimg&amp;q=El%20Socorro%20(Santander)" TargetMode="External"/><Relationship Id="rId32" Type="http://schemas.openxmlformats.org/officeDocument/2006/relationships/hyperlink" Target="https://www.bing.com/images/search?form=xlimg&amp;q=Bol%c3%advar%20(Colombia)" TargetMode="External"/><Relationship Id="rId74" Type="http://schemas.openxmlformats.org/officeDocument/2006/relationships/hyperlink" Target="https://www.bing.com/images/search?form=xlimg&amp;q=Florencia%20(Caquet%c3%a1)" TargetMode="External"/><Relationship Id="rId128" Type="http://schemas.openxmlformats.org/officeDocument/2006/relationships/hyperlink" Target="https://www.bing.com/images/search?form=xlimg&amp;q=C%c3%b3rdoba%20(Colombia)" TargetMode="External"/><Relationship Id="rId5" Type="http://schemas.openxmlformats.org/officeDocument/2006/relationships/hyperlink" Target="https://www.bing.com/th?id=OSK.c84872d07c08091ecb5e394ba4c730bf&amp;qlt=95" TargetMode="External"/><Relationship Id="rId181" Type="http://schemas.openxmlformats.org/officeDocument/2006/relationships/hyperlink" Target="https://www.bing.com/th?id=OSK.efed730211f03b31ccadb34e34d38787&amp;qlt=95" TargetMode="External"/><Relationship Id="rId237" Type="http://schemas.openxmlformats.org/officeDocument/2006/relationships/hyperlink" Target="https://www.bing.com/th?id=OSK.9f6e3d86e2700c086b6f5f02ce515881&amp;qlt=95" TargetMode="External"/><Relationship Id="rId279" Type="http://schemas.openxmlformats.org/officeDocument/2006/relationships/hyperlink" Target="https://www.bing.com/th?id=OSK.fhnuo9AQGFYrWBXQDn18-P-CHjlx-blHYXyYehgBb_M&amp;qlt=95" TargetMode="External"/><Relationship Id="rId43" Type="http://schemas.openxmlformats.org/officeDocument/2006/relationships/hyperlink" Target="https://www.bing.com/th?id=OSK.0d593140ddf4556b9821ddfa6a183ec3&amp;qlt=95" TargetMode="External"/><Relationship Id="rId139" Type="http://schemas.openxmlformats.org/officeDocument/2006/relationships/hyperlink" Target="https://www.bing.com/th?id=OSK.7d786fbf61f8408f1480e3296150e7a9&amp;qlt=95" TargetMode="External"/><Relationship Id="rId290" Type="http://schemas.openxmlformats.org/officeDocument/2006/relationships/hyperlink" Target="https://www.bing.com/images/search?form=xlimg&amp;q=Ibagu%c3%a9" TargetMode="External"/><Relationship Id="rId85" Type="http://schemas.openxmlformats.org/officeDocument/2006/relationships/hyperlink" Target="https://www.bing.com/th?id=OSK.8fb5b0227070b3ed942492b063f8a59d&amp;qlt=95" TargetMode="External"/><Relationship Id="rId150" Type="http://schemas.openxmlformats.org/officeDocument/2006/relationships/hyperlink" Target="https://www.bing.com/images/search?form=xlimg&amp;q=Cundinamarca" TargetMode="External"/><Relationship Id="rId192" Type="http://schemas.openxmlformats.org/officeDocument/2006/relationships/hyperlink" Target="https://www.bing.com/images/search?form=xlimg&amp;q=Garz%c3%b3n%20(Huila)" TargetMode="External"/><Relationship Id="rId206" Type="http://schemas.openxmlformats.org/officeDocument/2006/relationships/hyperlink" Target="https://www.bing.com/images/search?form=xlimg&amp;q=Meta%20(Colombia)" TargetMode="External"/><Relationship Id="rId248" Type="http://schemas.openxmlformats.org/officeDocument/2006/relationships/hyperlink" Target="https://www.bing.com/images/search?form=xlimg&amp;q=Quind%c3%ado" TargetMode="External"/><Relationship Id="rId12" Type="http://schemas.openxmlformats.org/officeDocument/2006/relationships/hyperlink" Target="https://www.bing.com/images/search?form=xlimg&amp;q=Rionegro%20(Antioquia)" TargetMode="External"/><Relationship Id="rId33" Type="http://schemas.openxmlformats.org/officeDocument/2006/relationships/hyperlink" Target="https://www.bing.com/th?id=OSK.6645e4cca9d1c23a6e151d7a3cc4681e&amp;qlt=95" TargetMode="External"/><Relationship Id="rId108" Type="http://schemas.openxmlformats.org/officeDocument/2006/relationships/hyperlink" Target="https://www.bing.com/images/search?form=xlimg&amp;q=El%20Bordo%20(Cauca)" TargetMode="External"/><Relationship Id="rId129" Type="http://schemas.openxmlformats.org/officeDocument/2006/relationships/hyperlink" Target="https://www.bing.com/th?id=OSK.9f598644e5ceee5c90a19b4afc2b9d08&amp;qlt=95" TargetMode="External"/><Relationship Id="rId280" Type="http://schemas.openxmlformats.org/officeDocument/2006/relationships/hyperlink" Target="https://www.bing.com/images/search?form=xlimg&amp;q=San%20Marcos%20(Sucre)" TargetMode="External"/><Relationship Id="rId54" Type="http://schemas.openxmlformats.org/officeDocument/2006/relationships/hyperlink" Target="https://www.bing.com/images/search?form=xlimg&amp;q=Soat%c3%a1" TargetMode="External"/><Relationship Id="rId75" Type="http://schemas.openxmlformats.org/officeDocument/2006/relationships/hyperlink" Target="https://www.bing.com/th?id=OSK.70f0ee2b6286ad2994dba198a7ce1c01&amp;qlt=95" TargetMode="External"/><Relationship Id="rId96" Type="http://schemas.openxmlformats.org/officeDocument/2006/relationships/hyperlink" Target="https://www.bing.com/images/search?form=xlimg&amp;q=Hato%20Corozal" TargetMode="External"/><Relationship Id="rId140" Type="http://schemas.openxmlformats.org/officeDocument/2006/relationships/hyperlink" Target="https://www.bing.com/images/search?form=xlimg&amp;q=El%20Banco" TargetMode="External"/><Relationship Id="rId161" Type="http://schemas.openxmlformats.org/officeDocument/2006/relationships/hyperlink" Target="https://www.bing.com/th?id=OSK.13b0df7ca53b4e408ded6817da9708cf&amp;qlt=95" TargetMode="External"/><Relationship Id="rId182" Type="http://schemas.openxmlformats.org/officeDocument/2006/relationships/hyperlink" Target="https://www.bing.com/images/search?form=xlimg&amp;q=Girardot" TargetMode="External"/><Relationship Id="rId217" Type="http://schemas.openxmlformats.org/officeDocument/2006/relationships/hyperlink" Target="https://www.bing.com/th?id=OSK.Xyjb7dTWCpd8rrOFwJj7fBmDHEo0fqApenRAAyiIrvU&amp;qlt=95" TargetMode="External"/><Relationship Id="rId6" Type="http://schemas.openxmlformats.org/officeDocument/2006/relationships/hyperlink" Target="https://www.bing.com/images/search?form=xlimg&amp;q=Necocl%c3%ad" TargetMode="External"/><Relationship Id="rId238" Type="http://schemas.openxmlformats.org/officeDocument/2006/relationships/hyperlink" Target="https://www.bing.com/images/search?form=xlimg&amp;q=La%20Cruz%20(Nari%c3%b1o)" TargetMode="External"/><Relationship Id="rId259" Type="http://schemas.openxmlformats.org/officeDocument/2006/relationships/hyperlink" Target="https://www.bing.com/th?id=OSK.4bc8212f2530089822281a433704a0db&amp;qlt=95" TargetMode="External"/><Relationship Id="rId23" Type="http://schemas.openxmlformats.org/officeDocument/2006/relationships/hyperlink" Target="https://www.bing.com/th?id=OSK.Ed1CxgwYla0FpQ0yAVXsAw8S9qRm2i5iIs2Yc2j09fc&amp;qlt=95" TargetMode="External"/><Relationship Id="rId119" Type="http://schemas.openxmlformats.org/officeDocument/2006/relationships/hyperlink" Target="https://www.bing.com/th?id=OSK.56441fea72c0d47db7a37b60c15da9f3&amp;qlt=95" TargetMode="External"/><Relationship Id="rId270" Type="http://schemas.openxmlformats.org/officeDocument/2006/relationships/hyperlink" Target="https://www.bing.com/images/search?form=xlimg&amp;q=V%c3%a9lez%20(Santander)" TargetMode="External"/><Relationship Id="rId291" Type="http://schemas.openxmlformats.org/officeDocument/2006/relationships/hyperlink" Target="https://www.bing.com/th?id=OSK.9813d2171825340f86f790c264ecb217&amp;qlt=95" TargetMode="External"/><Relationship Id="rId44" Type="http://schemas.openxmlformats.org/officeDocument/2006/relationships/hyperlink" Target="https://www.bing.com/images/search?form=xlimg&amp;q=Boyac%c3%a1" TargetMode="External"/><Relationship Id="rId65" Type="http://schemas.openxmlformats.org/officeDocument/2006/relationships/hyperlink" Target="https://www.bing.com/th?id=OSK.8e457b3f54c1bc4523f3e904e8a45a57&amp;qlt=95" TargetMode="External"/><Relationship Id="rId86" Type="http://schemas.openxmlformats.org/officeDocument/2006/relationships/hyperlink" Target="https://www.bing.com/images/search?form=xlimg&amp;q=Casanare" TargetMode="External"/><Relationship Id="rId130" Type="http://schemas.openxmlformats.org/officeDocument/2006/relationships/hyperlink" Target="https://www.bing.com/images/search?form=xlimg&amp;q=Ceret%c3%a9" TargetMode="External"/><Relationship Id="rId151" Type="http://schemas.openxmlformats.org/officeDocument/2006/relationships/hyperlink" Target="https://www.bing.com/th?id=OSK.eeba5cfc250e83c5cc69f1ab6111a4aa&amp;qlt=95" TargetMode="External"/><Relationship Id="rId172" Type="http://schemas.openxmlformats.org/officeDocument/2006/relationships/hyperlink" Target="https://www.bing.com/images/search?form=xlimg&amp;q=Chocont%c3%a1" TargetMode="External"/><Relationship Id="rId193" Type="http://schemas.openxmlformats.org/officeDocument/2006/relationships/hyperlink" Target="https://www.bing.com/th?id=OSK.0c9ae0d355f5ba9927cd5e51c7062541&amp;qlt=95" TargetMode="External"/><Relationship Id="rId207" Type="http://schemas.openxmlformats.org/officeDocument/2006/relationships/hyperlink" Target="https://www.bing.com/th?id=OSK.ba33a9fd2c7764b26cb9808402e41a43&amp;qlt=95" TargetMode="External"/><Relationship Id="rId228" Type="http://schemas.openxmlformats.org/officeDocument/2006/relationships/hyperlink" Target="https://www.bing.com/images/search?form=xlimg&amp;q=Nari%c3%b1o%20(Colombia)" TargetMode="External"/><Relationship Id="rId249" Type="http://schemas.openxmlformats.org/officeDocument/2006/relationships/hyperlink" Target="https://www.bing.com/th?id=OSK.aa5967386133e6adfa7bed33bec6ac56&amp;qlt=95" TargetMode="External"/><Relationship Id="rId13" Type="http://schemas.openxmlformats.org/officeDocument/2006/relationships/hyperlink" Target="https://www.bing.com/th?id=OSK.59757b82608bec21abeb7cf5408a95d6&amp;qlt=95" TargetMode="External"/><Relationship Id="rId109" Type="http://schemas.openxmlformats.org/officeDocument/2006/relationships/hyperlink" Target="https://www.bing.com/th?id=OSK.5455f69978d8a9517c9c353826bfddee&amp;qlt=95" TargetMode="External"/><Relationship Id="rId260" Type="http://schemas.openxmlformats.org/officeDocument/2006/relationships/hyperlink" Target="https://www.bing.com/images/search?form=xlimg&amp;q=Cimitarra%20(Colombia)" TargetMode="External"/><Relationship Id="rId281" Type="http://schemas.openxmlformats.org/officeDocument/2006/relationships/hyperlink" Target="https://www.bing.com/th?id=OSK.1e0034408fb4e1b2a3cb35eeb556738e&amp;qlt=95" TargetMode="External"/><Relationship Id="rId34" Type="http://schemas.openxmlformats.org/officeDocument/2006/relationships/hyperlink" Target="https://www.bing.com/images/search?form=xlimg&amp;q=Cartagena%20de%20Indias" TargetMode="External"/><Relationship Id="rId55" Type="http://schemas.openxmlformats.org/officeDocument/2006/relationships/hyperlink" Target="https://www.bing.com/th?id=OSK.27cef10ec983239ff567d1189985a824&amp;qlt=95" TargetMode="External"/><Relationship Id="rId76" Type="http://schemas.openxmlformats.org/officeDocument/2006/relationships/hyperlink" Target="https://www.bing.com/images/search?form=xlimg&amp;q=San%20Vicente%20del%20Cagu%c3%a1n" TargetMode="External"/><Relationship Id="rId97" Type="http://schemas.openxmlformats.org/officeDocument/2006/relationships/hyperlink" Target="https://www.bing.com/th?id=OSK.b46fb997f4fe40135672af8df88c0bbe&amp;qlt=95" TargetMode="External"/><Relationship Id="rId120" Type="http://schemas.openxmlformats.org/officeDocument/2006/relationships/hyperlink" Target="https://www.bing.com/images/search?form=xlimg&amp;q=Chiriguan%c3%a1" TargetMode="External"/><Relationship Id="rId141" Type="http://schemas.openxmlformats.org/officeDocument/2006/relationships/hyperlink" Target="https://www.bing.com/th?id=OSK.edb4f6404b9d6ac34d8ebdeca5ab7a89&amp;qlt=95" TargetMode="External"/><Relationship Id="rId7" Type="http://schemas.openxmlformats.org/officeDocument/2006/relationships/hyperlink" Target="https://www.bing.com/th?id=OSK.a416081c695429bb5e048f16905e44bd&amp;qlt=95" TargetMode="External"/><Relationship Id="rId162" Type="http://schemas.openxmlformats.org/officeDocument/2006/relationships/hyperlink" Target="https://www.bing.com/images/search?form=xlimg&amp;q=Fusagasug%c3%a1" TargetMode="External"/><Relationship Id="rId183" Type="http://schemas.openxmlformats.org/officeDocument/2006/relationships/hyperlink" Target="https://www.bing.com/th?id=OSK.a6bfee7bf1f88970a71e1928ae4c168d&amp;qlt=95" TargetMode="External"/><Relationship Id="rId218" Type="http://schemas.openxmlformats.org/officeDocument/2006/relationships/hyperlink" Target="https://www.bing.com/images/search?form=xlimg&amp;q=San%20Mart%c3%adn%20(Meta)" TargetMode="External"/><Relationship Id="rId239" Type="http://schemas.openxmlformats.org/officeDocument/2006/relationships/hyperlink" Target="https://www.bing.com/th?id=OSK.51a6ad6beb4987120e37933ffb988180&amp;qlt=95" TargetMode="External"/><Relationship Id="rId250" Type="http://schemas.openxmlformats.org/officeDocument/2006/relationships/hyperlink" Target="https://www.bing.com/images/search?form=xlimg&amp;q=Armenia%20(Quind%c3%ado)" TargetMode="External"/><Relationship Id="rId271" Type="http://schemas.openxmlformats.org/officeDocument/2006/relationships/hyperlink" Target="https://www.bing.com/th?id=OSK.T1onNgy67AFBon-8TpTEtIAU3mGXED2uOaCkDv60Lh8&amp;qlt=95" TargetMode="External"/><Relationship Id="rId292" Type="http://schemas.openxmlformats.org/officeDocument/2006/relationships/hyperlink" Target="https://www.bing.com/images/search?form=xlimg&amp;q=Valle%20del%20Cauca" TargetMode="External"/><Relationship Id="rId24" Type="http://schemas.openxmlformats.org/officeDocument/2006/relationships/hyperlink" Target="https://www.bing.com/images/search?form=xlimg&amp;q=Tame%20(Arauca)" TargetMode="External"/><Relationship Id="rId45" Type="http://schemas.openxmlformats.org/officeDocument/2006/relationships/hyperlink" Target="https://www.bing.com/th?id=OSK.2abf67acffe7087612c403ddc46d5842&amp;qlt=95" TargetMode="External"/><Relationship Id="rId66" Type="http://schemas.openxmlformats.org/officeDocument/2006/relationships/hyperlink" Target="https://www.bing.com/images/search?form=xlimg&amp;q=Caldas" TargetMode="External"/><Relationship Id="rId87" Type="http://schemas.openxmlformats.org/officeDocument/2006/relationships/hyperlink" Target="https://www.bing.com/th?id=OSK.8c8a8aebf73b690c559a3dd000c9d254&amp;qlt=95" TargetMode="External"/><Relationship Id="rId110" Type="http://schemas.openxmlformats.org/officeDocument/2006/relationships/hyperlink" Target="https://www.bing.com/images/search?form=xlimg&amp;q=Cesar" TargetMode="External"/><Relationship Id="rId131" Type="http://schemas.openxmlformats.org/officeDocument/2006/relationships/hyperlink" Target="https://www.bing.com/th?id=OSK.533c7caf353f73702d7bc04ee62dade6&amp;qlt=95" TargetMode="External"/><Relationship Id="rId152" Type="http://schemas.openxmlformats.org/officeDocument/2006/relationships/hyperlink" Target="https://www.bing.com/images/search?form=xlimg&amp;q=Soacha" TargetMode="External"/><Relationship Id="rId173" Type="http://schemas.openxmlformats.org/officeDocument/2006/relationships/hyperlink" Target="https://www.bing.com/th?id=OSK.41bb2a156c9b8097d5278371ccd8a482&amp;qlt=95" TargetMode="External"/><Relationship Id="rId194" Type="http://schemas.openxmlformats.org/officeDocument/2006/relationships/hyperlink" Target="https://www.bing.com/images/search?form=xlimg&amp;q=Magdalena%20(Colombia)" TargetMode="External"/><Relationship Id="rId208" Type="http://schemas.openxmlformats.org/officeDocument/2006/relationships/hyperlink" Target="https://www.bing.com/images/search?form=xlimg&amp;q=Villavicencio" TargetMode="External"/><Relationship Id="rId229" Type="http://schemas.openxmlformats.org/officeDocument/2006/relationships/hyperlink" Target="https://www.bing.com/th?id=OSK.ad3734b3bf176d771c204e307078d2e9&amp;qlt=95" TargetMode="External"/><Relationship Id="rId240" Type="http://schemas.openxmlformats.org/officeDocument/2006/relationships/hyperlink" Target="https://www.bing.com/images/search?form=xlimg&amp;q=Norte%20de%20Santander" TargetMode="External"/><Relationship Id="rId261" Type="http://schemas.openxmlformats.org/officeDocument/2006/relationships/hyperlink" Target="https://www.bing.com/th?id=OSK.f099d1241557d8a1efe91641c605bdd4&amp;qlt=95" TargetMode="External"/><Relationship Id="rId14" Type="http://schemas.openxmlformats.org/officeDocument/2006/relationships/hyperlink" Target="https://www.bing.com/images/search?form=xlimg&amp;q=La%20Pintada%20(Antioquia)" TargetMode="External"/><Relationship Id="rId35" Type="http://schemas.openxmlformats.org/officeDocument/2006/relationships/hyperlink" Target="https://www.bing.com/th?id=OSK.8f88b9d67dfdd0f913f35789a3fee24c&amp;qlt=95" TargetMode="External"/><Relationship Id="rId56" Type="http://schemas.openxmlformats.org/officeDocument/2006/relationships/hyperlink" Target="https://www.bing.com/images/search?form=xlimg&amp;q=Garagoa" TargetMode="External"/><Relationship Id="rId77" Type="http://schemas.openxmlformats.org/officeDocument/2006/relationships/hyperlink" Target="https://www.bing.com/th?id=OSK.09064407578313757f317ac711322ccf&amp;qlt=95" TargetMode="External"/><Relationship Id="rId100" Type="http://schemas.openxmlformats.org/officeDocument/2006/relationships/hyperlink" Target="https://www.bing.com/images/search?form=xlimg&amp;q=Orocu%c3%a9" TargetMode="External"/><Relationship Id="rId282" Type="http://schemas.openxmlformats.org/officeDocument/2006/relationships/hyperlink" Target="https://www.bing.com/images/search?form=xlimg&amp;q=San%20Onofre%20(Sucre)" TargetMode="External"/><Relationship Id="rId8" Type="http://schemas.openxmlformats.org/officeDocument/2006/relationships/hyperlink" Target="https://www.bing.com/images/search?form=xlimg&amp;q=Turbo%20(Antioquia)" TargetMode="External"/><Relationship Id="rId98" Type="http://schemas.openxmlformats.org/officeDocument/2006/relationships/hyperlink" Target="https://www.bing.com/images/search?form=xlimg&amp;q=Trinidad%20(Casanare)" TargetMode="External"/><Relationship Id="rId121" Type="http://schemas.openxmlformats.org/officeDocument/2006/relationships/hyperlink" Target="https://www.bing.com/th?id=OSK.3952ff71c30c16b44286b4fc699f2499&amp;qlt=95" TargetMode="External"/><Relationship Id="rId142" Type="http://schemas.openxmlformats.org/officeDocument/2006/relationships/hyperlink" Target="https://www.bing.com/images/search?form=xlimg&amp;q=Valencia" TargetMode="External"/><Relationship Id="rId163" Type="http://schemas.openxmlformats.org/officeDocument/2006/relationships/hyperlink" Target="https://www.bing.com/th?id=OSK.4212e8082d4d4ed4febb98b25d79adbe&amp;qlt=95" TargetMode="External"/><Relationship Id="rId184" Type="http://schemas.openxmlformats.org/officeDocument/2006/relationships/hyperlink" Target="https://www.bing.com/images/search?form=xlimg&amp;q=Huila" TargetMode="External"/><Relationship Id="rId219" Type="http://schemas.openxmlformats.org/officeDocument/2006/relationships/hyperlink" Target="https://www.bing.com/th?id=OSK.3a46afa16b2429798e98aef5d7ebd116&amp;qlt=95" TargetMode="External"/><Relationship Id="rId230" Type="http://schemas.openxmlformats.org/officeDocument/2006/relationships/hyperlink" Target="https://www.bing.com/images/search?form=xlimg&amp;q=Pasto%20(Colombia)" TargetMode="External"/><Relationship Id="rId251" Type="http://schemas.openxmlformats.org/officeDocument/2006/relationships/hyperlink" Target="https://www.bing.com/th?id=OSK.0d7462ce472cfa1e2f80e3cf29bb3162&amp;qlt=95" TargetMode="External"/><Relationship Id="rId25" Type="http://schemas.openxmlformats.org/officeDocument/2006/relationships/hyperlink" Target="https://www.bing.com/th?id=OSK.acdaf6ea8d26be21a8b801efcdd1c6ac&amp;qlt=95" TargetMode="External"/><Relationship Id="rId46" Type="http://schemas.openxmlformats.org/officeDocument/2006/relationships/hyperlink" Target="https://www.bing.com/images/search?form=xlimg&amp;q=Sogamoso" TargetMode="External"/><Relationship Id="rId67" Type="http://schemas.openxmlformats.org/officeDocument/2006/relationships/hyperlink" Target="https://www.bing.com/th?id=OSK.3a2c1d71cb8766e69306e710dfaa77e6&amp;qlt=95" TargetMode="External"/><Relationship Id="rId272" Type="http://schemas.openxmlformats.org/officeDocument/2006/relationships/hyperlink" Target="https://www.bing.com/images/search?form=xlimg&amp;q=Sucre%20(Colombia)" TargetMode="External"/><Relationship Id="rId293" Type="http://schemas.openxmlformats.org/officeDocument/2006/relationships/hyperlink" Target="https://www.bing.com/th?id=OSK.d002dd426afd7dd5934c7b18cd57cad0&amp;qlt=95" TargetMode="External"/><Relationship Id="rId88" Type="http://schemas.openxmlformats.org/officeDocument/2006/relationships/hyperlink" Target="https://www.bing.com/images/search?form=xlimg&amp;q=Yopal" TargetMode="External"/><Relationship Id="rId111" Type="http://schemas.openxmlformats.org/officeDocument/2006/relationships/hyperlink" Target="https://www.bing.com/th?id=OSK.2399d8662da234e0b9c2c98f52a8eb3f&amp;qlt=95" TargetMode="External"/><Relationship Id="rId132" Type="http://schemas.openxmlformats.org/officeDocument/2006/relationships/hyperlink" Target="https://www.bing.com/images/search?form=xlimg&amp;q=Monter%c3%ada" TargetMode="External"/><Relationship Id="rId153" Type="http://schemas.openxmlformats.org/officeDocument/2006/relationships/hyperlink" Target="https://www.bing.com/th?id=OSK.0b8af62effd7caede7f0210cd83d9210&amp;qlt=95" TargetMode="External"/><Relationship Id="rId174" Type="http://schemas.openxmlformats.org/officeDocument/2006/relationships/hyperlink" Target="https://www.bing.com/images/search?form=xlimg&amp;q=Facatativ%c3%a1" TargetMode="External"/><Relationship Id="rId195" Type="http://schemas.openxmlformats.org/officeDocument/2006/relationships/hyperlink" Target="https://www.bing.com/th?id=OSK.72e5545016154c1b13f06a01235648cc&amp;qlt=95" TargetMode="External"/><Relationship Id="rId209" Type="http://schemas.openxmlformats.org/officeDocument/2006/relationships/hyperlink" Target="https://www.bing.com/th?id=OSK.b09d2fc66b01ea18e0f2fa1b8f5e315b&amp;qlt=95" TargetMode="External"/><Relationship Id="rId220" Type="http://schemas.openxmlformats.org/officeDocument/2006/relationships/hyperlink" Target="https://www.bing.com/images/search?form=xlimg&amp;q=Granada%20(Meta)" TargetMode="External"/><Relationship Id="rId241" Type="http://schemas.openxmlformats.org/officeDocument/2006/relationships/hyperlink" Target="https://www.bing.com/th?id=OSK.51a6ad6beb4987120e37933ffb988180&amp;qlt=95" TargetMode="External"/><Relationship Id="rId15" Type="http://schemas.openxmlformats.org/officeDocument/2006/relationships/hyperlink" Target="https://www.bing.com/th?id=OSK.cdc8d9d3c01a46caf00444b87076aab6&amp;qlt=95" TargetMode="External"/><Relationship Id="rId36" Type="http://schemas.openxmlformats.org/officeDocument/2006/relationships/hyperlink" Target="https://www.bing.com/images/search?form=xlimg&amp;q=Santa%20Cruz%20de%20Mompox" TargetMode="External"/><Relationship Id="rId57" Type="http://schemas.openxmlformats.org/officeDocument/2006/relationships/hyperlink" Target="https://www.bing.com/th?id=OSK.0fbd9e66fe5bea2770b24886a5e57612&amp;qlt=95" TargetMode="External"/><Relationship Id="rId262" Type="http://schemas.openxmlformats.org/officeDocument/2006/relationships/hyperlink" Target="https://www.bing.com/images/search?form=xlimg&amp;q=Sabana%20de%20Torres" TargetMode="External"/><Relationship Id="rId283" Type="http://schemas.openxmlformats.org/officeDocument/2006/relationships/hyperlink" Target="https://www.bing.com/th?id=OSK.iDGYVwwAbmO3CiSdFOQRjuUeniiNgDUU9X0s9QmCWws&amp;qlt=95" TargetMode="External"/><Relationship Id="rId78" Type="http://schemas.openxmlformats.org/officeDocument/2006/relationships/hyperlink" Target="https://www.bing.com/images/search?form=xlimg&amp;q=Puerto%20Rico%20(Caquet%c3%a1)" TargetMode="External"/><Relationship Id="rId99" Type="http://schemas.openxmlformats.org/officeDocument/2006/relationships/hyperlink" Target="https://www.bing.com/th?id=OSK.43dcf80ad9aec6d89e345ae5612bc0da&amp;qlt=95" TargetMode="External"/><Relationship Id="rId101" Type="http://schemas.openxmlformats.org/officeDocument/2006/relationships/hyperlink" Target="https://www.bing.com/th?id=OSK.ca28bc7f6ea1a2af24c712db31d74094&amp;qlt=95" TargetMode="External"/><Relationship Id="rId122" Type="http://schemas.openxmlformats.org/officeDocument/2006/relationships/hyperlink" Target="https://www.bing.com/images/search?form=xlimg&amp;q=Pailitas" TargetMode="External"/><Relationship Id="rId143" Type="http://schemas.openxmlformats.org/officeDocument/2006/relationships/hyperlink" Target="https://www.bing.com/th?id=OSK.959619ef50959ce5c0679d762aed4e69&amp;qlt=95" TargetMode="External"/><Relationship Id="rId164" Type="http://schemas.openxmlformats.org/officeDocument/2006/relationships/hyperlink" Target="https://www.bing.com/images/search?form=xlimg&amp;q=Zipaquir%c3%a1" TargetMode="External"/><Relationship Id="rId185" Type="http://schemas.openxmlformats.org/officeDocument/2006/relationships/hyperlink" Target="https://www.bing.com/th?id=OSK.9f92f7397744c86870d0f2d689570189&amp;qlt=95" TargetMode="External"/><Relationship Id="rId9" Type="http://schemas.openxmlformats.org/officeDocument/2006/relationships/hyperlink" Target="https://www.bing.com/th?id=OSK.b4888f2d98d1a1945cc5b12e3542f9d4&amp;qlt=95" TargetMode="External"/><Relationship Id="rId210" Type="http://schemas.openxmlformats.org/officeDocument/2006/relationships/hyperlink" Target="https://www.bing.com/images/search?form=xlimg&amp;q=Restrepo%20(Meta)" TargetMode="External"/><Relationship Id="rId26" Type="http://schemas.openxmlformats.org/officeDocument/2006/relationships/hyperlink" Target="https://www.bing.com/images/search?form=xlimg&amp;q=Saravena" TargetMode="External"/><Relationship Id="rId231" Type="http://schemas.openxmlformats.org/officeDocument/2006/relationships/hyperlink" Target="https://www.bing.com/th?id=OSK.16319db2419c7ee7877db701c2f88846&amp;qlt=95" TargetMode="External"/><Relationship Id="rId252" Type="http://schemas.openxmlformats.org/officeDocument/2006/relationships/hyperlink" Target="https://www.bing.com/images/search?form=xlimg&amp;q=Barrancabermeja" TargetMode="External"/><Relationship Id="rId273" Type="http://schemas.openxmlformats.org/officeDocument/2006/relationships/hyperlink" Target="https://www.bing.com/th?id=OSK.0537b3ba1a5988580c4e717deacebead&amp;qlt=95" TargetMode="External"/><Relationship Id="rId294" Type="http://schemas.openxmlformats.org/officeDocument/2006/relationships/hyperlink" Target="https://www.bing.com/images/search?form=xlimg&amp;q=Palmira%20(Colombia)" TargetMode="External"/><Relationship Id="rId47" Type="http://schemas.openxmlformats.org/officeDocument/2006/relationships/hyperlink" Target="https://www.bing.com/th?id=OSK.9f783d7e0fbffa99734f1157b8de143a&amp;qlt=95" TargetMode="External"/><Relationship Id="rId68" Type="http://schemas.openxmlformats.org/officeDocument/2006/relationships/hyperlink" Target="https://www.bing.com/images/search?form=xlimg&amp;q=La%20Dorada%20(Caldas)" TargetMode="External"/><Relationship Id="rId89" Type="http://schemas.openxmlformats.org/officeDocument/2006/relationships/hyperlink" Target="https://www.bing.com/th?id=OSK.992e978e44f7996b7fab3208620b2c39&amp;qlt=95" TargetMode="External"/><Relationship Id="rId112" Type="http://schemas.openxmlformats.org/officeDocument/2006/relationships/hyperlink" Target="https://www.bing.com/images/search?form=xlimg&amp;q=Aguachica" TargetMode="External"/><Relationship Id="rId133" Type="http://schemas.openxmlformats.org/officeDocument/2006/relationships/hyperlink" Target="https://www.bing.com/th?id=OSK.2890d698eaa070525cb28618b4d99930&amp;qlt=95" TargetMode="External"/><Relationship Id="rId154" Type="http://schemas.openxmlformats.org/officeDocument/2006/relationships/hyperlink" Target="https://www.bing.com/images/search?form=xlimg&amp;q=Tabio" TargetMode="External"/><Relationship Id="rId175" Type="http://schemas.openxmlformats.org/officeDocument/2006/relationships/hyperlink" Target="https://www.bing.com/th?id=OSK.4d5c16bfdbcac8538af61713e0d410b2&amp;qlt=95" TargetMode="External"/><Relationship Id="rId196" Type="http://schemas.openxmlformats.org/officeDocument/2006/relationships/hyperlink" Target="https://www.bing.com/images/search?form=xlimg&amp;q=Zona%20Bananera" TargetMode="External"/><Relationship Id="rId200" Type="http://schemas.openxmlformats.org/officeDocument/2006/relationships/hyperlink" Target="https://www.bing.com/images/search?form=xlimg&amp;q=Santa%20Marta%20(Colombia)" TargetMode="External"/><Relationship Id="rId16" Type="http://schemas.openxmlformats.org/officeDocument/2006/relationships/hyperlink" Target="https://www.bing.com/images/search?form=xlimg&amp;q=Caucasia" TargetMode="External"/><Relationship Id="rId221" Type="http://schemas.openxmlformats.org/officeDocument/2006/relationships/hyperlink" Target="https://www.bing.com/th?id=OSK.JS24YxJper6AfM-vYTujxSHBsqT_dS1Aeyf_6IBsLKw&amp;qlt=95" TargetMode="External"/><Relationship Id="rId242" Type="http://schemas.openxmlformats.org/officeDocument/2006/relationships/hyperlink" Target="https://www.bing.com/images/search?form=xlimg&amp;q=C%c3%bacuta" TargetMode="External"/><Relationship Id="rId263" Type="http://schemas.openxmlformats.org/officeDocument/2006/relationships/hyperlink" Target="https://www.bing.com/th?id=OSK.4c62d9c612a582780e30161eb8ea8a02&amp;qlt=95" TargetMode="External"/><Relationship Id="rId284" Type="http://schemas.openxmlformats.org/officeDocument/2006/relationships/hyperlink" Target="https://www.bing.com/images/search?form=xlimg&amp;q=Sinc%c3%a9" TargetMode="External"/><Relationship Id="rId37" Type="http://schemas.openxmlformats.org/officeDocument/2006/relationships/hyperlink" Target="https://www.bing.com/th?id=OSK.8b1607aaaa1e8f25f6c4f477af65d9d5&amp;qlt=95" TargetMode="External"/><Relationship Id="rId58" Type="http://schemas.openxmlformats.org/officeDocument/2006/relationships/hyperlink" Target="https://www.bing.com/images/search?form=xlimg&amp;q=Moniquir%c3%a1" TargetMode="External"/><Relationship Id="rId79" Type="http://schemas.openxmlformats.org/officeDocument/2006/relationships/hyperlink" Target="https://www.bing.com/th?id=OSK.967616634b5a4b1218da094470b63c22&amp;qlt=95" TargetMode="External"/><Relationship Id="rId102" Type="http://schemas.openxmlformats.org/officeDocument/2006/relationships/hyperlink" Target="https://www.bing.com/images/search?form=xlimg&amp;q=Cauca%20(Colombia)" TargetMode="External"/><Relationship Id="rId123" Type="http://schemas.openxmlformats.org/officeDocument/2006/relationships/hyperlink" Target="https://www.bing.com/th?id=OSK.499f071f50ac9be79e1b1ff5a798049b&amp;qlt=95" TargetMode="External"/><Relationship Id="rId144" Type="http://schemas.openxmlformats.org/officeDocument/2006/relationships/hyperlink" Target="https://www.bing.com/images/search?form=xlimg&amp;q=Tierralta" TargetMode="External"/><Relationship Id="rId90" Type="http://schemas.openxmlformats.org/officeDocument/2006/relationships/hyperlink" Target="https://www.bing.com/images/search?form=xlimg&amp;q=Villanueva%20(Casanare)" TargetMode="External"/><Relationship Id="rId165" Type="http://schemas.openxmlformats.org/officeDocument/2006/relationships/hyperlink" Target="https://www.bing.com/th?id=OSK.iOJdWekaAIJ3IyGpJEmO9BNwwLaxXNHRFfZumc474zQ&amp;qlt=95" TargetMode="External"/><Relationship Id="rId186" Type="http://schemas.openxmlformats.org/officeDocument/2006/relationships/hyperlink" Target="https://www.bing.com/images/search?form=xlimg&amp;q=Neiva" TargetMode="External"/><Relationship Id="rId211" Type="http://schemas.openxmlformats.org/officeDocument/2006/relationships/hyperlink" Target="https://www.bing.com/th?id=OSK.8a145dc8b242e000b823d89eb3519900&amp;qlt=95" TargetMode="External"/><Relationship Id="rId232" Type="http://schemas.openxmlformats.org/officeDocument/2006/relationships/hyperlink" Target="https://www.bing.com/images/search?form=xlimg&amp;q=Ipiales" TargetMode="External"/><Relationship Id="rId253" Type="http://schemas.openxmlformats.org/officeDocument/2006/relationships/hyperlink" Target="https://www.bing.com/th?id=OSK.4cd6a36adf7e486cd82954cdd6ac624d&amp;qlt=95" TargetMode="External"/><Relationship Id="rId274" Type="http://schemas.openxmlformats.org/officeDocument/2006/relationships/hyperlink" Target="https://www.bing.com/images/search?form=xlimg&amp;q=Sincelejo" TargetMode="External"/><Relationship Id="rId295" Type="http://schemas.openxmlformats.org/officeDocument/2006/relationships/hyperlink" Target="https://www.bing.com/th?id=OSK.394d5d70ce2abedd8d930d971b672f2f&amp;qlt=95" TargetMode="External"/><Relationship Id="rId27" Type="http://schemas.openxmlformats.org/officeDocument/2006/relationships/hyperlink" Target="https://www.bing.com/th?id=OSK.cdf6256862f91facd97580e2e4b5aafd&amp;qlt=95" TargetMode="External"/><Relationship Id="rId48" Type="http://schemas.openxmlformats.org/officeDocument/2006/relationships/hyperlink" Target="https://www.bing.com/images/search?form=xlimg&amp;q=Duitama" TargetMode="External"/><Relationship Id="rId69" Type="http://schemas.openxmlformats.org/officeDocument/2006/relationships/hyperlink" Target="https://www.bing.com/th?id=OSK.4xUiS6BEcagDNZO1OiwxlheyJmJLovCYdlV83l-cGfg&amp;qlt=95" TargetMode="External"/><Relationship Id="rId113" Type="http://schemas.openxmlformats.org/officeDocument/2006/relationships/hyperlink" Target="https://www.bing.com/th?id=OSK.803169b20131d0227ddf8c61a7bfd632&amp;qlt=95" TargetMode="External"/><Relationship Id="rId134" Type="http://schemas.openxmlformats.org/officeDocument/2006/relationships/hyperlink" Target="https://www.bing.com/images/search?form=xlimg&amp;q=Santa%20Cruz%20de%20Lorica" TargetMode="External"/><Relationship Id="rId80" Type="http://schemas.openxmlformats.org/officeDocument/2006/relationships/hyperlink" Target="https://www.bing.com/images/search?form=xlimg&amp;q=Roncello" TargetMode="External"/><Relationship Id="rId155" Type="http://schemas.openxmlformats.org/officeDocument/2006/relationships/hyperlink" Target="https://www.bing.com/th?id=OSK.b2361c89cc603001402940e17a32dce9&amp;qlt=95" TargetMode="External"/><Relationship Id="rId176" Type="http://schemas.openxmlformats.org/officeDocument/2006/relationships/hyperlink" Target="https://www.bing.com/images/search?form=xlimg&amp;q=Villeta%20(Cundinamarca)" TargetMode="External"/><Relationship Id="rId197" Type="http://schemas.openxmlformats.org/officeDocument/2006/relationships/hyperlink" Target="https://www.bing.com/th?id=OSK.9e341938197aeb2e9c7e8dcae2f0dc71&amp;qlt=95" TargetMode="External"/><Relationship Id="rId201" Type="http://schemas.openxmlformats.org/officeDocument/2006/relationships/hyperlink" Target="https://www.bing.com/th?id=OSK.b7469cd717dbba151db9200eb9bb4e97&amp;qlt=95" TargetMode="External"/><Relationship Id="rId222" Type="http://schemas.openxmlformats.org/officeDocument/2006/relationships/hyperlink" Target="https://www.bing.com/images/search?form=xlimg&amp;q=San%20Juan%20de%20Arama" TargetMode="External"/><Relationship Id="rId243" Type="http://schemas.openxmlformats.org/officeDocument/2006/relationships/hyperlink" Target="https://www.bing.com/th?id=OSK.c08ed7bab5f032fc2051a6a70038bff9&amp;qlt=95" TargetMode="External"/><Relationship Id="rId264" Type="http://schemas.openxmlformats.org/officeDocument/2006/relationships/hyperlink" Target="https://www.bing.com/images/search?form=xlimg&amp;q=M%c3%a1laga%20(Santander)" TargetMode="External"/><Relationship Id="rId285" Type="http://schemas.openxmlformats.org/officeDocument/2006/relationships/hyperlink" Target="https://www.bing.com/th?id=OSK.2XWZqfTIyopxDkwlR-x4TDg-afLdkbbWi69U-5yXQCk&amp;qlt=95" TargetMode="External"/><Relationship Id="rId17" Type="http://schemas.openxmlformats.org/officeDocument/2006/relationships/hyperlink" Target="https://www.bing.com/th?id=OSK.34ddb76eedd5474427ab3f690ba240a7&amp;qlt=95" TargetMode="External"/><Relationship Id="rId38" Type="http://schemas.openxmlformats.org/officeDocument/2006/relationships/hyperlink" Target="https://www.bing.com/images/search?form=xlimg&amp;q=Magangu%c3%a9" TargetMode="External"/><Relationship Id="rId59" Type="http://schemas.openxmlformats.org/officeDocument/2006/relationships/hyperlink" Target="https://www.bing.com/th?id=OSK.9eb5ca4cf0d2b2e922c7ec04d4c80b53&amp;qlt=95" TargetMode="External"/><Relationship Id="rId103" Type="http://schemas.openxmlformats.org/officeDocument/2006/relationships/hyperlink" Target="https://www.bing.com/th?id=OSK.cdcb073e2be8aeac64dac34d47ab7987&amp;qlt=95" TargetMode="External"/><Relationship Id="rId124" Type="http://schemas.openxmlformats.org/officeDocument/2006/relationships/hyperlink" Target="https://www.bing.com/images/search?form=xlimg&amp;q=San%20Juan%20del%20Cesar" TargetMode="External"/><Relationship Id="rId70" Type="http://schemas.openxmlformats.org/officeDocument/2006/relationships/hyperlink" Target="https://www.bing.com/images/search?form=xlimg&amp;q=Manizales" TargetMode="External"/><Relationship Id="rId91" Type="http://schemas.openxmlformats.org/officeDocument/2006/relationships/hyperlink" Target="https://www.bing.com/th?id=OSK.72c28cb384fb64df5b9f412b3fda5cc3&amp;qlt=95" TargetMode="External"/><Relationship Id="rId145" Type="http://schemas.openxmlformats.org/officeDocument/2006/relationships/hyperlink" Target="https://www.bing.com/th?id=OSK.e46018dc0a9888ba7433f8b77e9a6688&amp;qlt=95" TargetMode="External"/><Relationship Id="rId166" Type="http://schemas.openxmlformats.org/officeDocument/2006/relationships/hyperlink" Target="https://www.bing.com/images/search?form=xlimg&amp;q=Yacop%c3%ad" TargetMode="External"/><Relationship Id="rId187" Type="http://schemas.openxmlformats.org/officeDocument/2006/relationships/hyperlink" Target="https://www.bing.com/th?id=OSK.928fe641361b73ab8bf5c4b397253cd3&amp;qlt=95" TargetMode="External"/><Relationship Id="rId1" Type="http://schemas.openxmlformats.org/officeDocument/2006/relationships/hyperlink" Target="https://www.bing.com/th?id=OSK.AKvodqriGP6J59xBST20FuCazUYlaLIJH7osmNRcjW4&amp;qlt=95" TargetMode="External"/><Relationship Id="rId212" Type="http://schemas.openxmlformats.org/officeDocument/2006/relationships/hyperlink" Target="https://www.bing.com/images/search?form=xlimg&amp;q=Cumaral" TargetMode="External"/><Relationship Id="rId233" Type="http://schemas.openxmlformats.org/officeDocument/2006/relationships/hyperlink" Target="https://www.bing.com/th?id=OSK.21105364143ea1a4f8a1d16d48cd15cb&amp;qlt=95" TargetMode="External"/><Relationship Id="rId254" Type="http://schemas.openxmlformats.org/officeDocument/2006/relationships/hyperlink" Target="https://www.bing.com/images/search?form=xlimg&amp;q=Santander%20(Colombia)" TargetMode="External"/><Relationship Id="rId28" Type="http://schemas.openxmlformats.org/officeDocument/2006/relationships/hyperlink" Target="https://www.bing.com/images/search?form=xlimg&amp;q=Atl%c3%a1ntico%20(Colombia)" TargetMode="External"/><Relationship Id="rId49" Type="http://schemas.openxmlformats.org/officeDocument/2006/relationships/hyperlink" Target="https://www.bing.com/th?id=OSK.69BJ3Fs4bzcZkdUyHHhLMWNe61WplisUI5YN7G5ubp0&amp;qlt=95" TargetMode="External"/><Relationship Id="rId114" Type="http://schemas.openxmlformats.org/officeDocument/2006/relationships/hyperlink" Target="https://www.bing.com/images/search?form=xlimg&amp;q=Valledupar" TargetMode="External"/><Relationship Id="rId275" Type="http://schemas.openxmlformats.org/officeDocument/2006/relationships/hyperlink" Target="https://www.bing.com/th?id=OSK.45290e1f32c6c3ca05012368c1b00377&amp;qlt=95" TargetMode="External"/><Relationship Id="rId296" Type="http://schemas.openxmlformats.org/officeDocument/2006/relationships/hyperlink" Target="https://www.bing.com/images/search?form=xlimg&amp;q=Tulu%c3%a1" TargetMode="External"/><Relationship Id="rId60" Type="http://schemas.openxmlformats.org/officeDocument/2006/relationships/hyperlink" Target="https://www.bing.com/images/search?form=xlimg&amp;q=Puerto%20Boyac%c3%a1" TargetMode="External"/><Relationship Id="rId81" Type="http://schemas.openxmlformats.org/officeDocument/2006/relationships/hyperlink" Target="https://www.bing.com/th?id=OSK.Ac20zTYXW7KFMZ1SuhxYXVF-WF7FihWzk2zB9sCUb80&amp;qlt=95" TargetMode="External"/><Relationship Id="rId135" Type="http://schemas.openxmlformats.org/officeDocument/2006/relationships/hyperlink" Target="https://www.bing.com/th?id=OSK.9f172c2f39fc78c2cd6c65fd850f40be&amp;qlt=95" TargetMode="External"/><Relationship Id="rId156" Type="http://schemas.openxmlformats.org/officeDocument/2006/relationships/hyperlink" Target="https://www.bing.com/images/search?form=xlimg&amp;q=Ch%c3%ada%20(Colombia)" TargetMode="External"/><Relationship Id="rId177" Type="http://schemas.openxmlformats.org/officeDocument/2006/relationships/hyperlink" Target="https://www.bing.com/th?id=OSK.cd745a831294b81348ff9c6374081e90&amp;qlt=95" TargetMode="External"/><Relationship Id="rId198" Type="http://schemas.openxmlformats.org/officeDocument/2006/relationships/hyperlink" Target="https://www.bing.com/images/search?form=xlimg&amp;q=Fundaci%c3%b3n%20(Magdalena)" TargetMode="External"/><Relationship Id="rId202" Type="http://schemas.openxmlformats.org/officeDocument/2006/relationships/hyperlink" Target="https://www.bing.com/images/search?form=xlimg&amp;q=Ariguan%c3%ad" TargetMode="External"/><Relationship Id="rId223" Type="http://schemas.openxmlformats.org/officeDocument/2006/relationships/hyperlink" Target="https://www.bing.com/th?id=OSK.428b0fe14c7a8790e247e2bbfac73b16&amp;qlt=95" TargetMode="External"/><Relationship Id="rId244" Type="http://schemas.openxmlformats.org/officeDocument/2006/relationships/hyperlink" Target="https://www.bing.com/images/search?form=xlimg&amp;q=Paestum" TargetMode="External"/><Relationship Id="rId18" Type="http://schemas.openxmlformats.org/officeDocument/2006/relationships/hyperlink" Target="https://www.bing.com/images/search?form=xlimg&amp;q=Puerto%20Berr%c3%ado" TargetMode="External"/><Relationship Id="rId39" Type="http://schemas.openxmlformats.org/officeDocument/2006/relationships/hyperlink" Target="https://www.bing.com/th?id=OSK.079487e1a62421e897f0b86e069fe930&amp;qlt=95" TargetMode="External"/><Relationship Id="rId265" Type="http://schemas.openxmlformats.org/officeDocument/2006/relationships/hyperlink" Target="https://www.bing.com/th?id=OSK.982efe07522638acb3e414b49ab4b18c&amp;qlt=95" TargetMode="External"/><Relationship Id="rId286" Type="http://schemas.openxmlformats.org/officeDocument/2006/relationships/hyperlink" Target="https://www.bing.com/images/search?form=xlimg&amp;q=Toluviejo" TargetMode="External"/><Relationship Id="rId50" Type="http://schemas.openxmlformats.org/officeDocument/2006/relationships/hyperlink" Target="https://www.bing.com/images/search?form=xlimg&amp;q=Tunja" TargetMode="External"/><Relationship Id="rId104" Type="http://schemas.openxmlformats.org/officeDocument/2006/relationships/hyperlink" Target="https://www.bing.com/images/search?form=xlimg&amp;q=Popay%c3%a1n" TargetMode="External"/><Relationship Id="rId125" Type="http://schemas.openxmlformats.org/officeDocument/2006/relationships/hyperlink" Target="https://www.bing.com/th?id=OSK.b2f495a2391193f9e60c9921a29fc5da&amp;qlt=95" TargetMode="External"/><Relationship Id="rId146" Type="http://schemas.openxmlformats.org/officeDocument/2006/relationships/hyperlink" Target="https://www.bing.com/images/search?form=xlimg&amp;q=Ayapel" TargetMode="External"/><Relationship Id="rId167" Type="http://schemas.openxmlformats.org/officeDocument/2006/relationships/hyperlink" Target="https://www.bing.com/th?id=OSK.d32ce56fc87d39ca382c092c311f8e59&amp;qlt=95" TargetMode="External"/><Relationship Id="rId188" Type="http://schemas.openxmlformats.org/officeDocument/2006/relationships/hyperlink" Target="https://www.bing.com/images/search?form=xlimg&amp;q=Pitalito" TargetMode="External"/><Relationship Id="rId71" Type="http://schemas.openxmlformats.org/officeDocument/2006/relationships/hyperlink" Target="https://www.bing.com/th?id=OSK.b810c226716ce0974d3a716e5ffe4a5a&amp;qlt=95" TargetMode="External"/><Relationship Id="rId92" Type="http://schemas.openxmlformats.org/officeDocument/2006/relationships/hyperlink" Target="https://www.bing.com/images/search?form=xlimg&amp;q=Tauramena" TargetMode="External"/><Relationship Id="rId213" Type="http://schemas.openxmlformats.org/officeDocument/2006/relationships/hyperlink" Target="https://www.bing.com/th?id=OSK.4c504c453794830d111673e3502ae640&amp;qlt=95" TargetMode="External"/><Relationship Id="rId234" Type="http://schemas.openxmlformats.org/officeDocument/2006/relationships/hyperlink" Target="https://www.bing.com/images/search?form=xlimg&amp;q=T%c3%baquerres" TargetMode="External"/><Relationship Id="rId2" Type="http://schemas.openxmlformats.org/officeDocument/2006/relationships/hyperlink" Target="https://www.bing.com/images/search?form=xlimg&amp;q=Antioquia" TargetMode="External"/><Relationship Id="rId29" Type="http://schemas.openxmlformats.org/officeDocument/2006/relationships/hyperlink" Target="https://www.bing.com/th?id=OSK.ab9dffb3f08a4566341ac0565cac1bab&amp;qlt=95" TargetMode="External"/><Relationship Id="rId255" Type="http://schemas.openxmlformats.org/officeDocument/2006/relationships/hyperlink" Target="https://www.bing.com/th?id=OSK.874ee8a56e6937c5a0005987aba78454&amp;qlt=95" TargetMode="External"/><Relationship Id="rId276" Type="http://schemas.openxmlformats.org/officeDocument/2006/relationships/hyperlink" Target="https://www.bing.com/images/search?form=xlimg&amp;q=Corozal%20(Colombia)" TargetMode="External"/><Relationship Id="rId40" Type="http://schemas.openxmlformats.org/officeDocument/2006/relationships/hyperlink" Target="https://www.bing.com/images/search?form=xlimg&amp;q=San%20Juan%20Nepomuceno%20(Colombia)" TargetMode="External"/><Relationship Id="rId115" Type="http://schemas.openxmlformats.org/officeDocument/2006/relationships/hyperlink" Target="https://www.bing.com/th?id=OSK.940465e558e45e9e753a8efc52f057ce&amp;qlt=95" TargetMode="External"/><Relationship Id="rId136" Type="http://schemas.openxmlformats.org/officeDocument/2006/relationships/hyperlink" Target="https://www.bing.com/images/search?form=xlimg&amp;q=Sahag%c3%ban%20(Colombia)" TargetMode="External"/><Relationship Id="rId157" Type="http://schemas.openxmlformats.org/officeDocument/2006/relationships/hyperlink" Target="https://www.bing.com/th?id=OSK.6d7b531d156f628f4e4c7195f0da41f3&amp;qlt=95" TargetMode="External"/><Relationship Id="rId178" Type="http://schemas.openxmlformats.org/officeDocument/2006/relationships/hyperlink" Target="https://www.bing.com/images/search?form=xlimg&amp;q=Gachet%c3%a1" TargetMode="External"/><Relationship Id="rId61" Type="http://schemas.openxmlformats.org/officeDocument/2006/relationships/hyperlink" Target="https://www.bing.com/th?id=OSK.a900f54d6c26089455cca686ab3d1652&amp;qlt=95" TargetMode="External"/><Relationship Id="rId82" Type="http://schemas.openxmlformats.org/officeDocument/2006/relationships/hyperlink" Target="https://www.bing.com/images/search?form=xlimg&amp;q=Cartagena%20del%20Chair%c3%a1" TargetMode="External"/><Relationship Id="rId199" Type="http://schemas.openxmlformats.org/officeDocument/2006/relationships/hyperlink" Target="https://www.bing.com/th?id=OSK.7e6df6afffff23a9981dc934e79edaad&amp;qlt=95" TargetMode="External"/><Relationship Id="rId203" Type="http://schemas.openxmlformats.org/officeDocument/2006/relationships/hyperlink" Target="https://www.bing.com/th?id=OSK.ee62efa71e764059d160a9a1f9e925f7&amp;qlt=95" TargetMode="External"/><Relationship Id="rId19" Type="http://schemas.openxmlformats.org/officeDocument/2006/relationships/hyperlink" Target="https://www.bing.com/th?id=OSK.683dbdef572e61c78f8a308e542a83ef&amp;qlt=95" TargetMode="External"/><Relationship Id="rId224" Type="http://schemas.openxmlformats.org/officeDocument/2006/relationships/hyperlink" Target="https://www.bing.com/images/search?form=xlimg&amp;q=Puerto%20L%c3%b3pez%20(Colombia)" TargetMode="External"/><Relationship Id="rId245" Type="http://schemas.openxmlformats.org/officeDocument/2006/relationships/hyperlink" Target="https://www.bing.com/th?id=OSK.651d03a25747d49a6c0c307559271d41&amp;qlt=95" TargetMode="External"/><Relationship Id="rId266" Type="http://schemas.openxmlformats.org/officeDocument/2006/relationships/hyperlink" Target="https://www.bing.com/images/search?form=xlimg&amp;q=San%20Gil%20(Colombia)" TargetMode="External"/><Relationship Id="rId287" Type="http://schemas.openxmlformats.org/officeDocument/2006/relationships/hyperlink" Target="https://www.bing.com/th?id=OSK.79bcd55736730661bbcfe17458a897bd&amp;qlt=95" TargetMode="External"/><Relationship Id="rId30" Type="http://schemas.openxmlformats.org/officeDocument/2006/relationships/hyperlink" Target="https://www.bing.com/images/search?form=xlimg&amp;q=Soledad%20(Atl%c3%a1ntico)" TargetMode="External"/><Relationship Id="rId105" Type="http://schemas.openxmlformats.org/officeDocument/2006/relationships/hyperlink" Target="https://www.bing.com/th?id=OSK.d034ecdcf694aa74256a1bb8f6545eb1&amp;qlt=95" TargetMode="External"/><Relationship Id="rId126" Type="http://schemas.openxmlformats.org/officeDocument/2006/relationships/hyperlink" Target="https://www.bing.com/images/search?form=xlimg&amp;q=San%20Alberto%20(Cesar)" TargetMode="External"/><Relationship Id="rId147" Type="http://schemas.openxmlformats.org/officeDocument/2006/relationships/hyperlink" Target="https://www.bing.com/th?id=OSK.9c81f4a6bbed6202f408f2ebf5109ccf&amp;qlt=95" TargetMode="External"/><Relationship Id="rId168" Type="http://schemas.openxmlformats.org/officeDocument/2006/relationships/hyperlink" Target="https://www.bing.com/images/search?form=xlimg&amp;q=Pacho" TargetMode="External"/><Relationship Id="rId51" Type="http://schemas.openxmlformats.org/officeDocument/2006/relationships/hyperlink" Target="https://www.bing.com/th?id=OSK.7b680cad06b62f793da33a724c6bea6c&amp;qlt=95" TargetMode="External"/><Relationship Id="rId72" Type="http://schemas.openxmlformats.org/officeDocument/2006/relationships/hyperlink" Target="https://www.bing.com/images/search?form=xlimg&amp;q=Caquet%c3%a1" TargetMode="External"/><Relationship Id="rId93" Type="http://schemas.openxmlformats.org/officeDocument/2006/relationships/hyperlink" Target="https://www.bing.com/th?id=OSK.7a195dc8a5aad0f9af9cd01346ab652d&amp;qlt=95" TargetMode="External"/><Relationship Id="rId189" Type="http://schemas.openxmlformats.org/officeDocument/2006/relationships/hyperlink" Target="https://www.bing.com/th?id=OSK.0603a980e2d2dd5d6405c67189bc0e5e&amp;qlt=95" TargetMode="External"/><Relationship Id="rId3" Type="http://schemas.openxmlformats.org/officeDocument/2006/relationships/hyperlink" Target="https://www.bing.com/th?id=OSK.785e3875fa8e32014b8a0bc9a281406b&amp;qlt=95" TargetMode="External"/><Relationship Id="rId214" Type="http://schemas.openxmlformats.org/officeDocument/2006/relationships/hyperlink" Target="https://www.bing.com/images/search?form=xlimg&amp;q=Acac%c3%adas" TargetMode="External"/><Relationship Id="rId235" Type="http://schemas.openxmlformats.org/officeDocument/2006/relationships/hyperlink" Target="https://www.bing.com/th?id=OSK.6b4329fad96c136fa7fc8b52c995d975&amp;qlt=95" TargetMode="External"/><Relationship Id="rId256" Type="http://schemas.openxmlformats.org/officeDocument/2006/relationships/hyperlink" Target="https://www.bing.com/images/search?form=xlimg&amp;q=Bucaramanga" TargetMode="External"/><Relationship Id="rId277" Type="http://schemas.openxmlformats.org/officeDocument/2006/relationships/hyperlink" Target="https://www.bing.com/th?id=OSK.VSbPWT14eHDE7Y7ZJhEimis2Lvp23076k2c8ZKZ13Z8&amp;qlt=95" TargetMode="External"/><Relationship Id="rId116" Type="http://schemas.openxmlformats.org/officeDocument/2006/relationships/hyperlink" Target="https://www.bing.com/images/search?form=xlimg&amp;q=Agust%c3%adn%20Codazzi%20(Cesar)" TargetMode="External"/><Relationship Id="rId137" Type="http://schemas.openxmlformats.org/officeDocument/2006/relationships/hyperlink" Target="https://www.bing.com/th?id=OSK.007ab95ce6d075e07d333764310b70ea&amp;qlt=95" TargetMode="External"/><Relationship Id="rId158" Type="http://schemas.openxmlformats.org/officeDocument/2006/relationships/hyperlink" Target="https://www.bing.com/images/search?form=xlimg&amp;q=Ubat%c3%a9" TargetMode="External"/><Relationship Id="rId20" Type="http://schemas.openxmlformats.org/officeDocument/2006/relationships/hyperlink" Target="https://www.bing.com/images/search?form=xlimg&amp;q=Arauca%20(Colombia)" TargetMode="External"/><Relationship Id="rId41" Type="http://schemas.openxmlformats.org/officeDocument/2006/relationships/hyperlink" Target="https://www.bing.com/th?id=OSK.f30e37dcb3af44d558f4d09f2194419b&amp;qlt=95" TargetMode="External"/><Relationship Id="rId62" Type="http://schemas.openxmlformats.org/officeDocument/2006/relationships/hyperlink" Target="https://www.bing.com/images/search?form=xlimg&amp;q=Chiquinquir%c3%a1" TargetMode="External"/><Relationship Id="rId83" Type="http://schemas.openxmlformats.org/officeDocument/2006/relationships/hyperlink" Target="https://www.bing.com/th?id=OSK.fc22e75ed4d2a4feb73d66c1f3f9381d&amp;qlt=95" TargetMode="External"/><Relationship Id="rId179" Type="http://schemas.openxmlformats.org/officeDocument/2006/relationships/hyperlink" Target="https://www.bing.com/th?id=OSK.9cdf38430fb7332d26c2236f8848d408&amp;qlt=95" TargetMode="External"/><Relationship Id="rId190" Type="http://schemas.openxmlformats.org/officeDocument/2006/relationships/hyperlink" Target="https://www.bing.com/images/search?form=xlimg&amp;q=La%20Plata%20(Huila)" TargetMode="External"/><Relationship Id="rId204" Type="http://schemas.openxmlformats.org/officeDocument/2006/relationships/hyperlink" Target="https://www.bing.com/images/search?form=xlimg&amp;q=Plato%20(Magdalena)" TargetMode="External"/><Relationship Id="rId225" Type="http://schemas.openxmlformats.org/officeDocument/2006/relationships/hyperlink" Target="https://www.bing.com/th?id=OSK.45460f10fc4f9dcc8e0c2528dc40cf4e&amp;qlt=95" TargetMode="External"/><Relationship Id="rId246" Type="http://schemas.openxmlformats.org/officeDocument/2006/relationships/hyperlink" Target="https://www.bing.com/images/search?form=xlimg&amp;q=Pamplona%20(Colombia)" TargetMode="External"/><Relationship Id="rId267" Type="http://schemas.openxmlformats.org/officeDocument/2006/relationships/hyperlink" Target="https://www.bing.com/th?id=OSK.85e2045144d18aa9a2b801e718771aba&amp;qlt=95" TargetMode="External"/><Relationship Id="rId288" Type="http://schemas.openxmlformats.org/officeDocument/2006/relationships/hyperlink" Target="https://www.bing.com/images/search?form=xlimg&amp;q=Tolima" TargetMode="External"/><Relationship Id="rId106" Type="http://schemas.openxmlformats.org/officeDocument/2006/relationships/hyperlink" Target="https://www.bing.com/images/search?form=xlimg&amp;q=Santander%20de%20Quilichao" TargetMode="External"/><Relationship Id="rId127" Type="http://schemas.openxmlformats.org/officeDocument/2006/relationships/hyperlink" Target="https://www.bing.com/th?id=OSK.2890d698eaa070525cb28618b4d99930&amp;qlt=95" TargetMode="External"/><Relationship Id="rId10" Type="http://schemas.openxmlformats.org/officeDocument/2006/relationships/hyperlink" Target="https://www.bing.com/images/search?form=xlimg&amp;q=Santa%20Rosa%20de%20Osos" TargetMode="External"/><Relationship Id="rId31" Type="http://schemas.openxmlformats.org/officeDocument/2006/relationships/hyperlink" Target="https://www.bing.com/th?id=OSK.0e8011aa83ff1393ab0287f9fd067d1c&amp;qlt=95" TargetMode="External"/><Relationship Id="rId52" Type="http://schemas.openxmlformats.org/officeDocument/2006/relationships/hyperlink" Target="https://www.bing.com/images/search?form=xlimg&amp;q=Miraflores%20(Boyac%c3%a1)" TargetMode="External"/><Relationship Id="rId73" Type="http://schemas.openxmlformats.org/officeDocument/2006/relationships/hyperlink" Target="https://www.bing.com/th?id=OSK.c711819ebdef6eb96e037d628644e059&amp;qlt=95" TargetMode="External"/><Relationship Id="rId94" Type="http://schemas.openxmlformats.org/officeDocument/2006/relationships/hyperlink" Target="https://www.bing.com/images/search?form=xlimg&amp;q=Paz%20de%20Ariporo" TargetMode="External"/><Relationship Id="rId148" Type="http://schemas.openxmlformats.org/officeDocument/2006/relationships/hyperlink" Target="https://www.bing.com/images/search?form=xlimg&amp;q=Montel%c3%adbano" TargetMode="External"/><Relationship Id="rId169" Type="http://schemas.openxmlformats.org/officeDocument/2006/relationships/hyperlink" Target="https://www.bing.com/th?id=OSK.a68605de6df67efe6f0e98ba2cd652b5&amp;qlt=95" TargetMode="External"/><Relationship Id="rId4" Type="http://schemas.openxmlformats.org/officeDocument/2006/relationships/hyperlink" Target="https://www.bing.com/images/search?form=xlimg&amp;q=Carepa" TargetMode="External"/><Relationship Id="rId180" Type="http://schemas.openxmlformats.org/officeDocument/2006/relationships/hyperlink" Target="https://www.bing.com/images/search?form=xlimg&amp;q=La%20Mesa%20(Cundinamarca)" TargetMode="External"/><Relationship Id="rId215" Type="http://schemas.openxmlformats.org/officeDocument/2006/relationships/hyperlink" Target="https://www.bing.com/th?id=OSK.ohRtDalOQ42ayAgCCDA9U1Dob2WhgmWiy_DCOuC0Sz0&amp;qlt=95" TargetMode="External"/><Relationship Id="rId236" Type="http://schemas.openxmlformats.org/officeDocument/2006/relationships/hyperlink" Target="https://www.bing.com/images/search?form=xlimg&amp;q=Guachucal" TargetMode="External"/><Relationship Id="rId257" Type="http://schemas.openxmlformats.org/officeDocument/2006/relationships/hyperlink" Target="https://www.bing.com/th?id=OSK.cccd7fb683bb292d6f1ba56cc4d5164f&amp;qlt=95" TargetMode="External"/><Relationship Id="rId278" Type="http://schemas.openxmlformats.org/officeDocument/2006/relationships/hyperlink" Target="https://www.bing.com/images/search?form=xlimg&amp;q=Majagual" TargetMode="External"/><Relationship Id="rId42" Type="http://schemas.openxmlformats.org/officeDocument/2006/relationships/hyperlink" Target="https://www.bing.com/images/search?form=xlimg&amp;q=El%20Carmen%20de%20Bol%c3%advar" TargetMode="External"/><Relationship Id="rId84" Type="http://schemas.openxmlformats.org/officeDocument/2006/relationships/hyperlink" Target="https://www.bing.com/images/search?form=xlimg&amp;q=Albania%20(Caquet%c3%a1)" TargetMode="External"/><Relationship Id="rId138" Type="http://schemas.openxmlformats.org/officeDocument/2006/relationships/hyperlink" Target="https://www.bing.com/images/search?form=xlimg&amp;q=Planeta%20Rica" TargetMode="External"/><Relationship Id="rId191" Type="http://schemas.openxmlformats.org/officeDocument/2006/relationships/hyperlink" Target="https://www.bing.com/th?id=OSK.e143ac0d6d02a95c93fe84589fff880b&amp;qlt=95" TargetMode="External"/><Relationship Id="rId205" Type="http://schemas.openxmlformats.org/officeDocument/2006/relationships/hyperlink" Target="https://www.bing.com/th?id=OSK.68b8a5d41cf3cfbd13da306788aac26a&amp;qlt=95" TargetMode="External"/><Relationship Id="rId247" Type="http://schemas.openxmlformats.org/officeDocument/2006/relationships/hyperlink" Target="https://www.bing.com/th?id=OSK.pCndjusBkdMlS5H95F96Il_33DRwPcQS0CByAsteky0&amp;qlt=95" TargetMode="External"/><Relationship Id="rId107" Type="http://schemas.openxmlformats.org/officeDocument/2006/relationships/hyperlink" Target="https://www.bing.com/th?id=OSK.9ee97973ab3b50c257837730418c5074&amp;qlt=95" TargetMode="External"/><Relationship Id="rId289" Type="http://schemas.openxmlformats.org/officeDocument/2006/relationships/hyperlink" Target="https://www.bing.com/th?id=OSK.79bcd55736730661bbcfe17458a897bd&amp;qlt=95" TargetMode="External"/><Relationship Id="rId11" Type="http://schemas.openxmlformats.org/officeDocument/2006/relationships/hyperlink" Target="https://www.bing.com/th?id=OSK.432cf920dc5233d214b085d73af9ced9&amp;qlt=95" TargetMode="External"/><Relationship Id="rId53" Type="http://schemas.openxmlformats.org/officeDocument/2006/relationships/hyperlink" Target="https://www.bing.com/th?id=OSK.4a65e072d1b479887e417294aedfe53c&amp;qlt=95" TargetMode="External"/><Relationship Id="rId149" Type="http://schemas.openxmlformats.org/officeDocument/2006/relationships/hyperlink" Target="https://www.bing.com/th?id=OSK.8C5vDk88xLYQaEQWmrCn6mdl8uSHbrERb1HtaSKHzVM&amp;qlt=95" TargetMode="External"/><Relationship Id="rId95" Type="http://schemas.openxmlformats.org/officeDocument/2006/relationships/hyperlink" Target="https://www.bing.com/th?id=OSK.c8b1dea5392d7b32cb504bd3cf5602eb&amp;qlt=95" TargetMode="External"/><Relationship Id="rId160" Type="http://schemas.openxmlformats.org/officeDocument/2006/relationships/hyperlink" Target="https://www.bing.com/images/search?form=xlimg&amp;q=C%c3%a1queza" TargetMode="External"/><Relationship Id="rId216" Type="http://schemas.openxmlformats.org/officeDocument/2006/relationships/hyperlink" Target="https://www.bing.com/images/search?form=xlimg&amp;q=Guamal%20(Magdalena)" TargetMode="External"/><Relationship Id="rId258" Type="http://schemas.openxmlformats.org/officeDocument/2006/relationships/hyperlink" Target="https://www.bing.com/images/search?form=xlimg&amp;q=San%20Vicente%20de%20Chucur%c3%ad" TargetMode="External"/><Relationship Id="rId22" Type="http://schemas.openxmlformats.org/officeDocument/2006/relationships/hyperlink" Target="https://www.bing.com/images/search?form=xlimg&amp;q=Arauquita" TargetMode="External"/><Relationship Id="rId64" Type="http://schemas.openxmlformats.org/officeDocument/2006/relationships/hyperlink" Target="https://www.bing.com/images/search?form=xlimg&amp;q=Cubar%c3%a1" TargetMode="External"/><Relationship Id="rId118" Type="http://schemas.openxmlformats.org/officeDocument/2006/relationships/hyperlink" Target="https://www.bing.com/images/search?form=xlimg&amp;q=Bosconia" TargetMode="External"/><Relationship Id="rId171" Type="http://schemas.openxmlformats.org/officeDocument/2006/relationships/hyperlink" Target="https://www.bing.com/th?id=OSK.c8c87e9ec684a17ab8c0db82a59a4908&amp;qlt=95" TargetMode="External"/><Relationship Id="rId227" Type="http://schemas.openxmlformats.org/officeDocument/2006/relationships/hyperlink" Target="https://www.bing.com/th?id=OSK.c93902242b06cc9471c4d3bbd33777d2&amp;qlt=95" TargetMode="External"/><Relationship Id="rId269" Type="http://schemas.openxmlformats.org/officeDocument/2006/relationships/hyperlink" Target="https://www.bing.com/th?id=OSK.f7deac626ec4e7cd1157a528031a7dc9&amp;qlt=95" TargetMode="External"/></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2">
      <keyFlags>
        <key name="%cvi">
          <flag name="ShowInCardView" value="0"/>
          <flag name="ShowInDotNotation" value="0"/>
          <flag name="ShowInAutoComplete" value="0"/>
          <flag name="ExcludeFromCalcComparison" value="1"/>
        </key>
        <key name="%EntityCulture">
          <flag name="ShowInCardView" value="0"/>
          <flag name="ShowInDotNotation" value="0"/>
          <flag name="ShowInAutoComplete" value="0"/>
        </key>
        <key name="%EntityId">
          <flag name="ShowInCardView" value="0"/>
          <flag name="ShowInDotNotation" value="0"/>
          <flag name="ShowInAutoComplete" value="0"/>
        </key>
        <key name="%EntityServiceId">
          <flag name="ShowInCardView" value="0"/>
          <flag name="ShowInDotNotation" value="0"/>
          <flag name="ShowInAutoComplete" value="0"/>
        </key>
      </keyFlags>
    </type>
    <type name="_linkedentity2core">
      <keyFlags>
        <key name="%ClassificationId">
          <flag name="ShowInCardView" value="0"/>
          <flag name="ShowInDotNotation" value="0"/>
          <flag name="ShowInAutoComplete" value="0"/>
        </key>
        <key name="%DataProviderExternalLink">
          <flag name="ShowInCardView" value="0"/>
          <flag name="ShowInDotNotation" value="0"/>
          <flag name="ShowInAutoComplete" value="0"/>
        </key>
        <key name="%DataProviderExternalLinkLogo">
          <flag name="ShowInCardView" value="0"/>
          <flag name="ShowInDotNotation" value="0"/>
          <flag name="ShowInAutoComplete" value="0"/>
        </key>
        <key name="%DataProviderString">
          <flag name="ShowInCardView" value="0"/>
          <flag name="ShowInDotNotation" value="0"/>
          <flag name="ShowInAutoComplete" value="0"/>
        </key>
        <key name="%DataRetrievedTime">
          <flag name="ShowInCardView" value="0"/>
          <flag name="ShowInDotNotation" value="0"/>
          <flag name="ShowInAutoComplete" value="0"/>
          <flag name="ExcludeFromCalcComparison" value="1"/>
        </key>
        <key name="%EntityCulture">
          <flag name="ShowInCardView" value="0"/>
          <flag name="ShowInDotNotation" value="0"/>
          <flag name="ShowInAutoComplete" value="0"/>
        </key>
        <key name="%EntityDomainIdString">
          <flag name="ShowInCardView" value="0"/>
          <flag name="ShowInDotNotation" value="0"/>
          <flag name="ShowInAutoComplete" value="0"/>
        </key>
        <key name="%EntityId">
          <flag name="ShowInCardView" value="0"/>
          <flag name="ShowInDotNotation" value="0"/>
          <flag name="ShowInAutoComplete" value="0"/>
        </key>
        <key name="%EntityServiceId">
          <flag name="ShowInCardView" value="0"/>
          <flag name="ShowInDotNotation" value="0"/>
          <flag name="ShowInAutoComplete" value="0"/>
        </key>
        <key name="%InfoToolTipLabelNames">
          <flag name="ShowInCardView" value="0"/>
          <flag name="ShowInDotNotation" value="0"/>
          <flag name="ShowInAutoComplete" value="0"/>
        </key>
        <key name="%InfoToolTipLabelValues">
          <flag name="ShowInCardView" value="0"/>
          <flag name="ShowInDotNotation" value="0"/>
          <flag name="ShowInAutoComplete" value="0"/>
        </key>
        <key name="%InfoToolTipLabelValuesType">
          <flag name="ShowInCardView" value="0"/>
          <flag name="ShowInDotNotation" value="0"/>
          <flag name="ShowInAutoComplete" value="0"/>
        </key>
        <key name="%IsRefreshable">
          <flag name="ShowInCardView" value="0"/>
          <flag name="ShowInAutoComplete" value="0"/>
          <flag name="ExcludeFromCalcComparison" value="1"/>
        </key>
        <key name="%OutdatedReason">
          <flag name="ShowInCardView" value="0"/>
          <flag name="ShowInDotNotation" value="0"/>
          <flag name="ShowInAutoComplete" value="0"/>
          <flag name="ExcludeFromCalcComparison" value="1"/>
        </key>
        <key name="%ProviderInfo">
          <flag name="ShowInCardView" value="0"/>
          <flag name="ShowInDotNotation" value="0"/>
          <flag name="ShowInAutoComplete" value="0"/>
        </key>
      </keyFlags>
    </type>
    <type name="_webimage">
      <keyFlags>
        <key name="WebImageIdentifier">
          <flag name="ShowInCardView" value="0"/>
        </key>
      </keyFlags>
    </type>
  </types>
</rvTypesInfo>
</file>

<file path=xl/richData/rdRichValueWebImage.xml><?xml version="1.0" encoding="utf-8"?>
<webImagesSrd xmlns="http://schemas.microsoft.com/office/spreadsheetml/2020/richdatawebimage" xmlns:r="http://schemas.openxmlformats.org/officeDocument/2006/relationships">
  <webImageSrd>
    <address r:id="rId1"/>
    <moreImagesAddress r:id="rId2"/>
  </webImageSrd>
  <webImageSrd>
    <address r:id="rId3"/>
    <moreImagesAddress r:id="rId4"/>
  </webImageSrd>
  <webImageSrd>
    <address r:id="rId5"/>
    <moreImagesAddress r:id="rId6"/>
  </webImageSrd>
  <webImageSrd>
    <address r:id="rId7"/>
    <moreImagesAddress r:id="rId8"/>
  </webImageSrd>
  <webImageSrd>
    <address r:id="rId9"/>
    <moreImagesAddress r:id="rId10"/>
  </webImageSrd>
  <webImageSrd>
    <address r:id="rId11"/>
    <moreImagesAddress r:id="rId12"/>
  </webImageSrd>
  <webImageSrd>
    <address r:id="rId13"/>
    <moreImagesAddress r:id="rId14"/>
  </webImageSrd>
  <webImageSrd>
    <address r:id="rId15"/>
    <moreImagesAddress r:id="rId16"/>
  </webImageSrd>
  <webImageSrd>
    <address r:id="rId17"/>
    <moreImagesAddress r:id="rId18"/>
  </webImageSrd>
  <webImageSrd>
    <address r:id="rId19"/>
    <moreImagesAddress r:id="rId20"/>
  </webImageSrd>
  <webImageSrd>
    <address r:id="rId21"/>
    <moreImagesAddress r:id="rId22"/>
  </webImageSrd>
  <webImageSrd>
    <address r:id="rId23"/>
    <moreImagesAddress r:id="rId24"/>
  </webImageSrd>
  <webImageSrd>
    <address r:id="rId25"/>
    <moreImagesAddress r:id="rId26"/>
  </webImageSrd>
  <webImageSrd>
    <address r:id="rId27"/>
    <moreImagesAddress r:id="rId28"/>
  </webImageSrd>
  <webImageSrd>
    <address r:id="rId29"/>
    <moreImagesAddress r:id="rId30"/>
  </webImageSrd>
  <webImageSrd>
    <address r:id="rId31"/>
    <moreImagesAddress r:id="rId32"/>
  </webImageSrd>
  <webImageSrd>
    <address r:id="rId33"/>
    <moreImagesAddress r:id="rId34"/>
  </webImageSrd>
  <webImageSrd>
    <address r:id="rId35"/>
    <moreImagesAddress r:id="rId36"/>
  </webImageSrd>
  <webImageSrd>
    <address r:id="rId37"/>
    <moreImagesAddress r:id="rId38"/>
  </webImageSrd>
  <webImageSrd>
    <address r:id="rId39"/>
    <moreImagesAddress r:id="rId40"/>
  </webImageSrd>
  <webImageSrd>
    <address r:id="rId41"/>
    <moreImagesAddress r:id="rId42"/>
  </webImageSrd>
  <webImageSrd>
    <address r:id="rId43"/>
    <moreImagesAddress r:id="rId44"/>
  </webImageSrd>
  <webImageSrd>
    <address r:id="rId45"/>
    <moreImagesAddress r:id="rId46"/>
  </webImageSrd>
  <webImageSrd>
    <address r:id="rId47"/>
    <moreImagesAddress r:id="rId48"/>
  </webImageSrd>
  <webImageSrd>
    <address r:id="rId49"/>
    <moreImagesAddress r:id="rId50"/>
  </webImageSrd>
  <webImageSrd>
    <address r:id="rId51"/>
    <moreImagesAddress r:id="rId52"/>
  </webImageSrd>
  <webImageSrd>
    <address r:id="rId53"/>
    <moreImagesAddress r:id="rId54"/>
  </webImageSrd>
  <webImageSrd>
    <address r:id="rId55"/>
    <moreImagesAddress r:id="rId56"/>
  </webImageSrd>
  <webImageSrd>
    <address r:id="rId57"/>
    <moreImagesAddress r:id="rId58"/>
  </webImageSrd>
  <webImageSrd>
    <address r:id="rId59"/>
    <moreImagesAddress r:id="rId60"/>
  </webImageSrd>
  <webImageSrd>
    <address r:id="rId61"/>
    <moreImagesAddress r:id="rId62"/>
  </webImageSrd>
  <webImageSrd>
    <address r:id="rId63"/>
    <moreImagesAddress r:id="rId64"/>
  </webImageSrd>
  <webImageSrd>
    <address r:id="rId65"/>
    <moreImagesAddress r:id="rId66"/>
  </webImageSrd>
  <webImageSrd>
    <address r:id="rId67"/>
    <moreImagesAddress r:id="rId68"/>
  </webImageSrd>
  <webImageSrd>
    <address r:id="rId69"/>
    <moreImagesAddress r:id="rId70"/>
  </webImageSrd>
  <webImageSrd>
    <address r:id="rId71"/>
    <moreImagesAddress r:id="rId72"/>
  </webImageSrd>
  <webImageSrd>
    <address r:id="rId73"/>
    <moreImagesAddress r:id="rId74"/>
  </webImageSrd>
  <webImageSrd>
    <address r:id="rId75"/>
    <moreImagesAddress r:id="rId76"/>
  </webImageSrd>
  <webImageSrd>
    <address r:id="rId77"/>
    <moreImagesAddress r:id="rId78"/>
  </webImageSrd>
  <webImageSrd>
    <address r:id="rId79"/>
    <moreImagesAddress r:id="rId80"/>
  </webImageSrd>
  <webImageSrd>
    <address r:id="rId81"/>
    <moreImagesAddress r:id="rId82"/>
  </webImageSrd>
  <webImageSrd>
    <address r:id="rId83"/>
    <moreImagesAddress r:id="rId84"/>
  </webImageSrd>
  <webImageSrd>
    <address r:id="rId85"/>
    <moreImagesAddress r:id="rId86"/>
  </webImageSrd>
  <webImageSrd>
    <address r:id="rId87"/>
    <moreImagesAddress r:id="rId88"/>
  </webImageSrd>
  <webImageSrd>
    <address r:id="rId89"/>
    <moreImagesAddress r:id="rId90"/>
  </webImageSrd>
  <webImageSrd>
    <address r:id="rId91"/>
    <moreImagesAddress r:id="rId92"/>
  </webImageSrd>
  <webImageSrd>
    <address r:id="rId93"/>
    <moreImagesAddress r:id="rId94"/>
  </webImageSrd>
  <webImageSrd>
    <address r:id="rId95"/>
    <moreImagesAddress r:id="rId96"/>
  </webImageSrd>
  <webImageSrd>
    <address r:id="rId97"/>
    <moreImagesAddress r:id="rId98"/>
  </webImageSrd>
  <webImageSrd>
    <address r:id="rId99"/>
    <moreImagesAddress r:id="rId100"/>
  </webImageSrd>
  <webImageSrd>
    <address r:id="rId101"/>
    <moreImagesAddress r:id="rId102"/>
  </webImageSrd>
  <webImageSrd>
    <address r:id="rId103"/>
    <moreImagesAddress r:id="rId104"/>
  </webImageSrd>
  <webImageSrd>
    <address r:id="rId105"/>
    <moreImagesAddress r:id="rId106"/>
  </webImageSrd>
  <webImageSrd>
    <address r:id="rId107"/>
    <moreImagesAddress r:id="rId108"/>
  </webImageSrd>
  <webImageSrd>
    <address r:id="rId109"/>
    <moreImagesAddress r:id="rId110"/>
  </webImageSrd>
  <webImageSrd>
    <address r:id="rId111"/>
    <moreImagesAddress r:id="rId112"/>
  </webImageSrd>
  <webImageSrd>
    <address r:id="rId113"/>
    <moreImagesAddress r:id="rId114"/>
  </webImageSrd>
  <webImageSrd>
    <address r:id="rId115"/>
    <moreImagesAddress r:id="rId116"/>
  </webImageSrd>
  <webImageSrd>
    <address r:id="rId117"/>
    <moreImagesAddress r:id="rId118"/>
  </webImageSrd>
  <webImageSrd>
    <address r:id="rId119"/>
    <moreImagesAddress r:id="rId120"/>
  </webImageSrd>
  <webImageSrd>
    <address r:id="rId121"/>
    <moreImagesAddress r:id="rId122"/>
  </webImageSrd>
  <webImageSrd>
    <address r:id="rId123"/>
    <moreImagesAddress r:id="rId124"/>
  </webImageSrd>
  <webImageSrd>
    <address r:id="rId125"/>
    <moreImagesAddress r:id="rId126"/>
  </webImageSrd>
  <webImageSrd>
    <address r:id="rId127"/>
    <moreImagesAddress r:id="rId128"/>
  </webImageSrd>
  <webImageSrd>
    <address r:id="rId129"/>
    <moreImagesAddress r:id="rId130"/>
  </webImageSrd>
  <webImageSrd>
    <address r:id="rId131"/>
    <moreImagesAddress r:id="rId132"/>
  </webImageSrd>
  <webImageSrd>
    <address r:id="rId133"/>
    <moreImagesAddress r:id="rId134"/>
  </webImageSrd>
  <webImageSrd>
    <address r:id="rId135"/>
    <moreImagesAddress r:id="rId136"/>
  </webImageSrd>
  <webImageSrd>
    <address r:id="rId137"/>
    <moreImagesAddress r:id="rId138"/>
  </webImageSrd>
  <webImageSrd>
    <address r:id="rId139"/>
    <moreImagesAddress r:id="rId140"/>
  </webImageSrd>
  <webImageSrd>
    <address r:id="rId141"/>
    <moreImagesAddress r:id="rId142"/>
  </webImageSrd>
  <webImageSrd>
    <address r:id="rId143"/>
    <moreImagesAddress r:id="rId144"/>
  </webImageSrd>
  <webImageSrd>
    <address r:id="rId145"/>
    <moreImagesAddress r:id="rId146"/>
  </webImageSrd>
  <webImageSrd>
    <address r:id="rId147"/>
    <moreImagesAddress r:id="rId148"/>
  </webImageSrd>
  <webImageSrd>
    <address r:id="rId149"/>
    <moreImagesAddress r:id="rId150"/>
  </webImageSrd>
  <webImageSrd>
    <address r:id="rId151"/>
    <moreImagesAddress r:id="rId152"/>
  </webImageSrd>
  <webImageSrd>
    <address r:id="rId153"/>
    <moreImagesAddress r:id="rId154"/>
  </webImageSrd>
  <webImageSrd>
    <address r:id="rId155"/>
    <moreImagesAddress r:id="rId156"/>
  </webImageSrd>
  <webImageSrd>
    <address r:id="rId157"/>
    <moreImagesAddress r:id="rId158"/>
  </webImageSrd>
  <webImageSrd>
    <address r:id="rId159"/>
    <moreImagesAddress r:id="rId160"/>
  </webImageSrd>
  <webImageSrd>
    <address r:id="rId161"/>
    <moreImagesAddress r:id="rId162"/>
  </webImageSrd>
  <webImageSrd>
    <address r:id="rId163"/>
    <moreImagesAddress r:id="rId164"/>
  </webImageSrd>
  <webImageSrd>
    <address r:id="rId165"/>
    <moreImagesAddress r:id="rId166"/>
  </webImageSrd>
  <webImageSrd>
    <address r:id="rId167"/>
    <moreImagesAddress r:id="rId168"/>
  </webImageSrd>
  <webImageSrd>
    <address r:id="rId169"/>
    <moreImagesAddress r:id="rId170"/>
  </webImageSrd>
  <webImageSrd>
    <address r:id="rId171"/>
    <moreImagesAddress r:id="rId172"/>
  </webImageSrd>
  <webImageSrd>
    <address r:id="rId173"/>
    <moreImagesAddress r:id="rId174"/>
  </webImageSrd>
  <webImageSrd>
    <address r:id="rId175"/>
    <moreImagesAddress r:id="rId176"/>
  </webImageSrd>
  <webImageSrd>
    <address r:id="rId177"/>
    <moreImagesAddress r:id="rId178"/>
  </webImageSrd>
  <webImageSrd>
    <address r:id="rId179"/>
    <moreImagesAddress r:id="rId180"/>
  </webImageSrd>
  <webImageSrd>
    <address r:id="rId181"/>
    <moreImagesAddress r:id="rId182"/>
  </webImageSrd>
  <webImageSrd>
    <address r:id="rId183"/>
    <moreImagesAddress r:id="rId184"/>
  </webImageSrd>
  <webImageSrd>
    <address r:id="rId185"/>
    <moreImagesAddress r:id="rId186"/>
  </webImageSrd>
  <webImageSrd>
    <address r:id="rId187"/>
    <moreImagesAddress r:id="rId188"/>
  </webImageSrd>
  <webImageSrd>
    <address r:id="rId189"/>
    <moreImagesAddress r:id="rId190"/>
  </webImageSrd>
  <webImageSrd>
    <address r:id="rId191"/>
    <moreImagesAddress r:id="rId192"/>
  </webImageSrd>
  <webImageSrd>
    <address r:id="rId193"/>
    <moreImagesAddress r:id="rId194"/>
  </webImageSrd>
  <webImageSrd>
    <address r:id="rId195"/>
    <moreImagesAddress r:id="rId196"/>
  </webImageSrd>
  <webImageSrd>
    <address r:id="rId197"/>
    <moreImagesAddress r:id="rId198"/>
  </webImageSrd>
  <webImageSrd>
    <address r:id="rId199"/>
    <moreImagesAddress r:id="rId200"/>
  </webImageSrd>
  <webImageSrd>
    <address r:id="rId201"/>
    <moreImagesAddress r:id="rId202"/>
  </webImageSrd>
  <webImageSrd>
    <address r:id="rId203"/>
    <moreImagesAddress r:id="rId204"/>
  </webImageSrd>
  <webImageSrd>
    <address r:id="rId205"/>
    <moreImagesAddress r:id="rId206"/>
  </webImageSrd>
  <webImageSrd>
    <address r:id="rId207"/>
    <moreImagesAddress r:id="rId208"/>
  </webImageSrd>
  <webImageSrd>
    <address r:id="rId209"/>
    <moreImagesAddress r:id="rId210"/>
  </webImageSrd>
  <webImageSrd>
    <address r:id="rId211"/>
    <moreImagesAddress r:id="rId212"/>
  </webImageSrd>
  <webImageSrd>
    <address r:id="rId213"/>
    <moreImagesAddress r:id="rId214"/>
  </webImageSrd>
  <webImageSrd>
    <address r:id="rId215"/>
    <moreImagesAddress r:id="rId216"/>
  </webImageSrd>
  <webImageSrd>
    <address r:id="rId217"/>
    <moreImagesAddress r:id="rId218"/>
  </webImageSrd>
  <webImageSrd>
    <address r:id="rId219"/>
    <moreImagesAddress r:id="rId220"/>
  </webImageSrd>
  <webImageSrd>
    <address r:id="rId221"/>
    <moreImagesAddress r:id="rId222"/>
  </webImageSrd>
  <webImageSrd>
    <address r:id="rId223"/>
    <moreImagesAddress r:id="rId224"/>
  </webImageSrd>
  <webImageSrd>
    <address r:id="rId225"/>
    <moreImagesAddress r:id="rId226"/>
  </webImageSrd>
  <webImageSrd>
    <address r:id="rId227"/>
    <moreImagesAddress r:id="rId228"/>
  </webImageSrd>
  <webImageSrd>
    <address r:id="rId229"/>
    <moreImagesAddress r:id="rId230"/>
  </webImageSrd>
  <webImageSrd>
    <address r:id="rId231"/>
    <moreImagesAddress r:id="rId232"/>
  </webImageSrd>
  <webImageSrd>
    <address r:id="rId233"/>
    <moreImagesAddress r:id="rId234"/>
  </webImageSrd>
  <webImageSrd>
    <address r:id="rId235"/>
    <moreImagesAddress r:id="rId236"/>
  </webImageSrd>
  <webImageSrd>
    <address r:id="rId237"/>
    <moreImagesAddress r:id="rId238"/>
  </webImageSrd>
  <webImageSrd>
    <address r:id="rId239"/>
    <moreImagesAddress r:id="rId240"/>
  </webImageSrd>
  <webImageSrd>
    <address r:id="rId241"/>
    <moreImagesAddress r:id="rId242"/>
  </webImageSrd>
  <webImageSrd>
    <address r:id="rId243"/>
    <moreImagesAddress r:id="rId244"/>
  </webImageSrd>
  <webImageSrd>
    <address r:id="rId245"/>
    <moreImagesAddress r:id="rId246"/>
  </webImageSrd>
  <webImageSrd>
    <address r:id="rId247"/>
    <moreImagesAddress r:id="rId248"/>
  </webImageSrd>
  <webImageSrd>
    <address r:id="rId249"/>
    <moreImagesAddress r:id="rId250"/>
  </webImageSrd>
  <webImageSrd>
    <address r:id="rId251"/>
    <moreImagesAddress r:id="rId252"/>
  </webImageSrd>
  <webImageSrd>
    <address r:id="rId253"/>
    <moreImagesAddress r:id="rId254"/>
  </webImageSrd>
  <webImageSrd>
    <address r:id="rId255"/>
    <moreImagesAddress r:id="rId256"/>
  </webImageSrd>
  <webImageSrd>
    <address r:id="rId257"/>
    <moreImagesAddress r:id="rId258"/>
  </webImageSrd>
  <webImageSrd>
    <address r:id="rId259"/>
    <moreImagesAddress r:id="rId260"/>
  </webImageSrd>
  <webImageSrd>
    <address r:id="rId261"/>
    <moreImagesAddress r:id="rId262"/>
  </webImageSrd>
  <webImageSrd>
    <address r:id="rId263"/>
    <moreImagesAddress r:id="rId264"/>
  </webImageSrd>
  <webImageSrd>
    <address r:id="rId265"/>
    <moreImagesAddress r:id="rId266"/>
  </webImageSrd>
  <webImageSrd>
    <address r:id="rId267"/>
    <moreImagesAddress r:id="rId268"/>
  </webImageSrd>
  <webImageSrd>
    <address r:id="rId269"/>
    <moreImagesAddress r:id="rId270"/>
  </webImageSrd>
  <webImageSrd>
    <address r:id="rId271"/>
    <moreImagesAddress r:id="rId272"/>
  </webImageSrd>
  <webImageSrd>
    <address r:id="rId273"/>
    <moreImagesAddress r:id="rId274"/>
  </webImageSrd>
  <webImageSrd>
    <address r:id="rId275"/>
    <moreImagesAddress r:id="rId276"/>
  </webImageSrd>
  <webImageSrd>
    <address r:id="rId277"/>
    <moreImagesAddress r:id="rId278"/>
  </webImageSrd>
  <webImageSrd>
    <address r:id="rId279"/>
    <moreImagesAddress r:id="rId280"/>
  </webImageSrd>
  <webImageSrd>
    <address r:id="rId281"/>
    <moreImagesAddress r:id="rId282"/>
  </webImageSrd>
  <webImageSrd>
    <address r:id="rId283"/>
    <moreImagesAddress r:id="rId284"/>
  </webImageSrd>
  <webImageSrd>
    <address r:id="rId285"/>
    <moreImagesAddress r:id="rId286"/>
  </webImageSrd>
  <webImageSrd>
    <address r:id="rId287"/>
    <moreImagesAddress r:id="rId288"/>
  </webImageSrd>
  <webImageSrd>
    <address r:id="rId289"/>
    <moreImagesAddress r:id="rId290"/>
  </webImageSrd>
  <webImageSrd>
    <address r:id="rId291"/>
    <moreImagesAddress r:id="rId292"/>
  </webImageSrd>
  <webImageSrd>
    <address r:id="rId293"/>
    <moreImagesAddress r:id="rId294"/>
  </webImageSrd>
  <webImageSrd>
    <address r:id="rId295"/>
    <moreImagesAddress r:id="rId296"/>
  </webImageSrd>
</webImagesSrd>
</file>

<file path=xl/richData/rdarray.xml><?xml version="1.0" encoding="utf-8"?>
<arrayData xmlns="http://schemas.microsoft.com/office/spreadsheetml/2017/richdata2" count="100">
  <a r="1">
    <v t="r">154</v>
  </a>
  <a r="1">
    <v t="r">164</v>
  </a>
  <a r="1">
    <v t="r">174</v>
  </a>
  <a r="1">
    <v t="r">184</v>
  </a>
  <a r="1">
    <v t="s">Idioma español</v>
  </a>
  <a r="1">
    <v t="r">201</v>
  </a>
  <a r="1">
    <v t="r">217</v>
  </a>
  <a r="1">
    <v t="r">254</v>
  </a>
  <a r="1">
    <v t="r">264</v>
  </a>
  <a r="1">
    <v t="r">287</v>
  </a>
  <a r="1">
    <v t="r">297</v>
  </a>
  <a r="1">
    <v t="r">306</v>
  </a>
  <a r="1">
    <v t="r">323</v>
  </a>
  <a r="1">
    <v t="r">333</v>
  </a>
  <a r="1">
    <v t="r">357</v>
  </a>
  <a r="1">
    <v t="r">366</v>
  </a>
  <a r="1">
    <v t="r">376</v>
  </a>
  <a r="1">
    <v t="r">385</v>
  </a>
  <a r="1">
    <v t="r">395</v>
  </a>
  <a r="1">
    <v t="s">Horario del este de América del Norte</v>
  </a>
  <a r="1">
    <v t="r">405</v>
  </a>
  <a r="1">
    <v t="r">415</v>
  </a>
  <a r="1">
    <v t="r">432</v>
  </a>
  <a r="1">
    <v t="r">441</v>
  </a>
  <a r="1">
    <v t="r">457</v>
  </a>
  <a r="1">
    <v t="r">467</v>
  </a>
  <a r="1">
    <v t="r">476</v>
  </a>
  <a r="1">
    <v t="r">486</v>
  </a>
  <a r="1">
    <v t="r">495</v>
  </a>
  <a r="1">
    <v t="r">504</v>
  </a>
  <a r="1">
    <v t="r">513</v>
  </a>
  <a r="1">
    <v t="r">528</v>
  </a>
  <a r="1">
    <v t="r">537</v>
  </a>
  <a r="1">
    <v t="r">546</v>
  </a>
  <a r="1">
    <v t="r">555</v>
  </a>
  <a r="1">
    <v t="r">564</v>
  </a>
  <a r="1">
    <v t="r">573</v>
  </a>
  <a r="1">
    <v t="r">589</v>
  </a>
  <a r="1">
    <v t="r">597</v>
  </a>
  <a r="1">
    <v t="r">607</v>
  </a>
  <a r="1">
    <v t="r">636</v>
  </a>
  <a r="1">
    <v t="r">646</v>
  </a>
  <a r="2">
    <v t="s">Idioma español</v>
    <v t="s">Idioma inglés</v>
  </a>
  <a r="1">
    <v t="r">664</v>
  </a>
  <a r="1">
    <v t="r">693</v>
  </a>
  <a r="1">
    <v t="r">702</v>
  </a>
  <a r="1">
    <v t="r">716</v>
  </a>
  <a r="2">
    <v t="r">725</v>
    <v t="r">726</v>
  </a>
  <a r="1">
    <v t="r">734</v>
  </a>
  <a r="1">
    <v t="r">743</v>
  </a>
  <a r="1">
    <v t="r">752</v>
  </a>
  <a r="1">
    <v t="r">761</v>
  </a>
  <a r="1">
    <v t="r">770</v>
  </a>
  <a r="1">
    <v t="r">779</v>
  </a>
  <a r="1">
    <v t="r">795</v>
  </a>
  <a r="1">
    <v t="r">811</v>
  </a>
  <a r="1">
    <v t="r">834</v>
  </a>
  <a r="1">
    <v t="r">843</v>
  </a>
  <a r="1">
    <v t="r">852</v>
  </a>
  <a r="1">
    <v t="r">861</v>
  </a>
  <a r="1">
    <v t="r">870</v>
  </a>
  <a r="1">
    <v t="r">879</v>
  </a>
  <a r="1">
    <v t="r">888</v>
  </a>
  <a r="1">
    <v t="r">904</v>
  </a>
  <a r="1">
    <v t="r">919</v>
  </a>
  <a r="1">
    <v t="r">928</v>
  </a>
  <a r="1">
    <v t="r">937</v>
  </a>
  <a r="1">
    <v t="r">946</v>
  </a>
  <a r="1">
    <v t="r">955</v>
  </a>
  <a r="1">
    <v t="r">964</v>
  </a>
  <a r="1">
    <v t="r">974</v>
  </a>
  <a r="1">
    <v t="r">983</v>
  </a>
  <a r="1">
    <v t="r">1006</v>
  </a>
  <a r="1">
    <v t="r">1015</v>
  </a>
  <a r="1">
    <v t="r">1024</v>
  </a>
  <a r="1">
    <v t="r">1032</v>
  </a>
  <a r="1">
    <v t="r">1041</v>
  </a>
  <a r="1">
    <v t="r">1050</v>
  </a>
  <a r="1">
    <v t="r">1059</v>
  </a>
  <a r="1">
    <v t="r">1081</v>
  </a>
  <a r="1">
    <v t="r">1110</v>
  </a>
  <a r="1">
    <v t="r">1134</v>
  </a>
  <a r="1">
    <v t="r">1143</v>
  </a>
  <a r="1">
    <v t="r">1165</v>
  </a>
  <a r="1">
    <v t="r">1174</v>
  </a>
  <a r="1">
    <v t="r">1184</v>
  </a>
  <a r="1">
    <v t="r">1200</v>
  </a>
  <a r="1">
    <v t="s">Samir Casadiego (Alcalde)</v>
  </a>
  <a r="1">
    <v t="r">1216</v>
  </a>
  <a r="1">
    <v t="r">1225</v>
  </a>
  <a r="1">
    <v t="r">1234</v>
  </a>
  <a r="1">
    <v t="r">1276</v>
  </a>
  <a r="1">
    <v t="r">1291</v>
  </a>
  <a r="1">
    <v t="r">1301</v>
  </a>
  <a r="1">
    <v t="r">1310</v>
  </a>
  <a r="1">
    <v t="r">1354</v>
  </a>
  <a r="1">
    <v t="r">1364</v>
  </a>
  <a r="1">
    <v t="r">1373</v>
  </a>
  <a r="1">
    <v t="r">1383</v>
  </a>
  <a r="1">
    <v t="r">1392</v>
  </a>
</arrayData>
</file>

<file path=xl/richData/rdrichvalue.xml><?xml version="1.0" encoding="utf-8"?>
<rvData xmlns="http://schemas.microsoft.com/office/spreadsheetml/2017/richdata" count="1397">
  <rv s="0">
    <v>536870912</v>
    <v>Antioquia</v>
    <v>d3614470-a93c-5d64-a636-9da2dff33c3d</v>
    <v>es-ES</v>
    <v>Map</v>
  </rv>
  <rv s="0">
    <v>536870912</v>
    <v>Carepa</v>
    <v>15ccb093-369a-673d-20f8-a7beca717014</v>
    <v>es-ES</v>
    <v>Map</v>
  </rv>
  <rv s="0">
    <v>536870912</v>
    <v>Necoclí</v>
    <v>dbb01946-e5e0-cab8-8062-b13b186528b6</v>
    <v>es-ES</v>
    <v>Map</v>
  </rv>
  <rv s="0">
    <v>536870912</v>
    <v>Turbo</v>
    <v>fc8c5c3c-234f-2c73-369d-1167761fbe17</v>
    <v>es-ES</v>
    <v>Map</v>
  </rv>
  <rv s="0">
    <v>536870912</v>
    <v>Santa Rosa de Osos</v>
    <v>0a38bd73-ff9c-5b9e-603f-c55465b72c97</v>
    <v>es-ES</v>
    <v>Map</v>
  </rv>
  <rv s="0">
    <v>536870912</v>
    <v>Rionegro</v>
    <v>28a34ae3-7966-9920-af59-c94c075e1c6f</v>
    <v>es-ES</v>
    <v>Map</v>
  </rv>
  <rv s="0">
    <v>536870912</v>
    <v>La Pintada</v>
    <v>8d59dc57-0071-2a08-b69b-4461ea8f3bd4</v>
    <v>es-ES</v>
    <v>Map</v>
  </rv>
  <rv s="0">
    <v>536870912</v>
    <v>Caucasia</v>
    <v>0dbc557a-5515-3e17-9ce3-16247554b001</v>
    <v>es-ES</v>
    <v>Map</v>
  </rv>
  <rv s="0">
    <v>536870912</v>
    <v>Puerto Berrío</v>
    <v>73d641d7-3944-a008-361e-2503d4343f0d</v>
    <v>es-ES</v>
    <v>Map</v>
  </rv>
  <rv s="0">
    <v>536870912</v>
    <v>Arauca</v>
    <v>39038b52-0399-9385-24de-5d0c69b46eba</v>
    <v>es-ES</v>
    <v>Map</v>
  </rv>
  <rv s="0">
    <v>536870912</v>
    <v>Arauquita</v>
    <v>523b9f64-2137-3297-dad2-da3db34fe2f7</v>
    <v>es-ES</v>
    <v>Map</v>
  </rv>
  <rv s="0">
    <v>536870912</v>
    <v>Tame</v>
    <v>0272ac23-341f-568d-c9b0-cb8c52e1f852</v>
    <v>es-ES</v>
    <v>Map</v>
  </rv>
  <rv s="0">
    <v>536870912</v>
    <v>Saravena</v>
    <v>d4c6565f-2395-f9bc-d5da-ea1b2347981c</v>
    <v>es-ES</v>
    <v>Map</v>
  </rv>
  <rv s="0">
    <v>536870912</v>
    <v>Atlántico</v>
    <v>060406d2-f65b-ee44-bba7-291bad263612</v>
    <v>es-ES</v>
    <v>Map</v>
  </rv>
  <rv s="0">
    <v>536870912</v>
    <v>Soledad</v>
    <v>9581fbfc-9725-e0f8-2b96-d8d0f8d1b8f7</v>
    <v>es-ES</v>
    <v>Map</v>
  </rv>
  <rv s="0">
    <v>536870912</v>
    <v>Bolívar</v>
    <v>38fa99f2-3e47-af72-2f25-81f620fe1128</v>
    <v>es-ES</v>
    <v>Map</v>
  </rv>
  <rv s="0">
    <v>536870912</v>
    <v>Cartagena de Indias</v>
    <v>722cd66d-65f4-7a40-33a0-17719bf6238a</v>
    <v>es-ES</v>
    <v>Map</v>
  </rv>
  <rv s="0">
    <v>536870912</v>
    <v>Santa Cruz de Mompox</v>
    <v>ed71198c-eb01-c7fa-78b8-c796c4bdd403</v>
    <v>es-ES</v>
    <v>Map</v>
  </rv>
  <rv s="0">
    <v>536870912</v>
    <v>Magangué</v>
    <v>9b2527d5-803f-5eab-a590-3a74b9092932</v>
    <v>es-ES</v>
    <v>Map</v>
  </rv>
  <rv s="0">
    <v>536870912</v>
    <v>San Juan Nepomuceno</v>
    <v>f5afa2d7-5f9b-c6dc-dda0-6c3a35e33158</v>
    <v>es-ES</v>
    <v>Map</v>
  </rv>
  <rv s="0">
    <v>536870912</v>
    <v>El Carmen de Bolívar</v>
    <v>eaad625f-bb48-f8e2-4112-6730cd5d7c77</v>
    <v>es-ES</v>
    <v>Map</v>
  </rv>
  <rv s="0">
    <v>536870912</v>
    <v>Boyacá</v>
    <v>951b3076-f33d-486b-9b35-d6d83aad8b98</v>
    <v>es-ES</v>
    <v>Map</v>
  </rv>
  <rv s="0">
    <v>536870912</v>
    <v>Sogamoso</v>
    <v>460e7e84-a420-238d-3504-767025713023</v>
    <v>es-ES</v>
    <v>Map</v>
  </rv>
  <rv s="0">
    <v>536870912</v>
    <v>Duitama</v>
    <v>d1dafe95-be39-492c-2f13-171ae978fc0e</v>
    <v>es-ES</v>
    <v>Map</v>
  </rv>
  <rv s="0">
    <v>536870912</v>
    <v>Tunja</v>
    <v>27d685ee-2724-70fe-3ed2-724fbc283d31</v>
    <v>es-ES</v>
    <v>Map</v>
  </rv>
  <rv s="0">
    <v>536870912</v>
    <v>Miraflores</v>
    <v>2f8bf18c-fa0d-983d-488e-6c0f0ddf35a1</v>
    <v>es-ES</v>
    <v>Map</v>
  </rv>
  <rv s="0">
    <v>536870912</v>
    <v>Soatá</v>
    <v>054f7d2c-ca84-a13e-80e7-eaa2bd77952e</v>
    <v>es-ES</v>
    <v>Map</v>
  </rv>
  <rv s="0">
    <v>536870912</v>
    <v>Garagoa</v>
    <v>3f346ad7-f911-31de-470f-eb819c7deb4c</v>
    <v>es-ES</v>
    <v>Map</v>
  </rv>
  <rv s="0">
    <v>536870912</v>
    <v>Moniquirá</v>
    <v>d848eb78-9ea0-fec1-2adf-4ad9dd429e8d</v>
    <v>es-ES</v>
    <v>Map</v>
  </rv>
  <rv s="0">
    <v>536870912</v>
    <v>Puerto Boyacá</v>
    <v>10bf3bb7-2af0-e28f-b2f5-6ef2f3172266</v>
    <v>es-ES</v>
    <v>Map</v>
  </rv>
  <rv s="0">
    <v>536870912</v>
    <v>Chiquinquirá</v>
    <v>fed91fe3-9f87-98f3-0737-a89103e54741</v>
    <v>es-ES</v>
    <v>Map</v>
  </rv>
  <rv s="0">
    <v>536870912</v>
    <v>Cubará</v>
    <v>579dcdd9-3f9f-8943-85cf-d554c058bc42</v>
    <v>es-ES</v>
    <v>Map</v>
  </rv>
  <rv s="0">
    <v>536870912</v>
    <v>Caldas</v>
    <v>85871477-49bf-4c76-2b8d-3f2500f444d8</v>
    <v>es-ES</v>
    <v>Map</v>
  </rv>
  <rv s="0">
    <v>536870912</v>
    <v>La Dorada</v>
    <v>873bedf5-d60d-4ad2-9db3-1e75f43e6d5f</v>
    <v>es-ES</v>
    <v>Map</v>
  </rv>
  <rv s="0">
    <v>536870912</v>
    <v>Manizales</v>
    <v>bd9d0749-454d-d6e3-1695-5fdb48ea0d4f</v>
    <v>es-ES</v>
    <v>Map</v>
  </rv>
  <rv s="0">
    <v>536870912</v>
    <v>Caquetá</v>
    <v>52c6ce36-10f4-7316-b10a-41d0eb67ac75</v>
    <v>es-ES</v>
    <v>Map</v>
  </rv>
  <rv s="0">
    <v>536870912</v>
    <v>Florencia</v>
    <v>cd593b92-5ec9-6358-d982-76274f18d53c</v>
    <v>es-ES</v>
    <v>Map</v>
  </rv>
  <rv s="0">
    <v>536870912</v>
    <v>San Vicente del Caguán</v>
    <v>88cadef9-790d-bd78-9983-2a829f2c8540</v>
    <v>es-ES</v>
    <v>Map</v>
  </rv>
  <rv s="0">
    <v>536870912</v>
    <v>Puerto Rico</v>
    <v>e280c4a6-73de-2efa-9930-f106362f3ad4</v>
    <v>es-ES</v>
    <v>Map</v>
  </rv>
  <rv s="0">
    <v>536870912</v>
    <v>Roncello</v>
    <v>5cbd569c-850f-53d1-c02a-5eb1650d9dc2</v>
    <v>es-ES</v>
    <v>Map</v>
  </rv>
  <rv s="0">
    <v>536870912</v>
    <v>Cartagena del Chairá</v>
    <v>761429d0-e376-39cb-fa99-d4df1d68a102</v>
    <v>es-ES</v>
    <v>Map</v>
  </rv>
  <rv s="0">
    <v>536870912</v>
    <v>Albania</v>
    <v>b2d6f4ad-760a-f66b-9259-5df832135a65</v>
    <v>es-ES</v>
    <v>Map</v>
  </rv>
  <rv s="0">
    <v>536870912</v>
    <v>Casanare</v>
    <v>e7b3ed4f-03e8-7516-f976-b525e8a0b565</v>
    <v>es-ES</v>
    <v>Map</v>
  </rv>
  <rv s="0">
    <v>536870912</v>
    <v>Yopal</v>
    <v>b5d1013d-669c-c464-2466-3c8409cb17e0</v>
    <v>es-ES</v>
    <v>Map</v>
  </rv>
  <rv s="0">
    <v>536870912</v>
    <v>Villanueva</v>
    <v>e7507f20-e576-d076-730a-ca8372db9ee6</v>
    <v>es-ES</v>
    <v>Map</v>
  </rv>
  <rv s="0">
    <v>536870912</v>
    <v>Tauramena</v>
    <v>1ad8c4da-950b-a3d0-c532-ceddd2d50f40</v>
    <v>es-ES</v>
    <v>Map</v>
  </rv>
  <rv s="0">
    <v>536870912</v>
    <v>Paz de Ariporo</v>
    <v>4555eb38-85d4-a867-f108-df2e8afb78b8</v>
    <v>es-ES</v>
    <v>Map</v>
  </rv>
  <rv s="0">
    <v>536870912</v>
    <v>Hato Corozal</v>
    <v>f155cebb-45d9-baad-927c-e472deef8a26</v>
    <v>es-ES</v>
    <v>Map</v>
  </rv>
  <rv s="0">
    <v>536870912</v>
    <v>Trinidad</v>
    <v>cba97817-1ec3-e6f3-7173-db413026e07a</v>
    <v>es-ES</v>
    <v>Map</v>
  </rv>
  <rv s="0">
    <v>536870912</v>
    <v>Orocué</v>
    <v>979d0022-50fd-b849-6b87-e6b4b227ac24</v>
    <v>es-ES</v>
    <v>Map</v>
  </rv>
  <rv s="0">
    <v>536870912</v>
    <v>Cauca</v>
    <v>7b3864e4-af68-447f-d9bc-075dd9085ef8</v>
    <v>es-ES</v>
    <v>Map</v>
  </rv>
  <rv s="0">
    <v>536870912</v>
    <v>Popayán</v>
    <v>00cf04a3-1af5-9cf7-1cb0-ff1a2de87d79</v>
    <v>es-ES</v>
    <v>Map</v>
  </rv>
  <rv s="0">
    <v>536870912</v>
    <v>Santander de Quilichao</v>
    <v>8ddf7307-e0ef-1911-cf2a-13ce14840519</v>
    <v>es-ES</v>
    <v>Map</v>
  </rv>
  <rv s="0">
    <v>536870912</v>
    <v>El Bordo</v>
    <v>39d1c0b3-9e2e-8874-f5fb-0fd2e68dc53c</v>
    <v>es-ES</v>
    <v>Map</v>
  </rv>
  <rv s="0">
    <v>536870912</v>
    <v>Cesar</v>
    <v>acf0353b-c9e7-bf27-fe4d-0e199bc80085</v>
    <v>es-ES</v>
    <v>Map</v>
  </rv>
  <rv s="0">
    <v>536870912</v>
    <v>Aguachica</v>
    <v>f2de9a1a-656e-b920-a2f1-202992039b20</v>
    <v>es-ES</v>
    <v>Map</v>
  </rv>
  <rv s="0">
    <v>536870912</v>
    <v>Valledupar</v>
    <v>6fe413f4-0dd2-f600-611d-ac12bfd296ec</v>
    <v>es-ES</v>
    <v>Map</v>
  </rv>
  <rv s="0">
    <v>536870912</v>
    <v>Agustín Codazzi</v>
    <v>9c16bc90-7b1a-61ce-8ca7-9ea5c31cc61a</v>
    <v>es-ES</v>
    <v>Map</v>
  </rv>
  <rv s="0">
    <v>536870912</v>
    <v>Bosconia</v>
    <v>f7884add-d25b-0cb2-735d-d22d63a997d8</v>
    <v>es-ES</v>
    <v>Map</v>
  </rv>
  <rv s="0">
    <v>536870912</v>
    <v>Chiriguaná</v>
    <v>79cbdba6-0614-bea5-db05-d68730fb9b0f</v>
    <v>es-ES</v>
    <v>Map</v>
  </rv>
  <rv s="0">
    <v>536870912</v>
    <v>Pailitas</v>
    <v>7f1acfac-faf7-31c0-a3af-b32abe46f7b8</v>
    <v>es-ES</v>
    <v>Map</v>
  </rv>
  <rv s="0">
    <v>536870912</v>
    <v>San Juan del Cesar</v>
    <v>78f5620c-d29b-68df-b515-c0385ca8ebf7</v>
    <v>es-ES</v>
    <v>Map</v>
  </rv>
  <rv s="0">
    <v>536870912</v>
    <v>San Alberto</v>
    <v>157c9697-fd7f-d23b-b79d-98c010917982</v>
    <v>es-ES</v>
    <v>Map</v>
  </rv>
  <rv s="0">
    <v>536870912</v>
    <v>Córdoba</v>
    <v>351fe87f-ca62-b128-b52c-3edd6fa6b80f</v>
    <v>es-ES</v>
    <v>Map</v>
  </rv>
  <rv s="0">
    <v>536870912</v>
    <v>Cereté</v>
    <v>76240cf8-7a26-a1d9-ad18-24d320449b52</v>
    <v>es-ES</v>
    <v>Map</v>
  </rv>
  <rv s="0">
    <v>536870912</v>
    <v>Montería</v>
    <v>93a2a83d-0f56-b138-74ba-8c68692fbc74</v>
    <v>es-ES</v>
    <v>Map</v>
  </rv>
  <rv s="0">
    <v>536870912</v>
    <v>Santa Cruz de Lorica</v>
    <v>4e61ad98-2d85-4ad7-99e3-d6120cbf552a</v>
    <v>es-ES</v>
    <v>Map</v>
  </rv>
  <rv s="0">
    <v>536870912</v>
    <v>Sahagún</v>
    <v>fc4ed85e-6d77-cf03-0ca8-747f52e22e51</v>
    <v>es-ES</v>
    <v>Map</v>
  </rv>
  <rv s="0">
    <v>536870912</v>
    <v>Planeta Rica</v>
    <v>96917a2f-f110-15bc-3c1b-58b061b0ce83</v>
    <v>es-ES</v>
    <v>Map</v>
  </rv>
  <rv s="0">
    <v>536870912</v>
    <v>El Banco</v>
    <v>6a6f3369-0b50-88b5-6261-927cdcb5ce94</v>
    <v>es-ES</v>
    <v>Map</v>
  </rv>
  <rv s="0">
    <v>536870912</v>
    <v>Valencia</v>
    <v>08872011-65a9-1062-244f-848f0d12fc9f</v>
    <v>es-ES</v>
    <v>Map</v>
  </rv>
  <rv s="0">
    <v>536870912</v>
    <v>Tierralta</v>
    <v>0bc4d0e7-1b44-b2ef-2941-67ed8ec39940</v>
    <v>es-ES</v>
    <v>Map</v>
  </rv>
  <rv s="0">
    <v>536870912</v>
    <v>Ayapel</v>
    <v>edb3d630-2870-f623-6988-db4219e67a81</v>
    <v>es-ES</v>
    <v>Map</v>
  </rv>
  <rv s="0">
    <v>536870912</v>
    <v>Montelíbano</v>
    <v>77c7fbcc-cf0b-f71e-03a8-a86b6cfbe840</v>
    <v>es-ES</v>
    <v>Map</v>
  </rv>
  <rv s="0">
    <v>536870912</v>
    <v>Cundinamarca</v>
    <v>26fc374f-923b-d32c-4651-e3e8c06fc3ed</v>
    <v>es-ES</v>
    <v>Map</v>
  </rv>
  <rv s="0">
    <v>536870912</v>
    <v>Soacha</v>
    <v>e01822f2-bf13-5165-0346-f6906e2e9db3</v>
    <v>es-ES</v>
    <v>Map</v>
  </rv>
  <rv s="0">
    <v>536870912</v>
    <v>Tabio</v>
    <v>95f3d99e-6901-d096-2413-6de0a8abfc4d</v>
    <v>es-ES</v>
    <v>Map</v>
  </rv>
  <rv s="0">
    <v>536870912</v>
    <v>Chía</v>
    <v>34fd9655-70af-4677-b8c2-608475482e5d</v>
    <v>es-ES</v>
    <v>Map</v>
  </rv>
  <rv s="0">
    <v>536870912</v>
    <v>Ubaté</v>
    <v>fc7131f7-4c8c-c5d4-64ba-de7c6207c254</v>
    <v>es-ES</v>
    <v>Map</v>
  </rv>
  <rv s="0">
    <v>536870912</v>
    <v>Cáqueza</v>
    <v>95d0c32a-24ea-bffa-609c-cd6f30338873</v>
    <v>es-ES</v>
    <v>Map</v>
  </rv>
  <rv s="0">
    <v>536870912</v>
    <v>Fusagasugá</v>
    <v>af8b44bc-62e3-9c70-66da-429dfd87344d</v>
    <v>es-ES</v>
    <v>Map</v>
  </rv>
  <rv s="0">
    <v>536870912</v>
    <v>Zipaquirá</v>
    <v>9ab124e1-70fd-a8b4-a6ab-ae915622b237</v>
    <v>es-ES</v>
    <v>Map</v>
  </rv>
  <rv s="0">
    <v>536870912</v>
    <v>Yacopí</v>
    <v>9b49d2ba-3edc-f389-5fce-726000cee385</v>
    <v>es-ES</v>
    <v>Map</v>
  </rv>
  <rv s="0">
    <v>536870912</v>
    <v>Pacho</v>
    <v>9cb14bb5-628f-326f-9b4b-5b8e79ac8be5</v>
    <v>es-ES</v>
    <v>Map</v>
  </rv>
  <rv s="0">
    <v>536870912</v>
    <v>Medina</v>
    <v>8ff6de63-587e-8d4c-08a5-18cc0f866c72</v>
    <v>es-ES</v>
    <v>Map</v>
  </rv>
  <rv s="0">
    <v>536870912</v>
    <v>Chocontá</v>
    <v>6f15d0e0-3a7e-0616-9bdb-f25f626bfb01</v>
    <v>es-ES</v>
    <v>Map</v>
  </rv>
  <rv s="0">
    <v>536870912</v>
    <v>Facatativá</v>
    <v>d554a7fd-331c-4f3f-9790-8c2dd6e7ed14</v>
    <v>es-ES</v>
    <v>Map</v>
  </rv>
  <rv s="0">
    <v>536870912</v>
    <v>Villeta</v>
    <v>c79e44fb-4343-10e5-4200-005f0bc0bd24</v>
    <v>es-ES</v>
    <v>Map</v>
  </rv>
  <rv s="0">
    <v>536870912</v>
    <v>Gachetá</v>
    <v>e6e63a2c-b137-d688-513d-bd2f407a4da3</v>
    <v>es-ES</v>
    <v>Map</v>
  </rv>
  <rv s="0">
    <v>536870912</v>
    <v>La Mesa</v>
    <v>05342d97-137a-6420-7515-5c1c5d5427e4</v>
    <v>es-ES</v>
    <v>Map</v>
  </rv>
  <rv s="0">
    <v>536870912</v>
    <v>Girardot</v>
    <v>6ac83635-ed8d-fef7-5d50-efb838599e58</v>
    <v>es-ES</v>
    <v>Map</v>
  </rv>
  <rv s="0">
    <v>536870912</v>
    <v>Huila</v>
    <v>2752ef70-1772-e264-2348-e4146224c108</v>
    <v>es-ES</v>
    <v>Map</v>
  </rv>
  <rv s="0">
    <v>536870912</v>
    <v>Neiva</v>
    <v>1ba988f0-6907-b536-88ad-b89bb1269fc5</v>
    <v>es-ES</v>
    <v>Map</v>
  </rv>
  <rv s="0">
    <v>536870912</v>
    <v>Pitalito</v>
    <v>4ee162d5-bf29-9941-5a86-7b8f86506374</v>
    <v>es-ES</v>
    <v>Map</v>
  </rv>
  <rv s="0">
    <v>536870912</v>
    <v>La Plata</v>
    <v>9b5db416-9c1f-433a-ff22-59a5a22e63e6</v>
    <v>es-ES</v>
    <v>Map</v>
  </rv>
  <rv s="0">
    <v>536870912</v>
    <v>Garzón</v>
    <v>84571607-f13b-ef4a-da70-6a3e9dadff33</v>
    <v>es-ES</v>
    <v>Map</v>
  </rv>
  <rv s="0">
    <v>536870912</v>
    <v>Magdalena</v>
    <v>dcdd93f1-b99c-7653-25fe-53654ad52fa2</v>
    <v>es-ES</v>
    <v>Map</v>
  </rv>
  <rv s="0">
    <v>536870912</v>
    <v>Zona Bananera</v>
    <v>a5d6f97c-d170-ed35-9fca-942b4a848b63</v>
    <v>es-ES</v>
    <v>Map</v>
  </rv>
  <rv s="0">
    <v>536870912</v>
    <v>Fundación</v>
    <v>b084b749-d4f7-c64a-5444-bb683c47f441</v>
    <v>es-ES</v>
    <v>Map</v>
  </rv>
  <rv s="0">
    <v>536870912</v>
    <v>Santa Marta</v>
    <v>d09d4730-feb7-30ca-9a61-7c9689075b16</v>
    <v>es-ES</v>
    <v>Map</v>
  </rv>
  <rv s="0">
    <v>536870912</v>
    <v>Ariguaní</v>
    <v>2e92e958-e14c-53de-71b5-f756b91e59c1</v>
    <v>es-ES</v>
    <v>Map</v>
  </rv>
  <rv s="0">
    <v>536870912</v>
    <v>Plato</v>
    <v>8e9001c6-c44d-baef-4a62-299ea086f4cb</v>
    <v>es-ES</v>
    <v>Map</v>
  </rv>
  <rv s="0">
    <v>536870912</v>
    <v>Meta</v>
    <v>30c3c263-a281-f2d2-6787-511d37d41ddf</v>
    <v>es-ES</v>
    <v>Map</v>
  </rv>
  <rv s="0">
    <v>536870912</v>
    <v>Villavicencio</v>
    <v>061f744c-689b-fc4e-336d-58ff74f02bb7</v>
    <v>es-ES</v>
    <v>Map</v>
  </rv>
  <rv s="0">
    <v>536870912</v>
    <v>Restrepo</v>
    <v>979e053d-2fbb-9fdf-5b7a-51704426c2c2</v>
    <v>es-ES</v>
    <v>Map</v>
  </rv>
  <rv s="0">
    <v>536870912</v>
    <v>Cumaral</v>
    <v>5737ca7a-9c28-efbe-9d76-192842bbde38</v>
    <v>es-ES</v>
    <v>Map</v>
  </rv>
  <rv s="0">
    <v>536870912</v>
    <v>Acacías</v>
    <v>8d515ea8-f8bc-f573-aade-696f1443f916</v>
    <v>es-ES</v>
    <v>Map</v>
  </rv>
  <rv s="0">
    <v>536870912</v>
    <v>Guamal</v>
    <v>945f56ae-1d37-5362-0e41-41c6414a528f</v>
    <v>es-ES</v>
    <v>Map</v>
  </rv>
  <rv s="0">
    <v>536870912</v>
    <v>San Martín</v>
    <v>cc222463-998f-446e-8e15-bd94eed5b3c1</v>
    <v>es-ES</v>
    <v>Map</v>
  </rv>
  <rv s="0">
    <v>536870912</v>
    <v>Granada</v>
    <v>ac6f02c8-0ccc-4f87-69ee-2c42d9251f83</v>
    <v>es-ES</v>
    <v>Map</v>
  </rv>
  <rv s="0">
    <v>536870912</v>
    <v>San Juan de Arama</v>
    <v>a653d20b-e1c5-78a8-aee7-c7a8e0e7015a</v>
    <v>es-ES</v>
    <v>Map</v>
  </rv>
  <rv s="0">
    <v>536870912</v>
    <v>Puerto López</v>
    <v>6bf5f8e6-5a33-7203-c01e-c5120848fb41</v>
    <v>es-ES</v>
    <v>Map</v>
  </rv>
  <rv s="0">
    <v>536870912</v>
    <v>Puerto Gaitán</v>
    <v>8fcdaaff-96da-1e76-3ef6-98629ebac36a</v>
    <v>es-ES</v>
    <v>Map</v>
  </rv>
  <rv s="0">
    <v>536870912</v>
    <v>Nariño</v>
    <v>1b9faaa5-ba49-9e9a-6edd-39ceed297f8f</v>
    <v>es-ES</v>
    <v>Map</v>
  </rv>
  <rv s="0">
    <v>536870912</v>
    <v>Pasto</v>
    <v>dc2554b9-27d5-309d-89c4-5936459ccb5e</v>
    <v>es-ES</v>
    <v>Map</v>
  </rv>
  <rv s="0">
    <v>536870912</v>
    <v>Ipiales</v>
    <v>de3fbace-23b8-c781-1dd0-49b331db3b49</v>
    <v>es-ES</v>
    <v>Map</v>
  </rv>
  <rv s="0">
    <v>536870912</v>
    <v>Túquerres</v>
    <v>ab21fc96-def5-fe65-64c8-fd528b52a2cb</v>
    <v>es-ES</v>
    <v>Map</v>
  </rv>
  <rv s="0">
    <v>536870912</v>
    <v>Guachucal</v>
    <v>6ad4a957-4cf9-22d1-96b4-f95a27a5b531</v>
    <v>es-ES</v>
    <v>Map</v>
  </rv>
  <rv s="0">
    <v>536870912</v>
    <v>La Cruz</v>
    <v>89088007-69de-1ae8-5ee9-0874789f5d86</v>
    <v>es-ES</v>
    <v>Map</v>
  </rv>
  <rv s="0">
    <v>536870912</v>
    <v>Norte de Santander</v>
    <v>d44c8def-e6be-c3f1-ab4e-e27af99a2e0b</v>
    <v>es-ES</v>
    <v>Map</v>
  </rv>
  <rv s="0">
    <v>536870912</v>
    <v>Cúcuta</v>
    <v>5a90774d-aeea-6f03-17a8-2126ffdffef3</v>
    <v>es-ES</v>
    <v>Map</v>
  </rv>
  <rv s="0">
    <v>536870912</v>
    <v>Paestum</v>
    <v>4cdc32ff-6cf0-0c20-dc76-94b463ad28f0</v>
    <v>es-ES</v>
    <v>Map</v>
  </rv>
  <rv s="0">
    <v>536870912</v>
    <v>Pamplona</v>
    <v>765727eb-18b2-f788-b322-04b90510c469</v>
    <v>es-ES</v>
    <v>Map</v>
  </rv>
  <rv s="0">
    <v>536870912</v>
    <v>Ocaña</v>
    <v>a155f8fa-1267-58b9-16da-e58c8fed9a4e</v>
    <v>es-ES</v>
    <v>Map</v>
  </rv>
  <rv s="0">
    <v>536870912</v>
    <v>Quindío</v>
    <v>0bb62acd-b714-a5dd-dc49-6f69ddaba02c</v>
    <v>es-ES</v>
    <v>Map</v>
  </rv>
  <rv s="0">
    <v>536870912</v>
    <v>Armenia</v>
    <v>9f713bea-584e-bcb2-fad2-76734e840ef6</v>
    <v>es-ES</v>
    <v>Map</v>
  </rv>
  <rv s="0">
    <v>536870912</v>
    <v>Barrancabermeja</v>
    <v>e5fb42a3-0621-0d81-dd30-684cd6265cca</v>
    <v>es-ES</v>
    <v>Map</v>
  </rv>
  <rv s="0">
    <v>536870912</v>
    <v>Santander</v>
    <v>98fbfaa3-063d-4261-a806-2b84a0339e05</v>
    <v>es-ES</v>
    <v>Map</v>
  </rv>
  <rv s="0">
    <v>536870912</v>
    <v>Bucaramanga</v>
    <v>b2b7d5d4-6e24-8927-87fe-0c327b2b2c86</v>
    <v>es-ES</v>
    <v>Map</v>
  </rv>
  <rv s="0">
    <v>536870912</v>
    <v>San Vicente de Chucurí</v>
    <v>d9421e0e-03a0-c753-ed8e-c88b4359529c</v>
    <v>es-ES</v>
    <v>Map</v>
  </rv>
  <rv s="0">
    <v>536870912</v>
    <v>Cimitarra</v>
    <v>2c7850e1-06c5-50e8-bdee-deb045acef05</v>
    <v>es-ES</v>
    <v>Map</v>
  </rv>
  <rv s="0">
    <v>536870912</v>
    <v>Sabana de Torres</v>
    <v>03cad8f1-2571-65ec-096a-ca95079b7eb5</v>
    <v>es-ES</v>
    <v>Map</v>
  </rv>
  <rv s="0">
    <v>536870912</v>
    <v>Málaga</v>
    <v>59403446-1b20-c02d-8252-069be6e117c7</v>
    <v>es-ES</v>
    <v>Map</v>
  </rv>
  <rv s="0">
    <v>536870912</v>
    <v>San Gil</v>
    <v>46984d9d-8c31-e8c3-cb0f-5019bb361ec9</v>
    <v>es-ES</v>
    <v>Map</v>
  </rv>
  <rv s="0">
    <v>536870912</v>
    <v>El Socorro</v>
    <v>01e919be-ebf8-cee0-5582-2424304aecc0</v>
    <v>es-ES</v>
    <v>Map</v>
  </rv>
  <rv s="0">
    <v>536870912</v>
    <v>Vélez</v>
    <v>1bf43880-7a82-3484-d131-3a327e640153</v>
    <v>es-ES</v>
    <v>Map</v>
  </rv>
  <rv s="0">
    <v>536870912</v>
    <v>Sucre</v>
    <v>771a5a65-ef7a-6112-a7e0-0a670038add2</v>
    <v>es-ES</v>
    <v>Map</v>
  </rv>
  <rv s="0">
    <v>536870912</v>
    <v>Sincelejo</v>
    <v>21d0cd93-77e9-2ee0-a57e-1dbd351f1563</v>
    <v>es-ES</v>
    <v>Map</v>
  </rv>
  <rv s="0">
    <v>536870912</v>
    <v>Corozal</v>
    <v>6aad032c-97ae-7ca8-2271-c492c7342863</v>
    <v>es-ES</v>
    <v>Map</v>
  </rv>
  <rv s="0">
    <v>536870912</v>
    <v>Majagual</v>
    <v>84493330-fea6-ad24-e65c-6d53ba129b54</v>
    <v>es-ES</v>
    <v>Map</v>
  </rv>
  <rv s="0">
    <v>536870912</v>
    <v>San Marcos</v>
    <v>08e723c2-cc67-5e64-7399-a5694c50e1e0</v>
    <v>es-ES</v>
    <v>Map</v>
  </rv>
  <rv s="0">
    <v>536870912</v>
    <v>San Onofre</v>
    <v>653e3506-6ada-c6f5-b403-d1b5d92ec5b8</v>
    <v>es-ES</v>
    <v>Map</v>
  </rv>
  <rv s="0">
    <v>536870912</v>
    <v>Sincé</v>
    <v>1db07bd9-cf59-2889-a231-3e51bf83c754</v>
    <v>es-ES</v>
    <v>Map</v>
  </rv>
  <rv s="0">
    <v>536870912</v>
    <v>Toluviejo</v>
    <v>899f526e-a73a-c3eb-f247-3e6d61f734a3</v>
    <v>es-ES</v>
    <v>Map</v>
  </rv>
  <rv s="0">
    <v>536870912</v>
    <v>Tolima</v>
    <v>9f5d3f6f-e4de-1042-2cb7-b84911d028d4</v>
    <v>es-ES</v>
    <v>Map</v>
  </rv>
  <rv s="0">
    <v>536870912</v>
    <v>Ibagué</v>
    <v>43cc9ce9-0faf-3537-c0bc-350b79430d14</v>
    <v>es-ES</v>
    <v>Map</v>
  </rv>
  <rv s="0">
    <v>536870912</v>
    <v>Valle del Cauca</v>
    <v>ce6e3742-88ee-970c-b7e9-de685afbebe8</v>
    <v>es-ES</v>
    <v>Map</v>
  </rv>
  <rv s="0">
    <v>536870912</v>
    <v>Palmira</v>
    <v>f63350da-fa34-4acc-cb23-e1073b952d9f</v>
    <v>es-ES</v>
    <v>Map</v>
  </rv>
  <rv s="0">
    <v>536870912</v>
    <v>Tuluá</v>
    <v>b8ca6c04-5a33-791a-899a-9e92079c5bd7</v>
    <v>es-ES</v>
    <v>Map</v>
  </rv>
  <rv s="1">
    <fb>140</fb>
    <v>9</v>
  </rv>
  <rv s="0">
    <v>536870912</v>
    <v>Quindío</v>
    <v>0bb62acd-b714-a5dd-dc49-6f69ddaba02c</v>
    <v>es-CO</v>
    <v>Map</v>
  </rv>
  <rv s="2">
    <v>124</v>
    <v>7</v>
    <v>0</v>
    <v>7</v>
    <v>0</v>
    <v>Image of Armenia</v>
  </rv>
  <rv s="1">
    <fb>4.5388888888889003</fb>
    <v>10</v>
  </rv>
  <rv s="3">
    <v>https://www.bing.com/search?q=Armenia+Quind%c3%ado&amp;form=skydnc</v>
    <v>Aprenda más con Bing</v>
  </rv>
  <rv s="0">
    <v>805306368</v>
    <v>José Manuel Ríos Morales (Alcalde)</v>
    <v>e6a33032-bef6-fa3d-0515-57afb7af841b</v>
    <v>es-CO</v>
    <v>Generic</v>
  </rv>
  <rv s="4">
    <v>0</v>
  </rv>
  <rv s="1">
    <fb>-75.672499999999999</fb>
    <v>10</v>
  </rv>
  <rv s="0">
    <v>536870912</v>
    <v>Colombia</v>
    <v>c396e3d8-2a85-d230-f691-7850536d840e</v>
    <v>es-CO</v>
    <v>Map</v>
  </rv>
  <rv s="1">
    <fb>301226</fb>
    <v>9</v>
  </rv>
  <rv s="5">
    <v>#VALUE!</v>
    <v>es-ES</v>
    <v>9f713bea-584e-bcb2-fad2-76734e840ef6</v>
    <v>536870912</v>
    <v>1</v>
    <v>1</v>
    <v>2</v>
    <v>3</v>
    <v>Armenia</v>
    <v>5</v>
    <v>6</v>
    <v>Map</v>
    <v>7</v>
    <v>8</v>
    <v>149</v>
    <v>Armenia es un municipio colombiano, capital del departamento del Quindío y núcleo económico de su área metropolitana. Es una de las principales ciudades del Eje Cafetero Colombiano, la Región Paisa y el Paisaje Cultural Cafetero. Una junta ...</v>
    <v>150</v>
    <v>151</v>
    <v>152</v>
    <v>153</v>
    <v>155</v>
    <v>156</v>
    <v>Armenia</v>
    <v>157</v>
    <v>158</v>
    <v>Armenia</v>
    <v>mdp/vdpid/5580601899104600065</v>
  </rv>
  <rv s="1">
    <fb>25020</fb>
    <v>9</v>
  </rv>
  <rv s="0">
    <v>536870912</v>
    <v>Montería</v>
    <v>93a2a83d-0f56-b138-74ba-8c68692fbc74</v>
    <v>es-CO</v>
    <v>Map</v>
  </rv>
  <rv s="2">
    <v>63</v>
    <v>7</v>
    <v>11</v>
    <v>7</v>
    <v>0</v>
    <v>Image of Córdoba</v>
  </rv>
  <rv s="3">
    <v>https://www.bing.com/search?q=C%c3%b3rdoba+Colombia&amp;form=skydnc</v>
    <v>Aprenda más con Bing</v>
  </rv>
  <rv s="0">
    <v>805306368</v>
    <v>Orlando Benítez (Gobernador)</v>
    <v>c6c77b6f-0061-4ef2-a001-13851fcd7c3a</v>
    <v>es-CO</v>
    <v>Generic</v>
  </rv>
  <rv s="4">
    <v>1</v>
  </rv>
  <rv s="1">
    <fb>1828947</fb>
    <v>9</v>
  </rv>
  <rv s="1">
    <fb>315928</fb>
    <v>9</v>
  </rv>
  <rv s="6">
    <v>#VALUE!</v>
    <v>es-ES</v>
    <v>351fe87f-ca62-b128-b52c-3edd6fa6b80f</v>
    <v>536870912</v>
    <v>1</v>
    <v>13</v>
    <v>14</v>
    <v>15</v>
    <v>Córdoba</v>
    <v>5</v>
    <v>6</v>
    <v>Map</v>
    <v>7</v>
    <v>16</v>
    <v>CO-COR</v>
    <v>160</v>
    <v>161</v>
    <v>161</v>
    <v>Córdoba es uno de los 32 departamentos que forman la República de Colombia. Su capital es Montería. Está ubicado al norte del país, en la región Caribe, limitando al norte con el mar Caribe. Con 1 868 166 habitantes en 2023, es el octavo ...</v>
    <v>162</v>
    <v>163</v>
    <v>165</v>
    <v>Córdoba</v>
    <v>157</v>
    <v>166</v>
    <v>167</v>
    <v>Córdoba</v>
    <v>mdp/vdpid/9418692</v>
  </rv>
  <rv s="1">
    <fb>196</fb>
    <v>9</v>
  </rv>
  <rv s="0">
    <v>536870912</v>
    <v>Antioquia</v>
    <v>d3614470-a93c-5d64-a636-9da2dff33c3d</v>
    <v>es-CO</v>
    <v>Map</v>
  </rv>
  <rv s="2">
    <v>5</v>
    <v>7</v>
    <v>17</v>
    <v>7</v>
    <v>0</v>
    <v>Image of Rionegro</v>
  </rv>
  <rv s="1">
    <fb>6.1533333333332996</fb>
    <v>10</v>
  </rv>
  <rv s="3">
    <v>https://www.bing.com/search?q=Rionegro+Antioquia&amp;form=skydnc</v>
    <v>Aprenda más con Bing</v>
  </rv>
  <rv s="0">
    <v>805306368</v>
    <v>Andrés Julián Rendón Cardona. (Alcalde)</v>
    <v>bce658cb-a172-766a-7e97-bc96bf354c5f</v>
    <v>es-CO</v>
    <v>Generic</v>
  </rv>
  <rv s="4">
    <v>2</v>
  </rv>
  <rv s="1">
    <fb>-75.374166666666994</fb>
    <v>10</v>
  </rv>
  <rv s="1">
    <fb>135465</fb>
    <v>9</v>
  </rv>
  <rv s="5">
    <v>#VALUE!</v>
    <v>es-ES</v>
    <v>28a34ae3-7966-9920-af59-c94c075e1c6f</v>
    <v>536870912</v>
    <v>1</v>
    <v>18</v>
    <v>2</v>
    <v>3</v>
    <v>Rionegro</v>
    <v>5</v>
    <v>6</v>
    <v>Map</v>
    <v>7</v>
    <v>8</v>
    <v>169</v>
    <v>Rionegro es un municipio de Colombia, ubicado en el departamento de Antioquia. Está localizado en el valle de San Nicolás o también llamado Altiplano del Oriente, en la subregión Oriente, siendo la ciudad con mayor población y la que concentra ...</v>
    <v>170</v>
    <v>171</v>
    <v>172</v>
    <v>173</v>
    <v>175</v>
    <v>176</v>
    <v>Rionegro</v>
    <v>157</v>
    <v>177</v>
    <v>Rionegro</v>
    <v>mdp/vdpid/5577512483796549633</v>
  </rv>
  <rv s="1">
    <fb>1568</fb>
    <v>9</v>
  </rv>
  <rv s="0">
    <v>536870912</v>
    <v>Bolívar</v>
    <v>38fa99f2-3e47-af72-2f25-81f620fe1128</v>
    <v>es-CO</v>
    <v>Map</v>
  </rv>
  <rv s="2">
    <v>18</v>
    <v>7</v>
    <v>19</v>
    <v>7</v>
    <v>0</v>
    <v>Image of Magangué</v>
  </rv>
  <rv s="1">
    <fb>9.2466666666666999</fb>
    <v>10</v>
  </rv>
  <rv s="3">
    <v>https://www.bing.com/search?q=Magangu%c3%a9&amp;form=skydnc</v>
    <v>Aprenda más con Bing</v>
  </rv>
  <rv s="0">
    <v>805306368</v>
    <v>Carlos Emil Cabrales Isaac (Alcalde)</v>
    <v>3179e960-a35f-880e-8fe0-814901e8ea57</v>
    <v>es-CO</v>
    <v>Generic</v>
  </rv>
  <rv s="4">
    <v>3</v>
  </rv>
  <rv s="1">
    <fb>-74.759444444444</fb>
    <v>10</v>
  </rv>
  <rv s="1">
    <fb>123906</fb>
    <v>9</v>
  </rv>
  <rv s="5">
    <v>#VALUE!</v>
    <v>es-ES</v>
    <v>9b2527d5-803f-5eab-a590-3a74b9092932</v>
    <v>536870912</v>
    <v>1</v>
    <v>20</v>
    <v>2</v>
    <v>3</v>
    <v>Magangué</v>
    <v>5</v>
    <v>6</v>
    <v>Map</v>
    <v>7</v>
    <v>21</v>
    <v>179</v>
    <v>Magangué es un municipio colombiano localizado a orillas del río Magdalena, en el departamento de Bolívar. Este municipio bolivarense es conocido como "La Ciudad de los Ríos", ya que en este lugar del país desembocan los ríos Cauca y San Jorge ...</v>
    <v>180</v>
    <v>181</v>
    <v>182</v>
    <v>183</v>
    <v>185</v>
    <v>186</v>
    <v>Magangué</v>
    <v>157</v>
    <v>187</v>
    <v>Magangué</v>
    <v>mdp/vdpid/5576367688986394626</v>
  </rv>
  <rv s="1">
    <fb>3055</fb>
    <v>9</v>
  </rv>
  <rv s="2">
    <v>3</v>
    <v>7</v>
    <v>22</v>
    <v>7</v>
    <v>0</v>
    <v>Image of Turbo</v>
  </rv>
  <rv s="1">
    <fb>8.0930555555555994</fb>
    <v>10</v>
  </rv>
  <rv s="3">
    <v>https://www.bing.com/search?q=Turbo+Antioquia&amp;form=skydnc</v>
    <v>Aprenda más con Bing</v>
  </rv>
  <rv s="1">
    <fb>-76.728333333332998</fb>
    <v>10</v>
  </rv>
  <rv s="1">
    <fb>181000</fb>
    <v>9</v>
  </rv>
  <rv s="7">
    <v>#VALUE!</v>
    <v>es-ES</v>
    <v>fc8c5c3c-234f-2c73-369d-1167761fbe17</v>
    <v>536870912</v>
    <v>1</v>
    <v>23</v>
    <v>2</v>
    <v>24</v>
    <v>Turbo</v>
    <v>5</v>
    <v>6</v>
    <v>Map</v>
    <v>7</v>
    <v>25</v>
    <v>189</v>
    <v>Turbo es un distrito de Colombia localizado en la subregión de Urabá en el departamento de Antioquia. SIendo el municipio más grande de este departamento con una extensión de 3055 ², muy por encima de Urrao, limita al norte con el Golfo de ...</v>
    <v>170</v>
    <v>190</v>
    <v>191</v>
    <v>192</v>
    <v>193</v>
    <v>Turbo</v>
    <v>157</v>
    <v>194</v>
    <v>Turbo</v>
    <v>mdp/vdpid/5576736708583489537</v>
  </rv>
  <rv s="1">
    <fb>63612</fb>
    <v>9</v>
  </rv>
  <rv s="0">
    <v>536870912</v>
    <v>Medellín</v>
    <v>7b1377e4-8d6a-bcd0-6cb4-7b7c0a8f94b5</v>
    <v>es-CO</v>
    <v>Map</v>
  </rv>
  <rv s="4">
    <v>4</v>
  </rv>
  <rv s="2">
    <v>0</v>
    <v>7</v>
    <v>26</v>
    <v>7</v>
    <v>0</v>
    <v>Image of Antioquia</v>
  </rv>
  <rv s="3">
    <v>https://www.bing.com/search?q=Antioquia+Department&amp;form=skydnc</v>
    <v>Aprenda más con Bing</v>
  </rv>
  <rv s="0">
    <v>805306368</v>
    <v>Andrés Julián Rendon (Gobernador)</v>
    <v>50e19c26-8e4a-2ec5-3c73-a5bc140c2bfe</v>
    <v>es-CO</v>
    <v>Generic</v>
  </rv>
  <rv s="4">
    <v>5</v>
  </rv>
  <rv s="1">
    <fb>6677930</fb>
    <v>9</v>
  </rv>
  <rv s="1">
    <fb>1505161</fb>
    <v>9</v>
  </rv>
  <rv s="8">
    <v>#VALUE!</v>
    <v>es-ES</v>
    <v>d3614470-a93c-5d64-a636-9da2dff33c3d</v>
    <v>536870912</v>
    <v>1</v>
    <v>28</v>
    <v>14</v>
    <v>29</v>
    <v>Antioquia</v>
    <v>5</v>
    <v>6</v>
    <v>Map</v>
    <v>7</v>
    <v>16</v>
    <v>CO-ANT</v>
    <v>196</v>
    <v>197</v>
    <v>197</v>
    <v>Antioquia es uno de los treinta y dos departamentos que forman la República de Colombia. Su capital es Medellín, la segunda ciudad más poblada del país. Está ubicado al noroccidente colombiano, en las regiones Andina y Caribe. Con unos 6 994 792 ...</v>
    <v>198</v>
    <v>199</v>
    <v>200</v>
    <v>202</v>
    <v>Antioquia</v>
    <v>157</v>
    <v>203</v>
    <v>204</v>
    <v>Antioquia</v>
    <v>mdp/vdpid/10106933</v>
  </rv>
  <rv s="1">
    <fb>1361</fb>
    <v>9</v>
  </rv>
  <rv s="2">
    <v>2</v>
    <v>7</v>
    <v>31</v>
    <v>7</v>
    <v>0</v>
    <v>Image of Necoclí</v>
  </rv>
  <rv s="1">
    <fb>8.4258333333332995</fb>
    <v>10</v>
  </rv>
  <rv s="3">
    <v>https://www.bing.com/search?q=Necocl%c3%ad&amp;form=skydnc</v>
    <v>Aprenda más con Bing</v>
  </rv>
  <rv s="1">
    <fb>-76.783888888888995</fb>
    <v>10</v>
  </rv>
  <rv s="1">
    <fb>70824</fb>
    <v>9</v>
  </rv>
  <rv s="7">
    <v>#VALUE!</v>
    <v>es-ES</v>
    <v>dbb01946-e5e0-cab8-8062-b13b186528b6</v>
    <v>536870912</v>
    <v>1</v>
    <v>33</v>
    <v>2</v>
    <v>24</v>
    <v>Necoclí</v>
    <v>5</v>
    <v>6</v>
    <v>Map</v>
    <v>7</v>
    <v>25</v>
    <v>206</v>
    <v>Necoclí es uno de los once municipios que forman parte de la subregión de Urabá, localizado en el departamento de Antioquia-Colombia. Limita por el norte con el mar Caribe y con el municipio de San Juan de Urabá, por el este con el municipio de ...</v>
    <v>170</v>
    <v>207</v>
    <v>208</v>
    <v>209</v>
    <v>210</v>
    <v>Necoclí</v>
    <v>157</v>
    <v>211</v>
    <v>Necoclí</v>
    <v>mdp/vdpid/5576734031275360258</v>
  </rv>
  <rv s="1">
    <fb>3388</fb>
    <v>9</v>
  </rv>
  <rv s="0">
    <v>536870912</v>
    <v>Barranquilla</v>
    <v>42cd2e95-8c26-b0ae-3c59-2f0254dc0b33</v>
    <v>es-CO</v>
    <v>Map</v>
  </rv>
  <rv s="2">
    <v>13</v>
    <v>7</v>
    <v>34</v>
    <v>7</v>
    <v>0</v>
    <v>Image of Atlántico</v>
  </rv>
  <rv s="3">
    <v>https://www.bing.com/search?q=Atl%c3%a1ntico+Colombia&amp;form=skydnc</v>
    <v>Aprenda más con Bing</v>
  </rv>
  <rv s="0">
    <v>805306368</v>
    <v>Elsa Noguera (Gobernador)</v>
    <v>7a3178d9-0031-a364-409a-c1704e39d7b5</v>
    <v>es-CO</v>
    <v>Generic</v>
  </rv>
  <rv s="4">
    <v>6</v>
  </rv>
  <rv s="1">
    <fb>2722128</fb>
    <v>9</v>
  </rv>
  <rv s="1">
    <fb>436926</fb>
    <v>9</v>
  </rv>
  <rv s="6">
    <v>#VALUE!</v>
    <v>es-ES</v>
    <v>060406d2-f65b-ee44-bba7-291bad263612</v>
    <v>536870912</v>
    <v>1</v>
    <v>36</v>
    <v>14</v>
    <v>15</v>
    <v>Atlántico</v>
    <v>5</v>
    <v>6</v>
    <v>Map</v>
    <v>7</v>
    <v>16</v>
    <v>CO-ATL</v>
    <v>213</v>
    <v>214</v>
    <v>214</v>
    <v>El Atlántico es uno de los treinta y dos departamentos que forman la República de Colombia. Su capital es Barranquilla. Se encuentra ubicado en la región Caribe. Con unos 2 835 509 habitantes, es el cuarto departamento más poblado ; con 3019 km² ...</v>
    <v>215</v>
    <v>216</v>
    <v>218</v>
    <v>Atlántico</v>
    <v>157</v>
    <v>219</v>
    <v>220</v>
    <v>Atlántico</v>
    <v>mdp/vdpid/9422286</v>
  </rv>
  <rv s="1">
    <fb>2532</fb>
    <v>9</v>
  </rv>
  <rv s="0">
    <v>536870912</v>
    <v>Casanare</v>
    <v>e7b3ed4f-03e8-7516-f976-b525e8a0b565</v>
    <v>es-CO</v>
    <v>Map</v>
  </rv>
  <rv s="2">
    <v>43</v>
    <v>7</v>
    <v>37</v>
    <v>7</v>
    <v>0</v>
    <v>Image of Yopal</v>
  </rv>
  <rv s="1">
    <fb>5.3305555555556001</fb>
    <v>10</v>
  </rv>
  <rv s="3">
    <v>https://www.bing.com/search?q=Yopal&amp;form=skydnc</v>
    <v>Aprenda más con Bing</v>
  </rv>
  <rv s="1">
    <fb>-72.390555555556006</fb>
    <v>10</v>
  </rv>
  <rv s="1">
    <fb>179355</fb>
    <v>9</v>
  </rv>
  <rv s="7">
    <v>#VALUE!</v>
    <v>es-ES</v>
    <v>b5d1013d-669c-c464-2466-3c8409cb17e0</v>
    <v>536870912</v>
    <v>1</v>
    <v>38</v>
    <v>2</v>
    <v>24</v>
    <v>Yopal</v>
    <v>5</v>
    <v>6</v>
    <v>Map</v>
    <v>7</v>
    <v>39</v>
    <v>222</v>
    <v>Yopal es un municipio colombiano, capital del departamento de Casanare. Su extensión territorial es de 2595 kilómetros cuadrados, y se sitúa a 317 kilómetros del distrito capital de Bogotá. Fundada por colonos boyacenses en 1915, es una de las ...</v>
    <v>223</v>
    <v>224</v>
    <v>225</v>
    <v>226</v>
    <v>227</v>
    <v>Yopal</v>
    <v>157</v>
    <v>228</v>
    <v>Yopal</v>
    <v>mdp/vdpid/5582252548468768770</v>
  </rv>
  <rv s="1">
    <fb>380</fb>
    <v>9</v>
  </rv>
  <rv s="2">
    <v>1</v>
    <v>7</v>
    <v>41</v>
    <v>7</v>
    <v>0</v>
    <v>Image of Carepa</v>
  </rv>
  <rv s="1">
    <fb>7.7580555555556003</fb>
    <v>10</v>
  </rv>
  <rv s="3">
    <v>https://www.bing.com/search?q=Carepa&amp;form=skydnc</v>
    <v>Aprenda más con Bing</v>
  </rv>
  <rv s="1">
    <fb>-76.655277777777997</fb>
    <v>10</v>
  </rv>
  <rv s="1">
    <fb>47932</fb>
    <v>9</v>
  </rv>
  <rv s="7">
    <v>#VALUE!</v>
    <v>es-ES</v>
    <v>15ccb093-369a-673d-20f8-a7beca717014</v>
    <v>536870912</v>
    <v>1</v>
    <v>42</v>
    <v>2</v>
    <v>24</v>
    <v>Carepa</v>
    <v>5</v>
    <v>6</v>
    <v>Map</v>
    <v>7</v>
    <v>8</v>
    <v>230</v>
    <v>Carepa es un municipio de Colombia, localizado en la subregión de Urabá en el departamento de Antioquia. Limita por el norte con el municipio de Apartadó, por el este con el departamento de Córdoba, por el sur con el municipio de Chigorodó y por ...</v>
    <v>170</v>
    <v>231</v>
    <v>232</v>
    <v>233</v>
    <v>234</v>
    <v>Carepa</v>
    <v>157</v>
    <v>235</v>
    <v>Carepa</v>
    <v>mdp/vdpid/5576758083612311553</v>
  </rv>
  <rv s="1">
    <fb>812</fb>
    <v>9</v>
  </rv>
  <rv s="2">
    <v>4</v>
    <v>7</v>
    <v>43</v>
    <v>7</v>
    <v>0</v>
    <v>Image of Santa Rosa de Osos</v>
  </rv>
  <rv s="1">
    <fb>6.6472222222221999</fb>
    <v>10</v>
  </rv>
  <rv s="3">
    <v>https://www.bing.com/search?q=Santa+Rosa+de+Osos&amp;form=skydnc</v>
    <v>Aprenda más con Bing</v>
  </rv>
  <rv s="1">
    <fb>-75.460555555555999</fb>
    <v>10</v>
  </rv>
  <rv s="1">
    <fb>37864</fb>
    <v>9</v>
  </rv>
  <rv s="9">
    <v>#VALUE!</v>
    <v>es-ES</v>
    <v>0a38bd73-ff9c-5b9e-603f-c55465b72c97</v>
    <v>536870912</v>
    <v>1</v>
    <v>45</v>
    <v>46</v>
    <v>47</v>
    <v>Santa Rosa de Osos</v>
    <v>5</v>
    <v>6</v>
    <v>Map</v>
    <v>7</v>
    <v>25</v>
    <v>237</v>
    <v>Santa Rosa de Osos es un municipio de Colombia localizado en la subregión norte del departamento de Antioquia. Su cabecera municipal está ubicada a 2550 m.s.n.m. Dista a 77.4 kilómetros de la ciudad de Medellín, capital del departamento.</v>
    <v>170</v>
    <v>170</v>
    <v>238</v>
    <v>239</v>
    <v>240</v>
    <v>241</v>
    <v>Santa Rosa de Osos</v>
    <v>157</v>
    <v>242</v>
    <v>Santa Rosa de Osos</v>
    <v>mdp/vdpid/5577453666769567745</v>
  </rv>
  <rv s="1">
    <fb>55</fb>
    <v>9</v>
  </rv>
  <rv s="2">
    <v>6</v>
    <v>7</v>
    <v>48</v>
    <v>7</v>
    <v>0</v>
    <v>Image of La Pintada</v>
  </rv>
  <rv s="1">
    <fb>5.7419444444443997</fb>
    <v>10</v>
  </rv>
  <rv s="3">
    <v>https://www.bing.com/search?q=La+Pintada+Antioquia&amp;form=skydnc</v>
    <v>Aprenda más con Bing</v>
  </rv>
  <rv s="1">
    <fb>-75.605277777777999</fb>
    <v>10</v>
  </rv>
  <rv s="10">
    <v>#VALUE!</v>
    <v>es-ES</v>
    <v>8d59dc57-0071-2a08-b69b-4461ea8f3bd4</v>
    <v>536870912</v>
    <v>1</v>
    <v>49</v>
    <v>50</v>
    <v>51</v>
    <v>La Pintada</v>
    <v>5</v>
    <v>6</v>
    <v>Map</v>
    <v>7</v>
    <v>52</v>
    <v>244</v>
    <v>La Pintada es un municipio de la República de Colombia, situado en la subregión Suroeste del departamento de Antioquia. Limita al norte con los municipios de Fredonia y Santa Bárbara, por el oriente limita también con el municipio de Santa ...</v>
    <v>170</v>
    <v>170</v>
    <v>245</v>
    <v>246</v>
    <v>247</v>
    <v>248</v>
    <v>La Pintada</v>
    <v>157</v>
    <v>La Pintada</v>
    <v>mdp/vdpid/5577528118970679297</v>
  </rv>
  <rv s="1">
    <fb>1411</fb>
    <v>9</v>
  </rv>
  <rv s="2">
    <v>7</v>
    <v>7</v>
    <v>53</v>
    <v>7</v>
    <v>0</v>
    <v>Image of Caucasia</v>
  </rv>
  <rv s="1">
    <fb>7.9847222222222003</fb>
    <v>10</v>
  </rv>
  <rv s="3">
    <v>https://www.bing.com/search?q=Caucasia&amp;form=skydnc</v>
    <v>Aprenda más con Bing</v>
  </rv>
  <rv s="0">
    <v>805306368</v>
    <v>José Nadin Arabia Abisaad (Alcalde)</v>
    <v>a7f39443-4fc3-d393-c16f-bc774a25f3db</v>
    <v>es-CO</v>
    <v>Generic</v>
  </rv>
  <rv s="4">
    <v>7</v>
  </rv>
  <rv s="1">
    <fb>-75.198055555555996</fb>
    <v>10</v>
  </rv>
  <rv s="1">
    <fb>90213</fb>
    <v>9</v>
  </rv>
  <rv s="11">
    <v>#VALUE!</v>
    <v>es-ES</v>
    <v>0dbc557a-5515-3e17-9ce3-16247554b001</v>
    <v>536870912</v>
    <v>1</v>
    <v>54</v>
    <v>46</v>
    <v>55</v>
    <v>Caucasia</v>
    <v>5</v>
    <v>6</v>
    <v>Map</v>
    <v>7</v>
    <v>8</v>
    <v>250</v>
    <v>Caucasia es un municipio colombiano localizado en la subregión del Bajo Cauca del departamento de Antioquia. Es denominada la Capital del Bajo Cauca por ser el principal centro urbano y comercial de la subregión. Limita por el norte con el ...</v>
    <v>170</v>
    <v>170</v>
    <v>251</v>
    <v>252</v>
    <v>253</v>
    <v>255</v>
    <v>256</v>
    <v>Caucasia</v>
    <v>157</v>
    <v>257</v>
    <v>Caucasia</v>
    <v>mdp/vdpid/5577198366531518465</v>
  </rv>
  <rv s="1">
    <fb>1064</fb>
    <v>9</v>
  </rv>
  <rv s="0">
    <v>536870912</v>
    <v>Arauca</v>
    <v>39038b52-0399-9385-24de-5d0c69b46eba</v>
    <v>es-CO</v>
    <v>Map</v>
  </rv>
  <rv s="2">
    <v>11</v>
    <v>7</v>
    <v>56</v>
    <v>7</v>
    <v>0</v>
    <v>Image of Tame</v>
  </rv>
  <rv s="1">
    <fb>6.4583333333333002</fb>
    <v>10</v>
  </rv>
  <rv s="3">
    <v>https://www.bing.com/search?q=Tame+Arauca&amp;form=skydnc</v>
    <v>Aprenda más con Bing</v>
  </rv>
  <rv s="0">
    <v>805306368</v>
    <v>Anibal Mendoza Bohorquez (Alcalde)</v>
    <v>028520d1-b44d-3f28-28a9-4f5eb4de98c5</v>
    <v>es-CO</v>
    <v>Generic</v>
  </rv>
  <rv s="4">
    <v>8</v>
  </rv>
  <rv s="1">
    <fb>-71.744722222221995</fb>
    <v>10</v>
  </rv>
  <rv s="1">
    <fb>52768</fb>
    <v>9</v>
  </rv>
  <rv s="5">
    <v>#VALUE!</v>
    <v>es-ES</v>
    <v>0272ac23-341f-568d-c9b0-cb8c52e1f852</v>
    <v>536870912</v>
    <v>1</v>
    <v>58</v>
    <v>2</v>
    <v>3</v>
    <v>Tame</v>
    <v>5</v>
    <v>6</v>
    <v>Map</v>
    <v>7</v>
    <v>59</v>
    <v>259</v>
    <v>Tame es un municipio situado en el suroccidente del departamento de Arauca, a una altitud de 343 m s. n. m., ubicado en una meseta de las últimas estribaciones de la Cordillera Oriental, la cual baja encajonada por la vertiente de los ríos Tame ...</v>
    <v>260</v>
    <v>261</v>
    <v>262</v>
    <v>263</v>
    <v>265</v>
    <v>266</v>
    <v>Tame</v>
    <v>157</v>
    <v>267</v>
    <v>Tame</v>
    <v>mdp/vdpid/5579184500623015937</v>
  </rv>
  <rv s="0">
    <v>536870912</v>
    <v>Caquetá</v>
    <v>52c6ce36-10f4-7316-b10a-41d0eb67ac75</v>
    <v>es-CO</v>
    <v>Map</v>
  </rv>
  <rv s="2">
    <v>40</v>
    <v>7</v>
    <v>60</v>
    <v>7</v>
    <v>0</v>
    <v>Image of Cartagena del Chairá</v>
  </rv>
  <rv s="1">
    <fb>1.3361111111110999</fb>
    <v>10</v>
  </rv>
  <rv s="3">
    <v>https://www.bing.com/search?q=Cartagena+del+Chair%c3%a1&amp;form=skydnc</v>
    <v>Aprenda más con Bing</v>
  </rv>
  <rv s="1">
    <fb>-74.846666666667005</fb>
    <v>10</v>
  </rv>
  <rv s="1">
    <fb>35993</fb>
    <v>9</v>
  </rv>
  <rv s="12">
    <v>#VALUE!</v>
    <v>es-ES</v>
    <v>761429d0-e376-39cb-fa99-d4df1d68a102</v>
    <v>536870912</v>
    <v>1</v>
    <v>62</v>
    <v>63</v>
    <v>64</v>
    <v>Cartagena del Chairá</v>
    <v>5</v>
    <v>6</v>
    <v>Map</v>
    <v>7</v>
    <v>65</v>
    <v>Cartagena del Chairá es un municipio colombiano del departamento de Caquetá. Está localizado en el centro del departamento, al sureste de Florencia, la capital departamental, en la región de la Amazonía colombiana, y su territorio es en la mayor ...</v>
    <v>269</v>
    <v>270</v>
    <v>271</v>
    <v>272</v>
    <v>273</v>
    <v>Cartagena del Chairá</v>
    <v>157</v>
    <v>274</v>
    <v>Cartagena del Chairá</v>
    <v>mdp/vdpid/5581974650780385281</v>
  </rv>
  <rv s="1">
    <fb>1184</fb>
    <v>9</v>
  </rv>
  <rv s="2">
    <v>8</v>
    <v>7</v>
    <v>67</v>
    <v>7</v>
    <v>0</v>
    <v>Image of Puerto Berrío</v>
  </rv>
  <rv s="1">
    <fb>6.4905555555556003</fb>
    <v>10</v>
  </rv>
  <rv s="3">
    <v>https://www.bing.com/search?q=Puerto+Berr%c3%ado&amp;form=skydnc</v>
    <v>Aprenda más con Bing</v>
  </rv>
  <rv s="1">
    <fb>-74.404722222222006</fb>
    <v>10</v>
  </rv>
  <rv s="1">
    <fb>39314</fb>
    <v>9</v>
  </rv>
  <rv s="7">
    <v>#VALUE!</v>
    <v>es-ES</v>
    <v>73d641d7-3944-a008-361e-2503d4343f0d</v>
    <v>536870912</v>
    <v>1</v>
    <v>68</v>
    <v>2</v>
    <v>24</v>
    <v>Puerto Berrío</v>
    <v>5</v>
    <v>6</v>
    <v>Map</v>
    <v>7</v>
    <v>8</v>
    <v>276</v>
    <v>Puerto Berrío es un municipio de Colombia, localizado en la subregión del Magdalena Medio del departamento de Antioquia. Limita por el norte con los municipios de Yolombó, Remedios y Yondó, por el oriente con el departamento de Santander, por el ...</v>
    <v>170</v>
    <v>277</v>
    <v>278</v>
    <v>279</v>
    <v>280</v>
    <v>Puerto Berrío</v>
    <v>157</v>
    <v>281</v>
    <v>Puerto Berrío</v>
    <v>mdp/vdpid/5577590005741649922</v>
  </rv>
  <rv s="1">
    <fb>23818</fb>
    <v>9</v>
  </rv>
  <rv s="0">
    <v>536870912</v>
    <v>Arauca</v>
    <v>64f5d309-32e5-4ff7-24bc-d973ce26e70a</v>
    <v>es-CO</v>
    <v>Map</v>
  </rv>
  <rv s="2">
    <v>9</v>
    <v>7</v>
    <v>69</v>
    <v>7</v>
    <v>0</v>
    <v>Image of Arauca</v>
  </rv>
  <rv s="3">
    <v>https://www.bing.com/search?q=Arauca+Colombia&amp;form=skydnc</v>
    <v>Aprenda más con Bing</v>
  </rv>
  <rv s="0">
    <v>805306368</v>
    <v>Ricardo Alvarado Bestene (Gobernador)</v>
    <v>82d20533-adb2-d974-1d25-70adfdccabaf</v>
    <v>es-CO</v>
    <v>Generic</v>
  </rv>
  <rv s="4">
    <v>9</v>
  </rv>
  <rv s="1">
    <fb>294206</fb>
    <v>9</v>
  </rv>
  <rv s="1">
    <fb>35636</fb>
    <v>9</v>
  </rv>
  <rv s="8">
    <v>#VALUE!</v>
    <v>es-ES</v>
    <v>39038b52-0399-9385-24de-5d0c69b46eba</v>
    <v>536870912</v>
    <v>1</v>
    <v>71</v>
    <v>14</v>
    <v>29</v>
    <v>Arauca</v>
    <v>5</v>
    <v>6</v>
    <v>Map</v>
    <v>7</v>
    <v>16</v>
    <v>CO-ARA</v>
    <v>283</v>
    <v>284</v>
    <v>284</v>
    <v>Arauca es uno de los treinta y dos departamentos que forman la República de Colombia. Su capital es la homónima Arauca. Está ubicado al este del país, en la región Orinoquía.</v>
    <v>198</v>
    <v>285</v>
    <v>286</v>
    <v>288</v>
    <v>Arauca</v>
    <v>157</v>
    <v>289</v>
    <v>290</v>
    <v>Arauca</v>
    <v>mdp/vdpid/10106929</v>
  </rv>
  <rv s="1">
    <fb>1820</fb>
    <v>9</v>
  </rv>
  <rv s="0">
    <v>536870912</v>
    <v>Córdoba</v>
    <v>351fe87f-ca62-b128-b52c-3edd6fa6b80f</v>
    <v>es-CO</v>
    <v>Map</v>
  </rv>
  <rv s="2">
    <v>73</v>
    <v>7</v>
    <v>72</v>
    <v>7</v>
    <v>0</v>
    <v>Image of Montelíbano</v>
  </rv>
  <rv s="1">
    <fb>7.9711111111111004</fb>
    <v>10</v>
  </rv>
  <rv s="3">
    <v>https://www.bing.com/search?q=Montel%c3%adbano&amp;form=skydnc</v>
    <v>Aprenda más con Bing</v>
  </rv>
  <rv s="0">
    <v>805306368</v>
    <v>José David Cura (Alcalde)</v>
    <v>47302be1-71e8-3b3a-97cf-1402a13fc6cf</v>
    <v>es-CO</v>
    <v>Generic</v>
  </rv>
  <rv s="4">
    <v>10</v>
  </rv>
  <rv s="1">
    <fb>-75.418055555555995</fb>
    <v>10</v>
  </rv>
  <rv s="1">
    <fb>90450</fb>
    <v>9</v>
  </rv>
  <rv s="5">
    <v>#VALUE!</v>
    <v>es-ES</v>
    <v>77c7fbcc-cf0b-f71e-03a8-a86b6cfbe840</v>
    <v>536870912</v>
    <v>1</v>
    <v>74</v>
    <v>2</v>
    <v>3</v>
    <v>Montelíbano</v>
    <v>5</v>
    <v>6</v>
    <v>Map</v>
    <v>7</v>
    <v>25</v>
    <v>292</v>
    <v>Montelíbano es un municipio del sur del departamento de Córdoba, Colombia. Situado sobre la margen derecha del río San Jorge y con una población de 90.450 habitantes aproximadamente, es en la actualidad uno de los centros de desarrollo ...</v>
    <v>293</v>
    <v>294</v>
    <v>295</v>
    <v>296</v>
    <v>298</v>
    <v>299</v>
    <v>Montelíbano</v>
    <v>157</v>
    <v>300</v>
    <v>Montelíbano</v>
    <v>mdp/vdpid/5577173420942032897</v>
  </rv>
  <rv s="1">
    <fb>7888</fb>
    <v>9</v>
  </rv>
  <rv s="0">
    <v>536870912</v>
    <v>Manizales</v>
    <v>bd9d0749-454d-d6e3-1695-5fdb48ea0d4f</v>
    <v>es-CO</v>
    <v>Map</v>
  </rv>
  <rv s="2">
    <v>32</v>
    <v>7</v>
    <v>75</v>
    <v>7</v>
    <v>0</v>
    <v>Image of Caldas</v>
  </rv>
  <rv s="3">
    <v>https://www.bing.com/search?q=Caldas&amp;form=skydnc</v>
    <v>Aprenda más con Bing</v>
  </rv>
  <rv s="0">
    <v>805306368</v>
    <v>Henry Gutiérrez Ángel (Gobernador)</v>
    <v>a5c5a81a-316c-3717-afba-26dd20439ffa</v>
    <v>es-CO</v>
    <v>Generic</v>
  </rv>
  <rv s="4">
    <v>11</v>
  </rv>
  <rv s="1">
    <fb>1018453</fb>
    <v>9</v>
  </rv>
  <rv s="1">
    <fb>256532</fb>
    <v>9</v>
  </rv>
  <rv s="6">
    <v>#VALUE!</v>
    <v>es-ES</v>
    <v>85871477-49bf-4c76-2b8d-3f2500f444d8</v>
    <v>536870912</v>
    <v>1</v>
    <v>77</v>
    <v>14</v>
    <v>15</v>
    <v>Caldas</v>
    <v>5</v>
    <v>6</v>
    <v>Map</v>
    <v>7</v>
    <v>16</v>
    <v>CO-CAL</v>
    <v>302</v>
    <v>303</v>
    <v>303</v>
    <v>Caldas es uno de los treinta y dos departamentos que forman la República de Colombia. Su capital es Manizales. Está ubicado en el centro del país, en la región andina. Con 7888 km² es el quinto departamento menos extenso —por delante de ...</v>
    <v>304</v>
    <v>305</v>
    <v>307</v>
    <v>Caldas</v>
    <v>157</v>
    <v>308</v>
    <v>309</v>
    <v>Caldas</v>
    <v>mdp/vdpid/5575</v>
  </rv>
  <rv s="1">
    <fb>3060</fb>
    <v>9</v>
  </rv>
  <rv s="2">
    <v>10</v>
    <v>7</v>
    <v>78</v>
    <v>7</v>
    <v>0</v>
    <v>Image of Arauquita</v>
  </rv>
  <rv s="1">
    <fb>7.0261111111111001</fb>
    <v>10</v>
  </rv>
  <rv s="3">
    <v>https://www.bing.com/search?q=Arauquita&amp;form=skydnc</v>
    <v>Aprenda más con Bing</v>
  </rv>
  <rv s="1">
    <fb>-71.427222222221999</fb>
    <v>10</v>
  </rv>
  <rv s="1">
    <fb>41309</fb>
    <v>9</v>
  </rv>
  <rv s="7">
    <v>#VALUE!</v>
    <v>es-ES</v>
    <v>523b9f64-2137-3297-dad2-da3db34fe2f7</v>
    <v>536870912</v>
    <v>1</v>
    <v>79</v>
    <v>2</v>
    <v>24</v>
    <v>Arauquita</v>
    <v>5</v>
    <v>6</v>
    <v>Map</v>
    <v>7</v>
    <v>59</v>
    <v>311</v>
    <v>Arauquita es un municipio colombiano ubicado en el departamento de Arauca. Fue fundado como San Lorenzo en 1675 por misioneros jesuitas liderados por el padre Bernabé González; durante la época virreinal adoptó el nombre de El Guadual, hasta que ...</v>
    <v>260</v>
    <v>312</v>
    <v>313</v>
    <v>314</v>
    <v>315</v>
    <v>Arauquita</v>
    <v>157</v>
    <v>316</v>
    <v>Arauquita</v>
    <v>mdp/vdpid/5579259060869398531</v>
  </rv>
  <rv s="1">
    <fb>609</fb>
    <v>9</v>
  </rv>
  <rv s="0">
    <v>536870912</v>
    <v>Cesar</v>
    <v>acf0353b-c9e7-bf27-fe4d-0e199bc80085</v>
    <v>es-CO</v>
    <v>Map</v>
  </rv>
  <rv s="2">
    <v>58</v>
    <v>7</v>
    <v>81</v>
    <v>7</v>
    <v>0</v>
    <v>Image of Bosconia</v>
  </rv>
  <rv s="1">
    <fb>9.9761111111111003</fb>
    <v>10</v>
  </rv>
  <rv s="3">
    <v>https://www.bing.com/search?q=Bosconia&amp;form=skydnc</v>
    <v>Aprenda más con Bing</v>
  </rv>
  <rv s="0">
    <v>805306368</v>
    <v>Edulfo Villar Estrada (Alcalde)</v>
    <v>b894e5a2-cd78-c8e8-554e-1a4d43aa9a60</v>
    <v>es-CO</v>
    <v>Generic</v>
  </rv>
  <rv s="4">
    <v>12</v>
  </rv>
  <rv s="1">
    <fb>-73.890299999999996</fb>
    <v>10</v>
  </rv>
  <rv s="1">
    <fb>40315</fb>
    <v>9</v>
  </rv>
  <rv s="5">
    <v>#VALUE!</v>
    <v>es-ES</v>
    <v>f7884add-d25b-0cb2-735d-d22d63a997d8</v>
    <v>536870912</v>
    <v>1</v>
    <v>82</v>
    <v>2</v>
    <v>3</v>
    <v>Bosconia</v>
    <v>5</v>
    <v>6</v>
    <v>Map</v>
    <v>7</v>
    <v>25</v>
    <v>318</v>
    <v>Bosconia es un municipio colombiano del departamento septentrional de Cesar, localizado en la región noroccidental del departamento. Bosconia se destaca por ser un punto estratégico de conectividad vial. La zona céntrica de su cabecera municipal ...</v>
    <v>319</v>
    <v>320</v>
    <v>321</v>
    <v>322</v>
    <v>324</v>
    <v>325</v>
    <v>Bosconia</v>
    <v>157</v>
    <v>326</v>
    <v>Bosconia</v>
    <v>mdp/vdpid/5576264265301491713</v>
  </rv>
  <rv s="1">
    <fb>158.25800000000001</fb>
    <v>9</v>
  </rv>
  <rv s="0">
    <v>536870912</v>
    <v>Cundinamarca</v>
    <v>26fc374f-923b-d32c-4651-e3e8c06fc3ed</v>
    <v>es-CO</v>
    <v>Map</v>
  </rv>
  <rv s="2">
    <v>86</v>
    <v>7</v>
    <v>83</v>
    <v>7</v>
    <v>0</v>
    <v>Image of Facatativá</v>
  </rv>
  <rv s="1">
    <fb>4.8147222222222004</fb>
    <v>10</v>
  </rv>
  <rv s="3">
    <v>https://www.bing.com/search?q=Facatativ%c3%a1&amp;form=skydnc</v>
    <v>Aprenda más con Bing</v>
  </rv>
  <rv s="0">
    <v>805306368</v>
    <v>Guillermo Aldana Dimas (Alcalde)</v>
    <v>1cf36a28-1929-cce8-18c6-e71ea3d88aa3</v>
    <v>es-CO</v>
    <v>Generic</v>
  </rv>
  <rv s="4">
    <v>13</v>
  </rv>
  <rv s="1">
    <fb>-74.355277777777999</fb>
    <v>10</v>
  </rv>
  <rv s="1">
    <fb>117133</fb>
    <v>9</v>
  </rv>
  <rv s="11">
    <v>#VALUE!</v>
    <v>es-ES</v>
    <v>d554a7fd-331c-4f3f-9790-8c2dd6e7ed14</v>
    <v>536870912</v>
    <v>1</v>
    <v>84</v>
    <v>46</v>
    <v>55</v>
    <v>Facatativá</v>
    <v>5</v>
    <v>6</v>
    <v>Map</v>
    <v>7</v>
    <v>85</v>
    <v>328</v>
    <v>Facatativá es un municipio colombiano del departamento de Cundinamarca. Es la capital de la Provincia de Sabana Occidente. Hace parte del Área Metropolitana de Bogotá, según el censo DANE de 2015. Se encuentra ubicado a 36 km de Bogotá, cerca de ...</v>
    <v>329</v>
    <v>329</v>
    <v>330</v>
    <v>331</v>
    <v>332</v>
    <v>334</v>
    <v>335</v>
    <v>Facatativá</v>
    <v>157</v>
    <v>336</v>
    <v>Facatativá</v>
    <v>mdp/vdpid/5580737320245526531</v>
  </rv>
  <rv s="1">
    <fb>907</fb>
    <v>9</v>
  </rv>
  <rv s="2">
    <v>12</v>
    <v>7</v>
    <v>86</v>
    <v>7</v>
    <v>0</v>
    <v>Image of Saravena</v>
  </rv>
  <rv s="1">
    <fb>6.9547222222222</fb>
    <v>10</v>
  </rv>
  <rv s="3">
    <v>https://www.bing.com/search?q=Saravena&amp;form=skydnc</v>
    <v>Aprenda más con Bing</v>
  </rv>
  <rv s="1">
    <fb>-71.876666666667006</fb>
    <v>10</v>
  </rv>
  <rv s="1">
    <fb>47203</fb>
    <v>9</v>
  </rv>
  <rv s="7">
    <v>#VALUE!</v>
    <v>es-ES</v>
    <v>d4c6565f-2395-f9bc-d5da-ea1b2347981c</v>
    <v>536870912</v>
    <v>1</v>
    <v>88</v>
    <v>2</v>
    <v>24</v>
    <v>Saravena</v>
    <v>5</v>
    <v>6</v>
    <v>Map</v>
    <v>7</v>
    <v>59</v>
    <v>338</v>
    <v>Saravena es un municipio colombiano, el segundo más poblado del departamento de Arauca. El municipio surgió gracias a la colonización de mediados del siglo XX, teniendo como base de su población a grupos provenientes de prácticamente todo el ...</v>
    <v>260</v>
    <v>339</v>
    <v>340</v>
    <v>341</v>
    <v>342</v>
    <v>Saravena</v>
    <v>157</v>
    <v>343</v>
    <v>Saravena</v>
    <v>mdp/vdpid/5579162063244099585</v>
  </rv>
  <rv s="1">
    <fb>1163</fb>
    <v>9</v>
  </rv>
  <rv s="0">
    <v>536870912</v>
    <v>Meta</v>
    <v>30c3c263-a281-f2d2-6787-511d37d41ddf</v>
    <v>es-CO</v>
    <v>Map</v>
  </rv>
  <rv s="2">
    <v>110</v>
    <v>7</v>
    <v>89</v>
    <v>7</v>
    <v>0</v>
    <v>Image of San Juan de Arama</v>
  </rv>
  <rv s="1">
    <fb>3.3736111111110998</fb>
    <v>10</v>
  </rv>
  <rv s="3">
    <v>https://www.bing.com/search?q=San+Juan+de+Arama&amp;form=skydnc</v>
    <v>Aprenda más con Bing</v>
  </rv>
  <rv s="1">
    <fb>-73.876666666667006</fb>
    <v>10</v>
  </rv>
  <rv s="13">
    <v>#VALUE!</v>
    <v>es-ES</v>
    <v>a653d20b-e1c5-78a8-aee7-c7a8e0e7015a</v>
    <v>536870912</v>
    <v>1</v>
    <v>90</v>
    <v>91</v>
    <v>92</v>
    <v>San Juan de Arama</v>
    <v>5</v>
    <v>6</v>
    <v>Map</v>
    <v>7</v>
    <v>52</v>
    <v>345</v>
    <v>San Juan de Arama es un municipio colombiano situado en el departamento del Meta también conocido como "Puerta de entrada a la Sierra de la Macarena". Se encuentra a 119 km de la capital Villavicencio.</v>
    <v>346</v>
    <v>347</v>
    <v>348</v>
    <v>349</v>
    <v>350</v>
    <v>San Juan de Arama</v>
    <v>157</v>
    <v>San Juan de Arama</v>
    <v>mdp/vdpid/5581028456986050561</v>
  </rv>
  <rv s="1">
    <fb>67</fb>
    <v>9</v>
  </rv>
  <rv s="0">
    <v>536870912</v>
    <v>Atlántico</v>
    <v>060406d2-f65b-ee44-bba7-291bad263612</v>
    <v>es-CO</v>
    <v>Map</v>
  </rv>
  <rv s="2">
    <v>14</v>
    <v>7</v>
    <v>93</v>
    <v>7</v>
    <v>0</v>
    <v>Image of Soledad</v>
  </rv>
  <rv s="1">
    <fb>10.909722222221999</fb>
    <v>10</v>
  </rv>
  <rv s="3">
    <v>https://www.bing.com/search?q=Soledad+Atl%c3%a1ntico&amp;form=skydnc</v>
    <v>Aprenda más con Bing</v>
  </rv>
  <rv s="0">
    <v>805306368</v>
    <v>Rodolfo Ucrós (Alcalde)</v>
    <v>2c8a17fb-fbe6-3509-50f4-4bc503891e26</v>
    <v>es-CO</v>
    <v>Generic</v>
  </rv>
  <rv s="4">
    <v>14</v>
  </rv>
  <rv s="1">
    <fb>-74.785833333333002</fb>
    <v>10</v>
  </rv>
  <rv s="1">
    <fb>676014</fb>
    <v>9</v>
  </rv>
  <rv s="5">
    <v>#VALUE!</v>
    <v>es-ES</v>
    <v>9581fbfc-9725-e0f8-2b96-d8d0f8d1b8f7</v>
    <v>536870912</v>
    <v>1</v>
    <v>94</v>
    <v>2</v>
    <v>3</v>
    <v>Soledad</v>
    <v>5</v>
    <v>6</v>
    <v>Map</v>
    <v>7</v>
    <v>95</v>
    <v>352</v>
    <v>Soledad es un municipio colombiano del departamento del Atlántico. Ocupa el octavo lugar en cuanto a población en Colombia y el tercero en la región Caribe, después de Barranquilla y Cartagena de Indias. Su área urbana se encuentra conurbada con ...</v>
    <v>353</v>
    <v>354</v>
    <v>355</v>
    <v>356</v>
    <v>358</v>
    <v>359</v>
    <v>Soledad</v>
    <v>157</v>
    <v>360</v>
    <v>Soledad</v>
    <v>mdp/vdpid/5576069441440972803</v>
  </rv>
  <rv s="1">
    <fb>611</fb>
    <v>9</v>
  </rv>
  <rv s="2">
    <v>62</v>
    <v>7</v>
    <v>96</v>
    <v>7</v>
    <v>0</v>
    <v>Image of San Alberto</v>
  </rv>
  <rv s="1">
    <fb>7.7591666666667001</fb>
    <v>10</v>
  </rv>
  <rv s="3">
    <v>https://www.bing.com/search?q=San+Alberto+Cesar&amp;form=skydnc</v>
    <v>Aprenda más con Bing</v>
  </rv>
  <rv s="0">
    <v>805306368</v>
    <v>Robiel Pérez Estupiñán (Alcalde)</v>
    <v>a909637c-f9c0-df82-16ce-e264dad6a3dc</v>
    <v>es-CO</v>
    <v>Generic</v>
  </rv>
  <rv s="4">
    <v>15</v>
  </rv>
  <rv s="1">
    <fb>-73.393055555556003</fb>
    <v>10</v>
  </rv>
  <rv s="1">
    <fb>23040</fb>
    <v>9</v>
  </rv>
  <rv s="5">
    <v>#VALUE!</v>
    <v>es-ES</v>
    <v>157c9697-fd7f-d23b-b79d-98c010917982</v>
    <v>536870912</v>
    <v>1</v>
    <v>98</v>
    <v>2</v>
    <v>3</v>
    <v>San Alberto</v>
    <v>5</v>
    <v>6</v>
    <v>Map</v>
    <v>7</v>
    <v>8</v>
    <v>362</v>
    <v>San Alberto es un municipio del departamento del Cesar, ubicado al norte de Colombia. Fue fundado el 20 de mayo de 1955 por Luis Felipe Rivera Staper, quien decidió nombrarlo así debido a su grande devoción a San Alberto Magno. Se convirtió en ...</v>
    <v>319</v>
    <v>363</v>
    <v>364</v>
    <v>365</v>
    <v>367</v>
    <v>368</v>
    <v>San Alberto</v>
    <v>157</v>
    <v>369</v>
    <v>San Alberto</v>
    <v>mdp/vdpid/5577353467682357249</v>
  </rv>
  <rv s="1">
    <fb>512</fb>
    <v>9</v>
  </rv>
  <rv s="0">
    <v>536870912</v>
    <v>Cauca</v>
    <v>7b3864e4-af68-447f-d9bc-075dd9085ef8</v>
    <v>es-CO</v>
    <v>Map</v>
  </rv>
  <rv s="2">
    <v>51</v>
    <v>7</v>
    <v>99</v>
    <v>7</v>
    <v>0</v>
    <v>Image of Popayán</v>
  </rv>
  <rv s="1">
    <fb>2.4541666666666702</fb>
    <v>10</v>
  </rv>
  <rv s="3">
    <v>https://www.bing.com/search?q=Popay%c3%a1n&amp;form=skydnc</v>
    <v>Aprenda más con Bing</v>
  </rv>
  <rv s="0">
    <v>805306368</v>
    <v>Juan Carlos Lopez Castrillón (Alcalde)</v>
    <v>7add1a9f-8e00-db12-edfa-86955d2d55ab</v>
    <v>es-CO</v>
    <v>Generic</v>
  </rv>
  <rv s="4">
    <v>16</v>
  </rv>
  <rv s="1">
    <fb>-76.609166666666695</fb>
    <v>10</v>
  </rv>
  <rv s="1">
    <fb>300837</fb>
    <v>9</v>
  </rv>
  <rv s="5">
    <v>#VALUE!</v>
    <v>es-ES</v>
    <v>00cf04a3-1af5-9cf7-1cb0-ff1a2de87d79</v>
    <v>536870912</v>
    <v>1</v>
    <v>100</v>
    <v>2</v>
    <v>3</v>
    <v>Popayán</v>
    <v>5</v>
    <v>6</v>
    <v>Map</v>
    <v>7</v>
    <v>8</v>
    <v>371</v>
    <v>Popayán, oficialmente Asunción de Popayán, es un municipio colombiano, capital del departamento del Cauca. Se encuentra localizado en el Valle de Pubenza, entre la Cordillera Occidental y Central al suroccidente del país. Su extensión ...</v>
    <v>372</v>
    <v>373</v>
    <v>374</v>
    <v>375</v>
    <v>377</v>
    <v>378</v>
    <v>Popayán</v>
    <v>157</v>
    <v>379</v>
    <v>Popayán</v>
    <v>mdp/vdpid/5581279410599755779</v>
  </rv>
  <rv s="1">
    <fb>25978</fb>
    <v>9</v>
  </rv>
  <rv s="0">
    <v>536870912</v>
    <v>Cartagena de Indias</v>
    <v>722cd66d-65f4-7a40-33a0-17719bf6238a</v>
    <v>es-CO</v>
    <v>Map</v>
  </rv>
  <rv s="2">
    <v>15</v>
    <v>7</v>
    <v>101</v>
    <v>7</v>
    <v>0</v>
    <v>Image of Bolívar</v>
  </rv>
  <rv s="3">
    <v>https://www.bing.com/search?q=Bol%c3%advar+Colombia&amp;form=skydnc</v>
    <v>Aprenda más con Bing</v>
  </rv>
  <rv s="0">
    <v>805306368</v>
    <v>Vicente blel (Gobernador)</v>
    <v>3c3279f7-6f56-d14b-fe8b-44ecfbdc04fe</v>
    <v>es-CO</v>
    <v>Generic</v>
  </rv>
  <rv s="4">
    <v>17</v>
  </rv>
  <rv s="1">
    <fb>2180976</fb>
    <v>9</v>
  </rv>
  <rv s="1">
    <fb>391055</fb>
    <v>9</v>
  </rv>
  <rv s="6">
    <v>#VALUE!</v>
    <v>es-ES</v>
    <v>38fa99f2-3e47-af72-2f25-81f620fe1128</v>
    <v>536870912</v>
    <v>1</v>
    <v>103</v>
    <v>14</v>
    <v>15</v>
    <v>Bolívar</v>
    <v>5</v>
    <v>6</v>
    <v>Map</v>
    <v>7</v>
    <v>16</v>
    <v>CO-BOL</v>
    <v>381</v>
    <v>382</v>
    <v>382</v>
    <v>Bolívar es uno de los treinta y dos departamentos que forman la República de Colombia. Está ubicado en la región Caribe, limitando al norte con el mar Caribe. Con unos 2 180 976 habitantes en 2018, es el séptimo departamento más poblado. Su ...</v>
    <v>383</v>
    <v>384</v>
    <v>386</v>
    <v>Bolívar</v>
    <v>157</v>
    <v>387</v>
    <v>388</v>
    <v>Bolívar</v>
    <v>mdp/vdpid/9421486</v>
  </rv>
  <rv s="1">
    <fb>1181</fb>
    <v>9</v>
  </rv>
  <rv s="0">
    <v>536870912</v>
    <v>Nariño</v>
    <v>1b9faaa5-ba49-9e9a-6edd-39ceed297f8f</v>
    <v>es-CO</v>
    <v>Map</v>
  </rv>
  <rv s="2">
    <v>114</v>
    <v>7</v>
    <v>104</v>
    <v>7</v>
    <v>0</v>
    <v>Image of Pasto</v>
  </rv>
  <rv s="1">
    <fb>1.21</fb>
    <v>10</v>
  </rv>
  <rv s="3">
    <v>https://www.bing.com/search?q=Pasto+Colombia&amp;form=skydnc</v>
    <v>Aprenda más con Bing</v>
  </rv>
  <rv s="0">
    <v>805306368</v>
    <v>Pedro Vicente Obando (Alcalde)</v>
    <v>94f68a38-bf12-470c-250a-8da3dbb544f0</v>
    <v>es-CO</v>
    <v>Generic</v>
  </rv>
  <rv s="4">
    <v>18</v>
  </rv>
  <rv s="1">
    <fb>-77.274722222221996</fb>
    <v>10</v>
  </rv>
  <rv s="1">
    <fb>410835</fb>
    <v>9</v>
  </rv>
  <rv s="4">
    <v>19</v>
  </rv>
  <rv s="14">
    <v>#VALUE!</v>
    <v>es-ES</v>
    <v>dc2554b9-27d5-309d-89c4-5936459ccb5e</v>
    <v>536870912</v>
    <v>1</v>
    <v>105</v>
    <v>2</v>
    <v>106</v>
    <v>Pasto</v>
    <v>5</v>
    <v>6</v>
    <v>Map</v>
    <v>7</v>
    <v>95</v>
    <v>390</v>
    <v>Pasto, oficialmente San Juan de Pasto, es un municipio colombiano, capital del departamento de Nariño, cuya cabecera municipal ostenta el nombre de San Juan de Pasto. Se ubica en el suroccidente de la nación, en la región Andina.</v>
    <v>391</v>
    <v>392</v>
    <v>393</v>
    <v>394</v>
    <v>396</v>
    <v>397</v>
    <v>Pasto</v>
    <v>157</v>
    <v>398</v>
    <v>Pasto</v>
    <v>mdp/vdpid/5581509562260783105</v>
    <v>399</v>
  </rv>
  <rv s="1">
    <fb>572</fb>
    <v>9</v>
  </rv>
  <rv s="2">
    <v>16</v>
    <v>7</v>
    <v>107</v>
    <v>7</v>
    <v>0</v>
    <v>Image of Cartagena de Indias</v>
  </rv>
  <rv s="1">
    <fb>10.423611111111001</fb>
    <v>10</v>
  </rv>
  <rv s="3">
    <v>https://www.bing.com/search?q=Cartagena+de+Indias&amp;form=skydnc</v>
    <v>Aprenda más con Bing</v>
  </rv>
  <rv s="0">
    <v>805306368</v>
    <v>William Jorge Dau Chamat (Alcalde)</v>
    <v>340cebcf-3f48-0203-060a-4712a5e1d4cb</v>
    <v>es-CO</v>
    <v>Generic</v>
  </rv>
  <rv s="4">
    <v>20</v>
  </rv>
  <rv s="1">
    <fb>-75.525277777778001</fb>
    <v>10</v>
  </rv>
  <rv s="0">
    <v>536870912</v>
    <v>Venezuela</v>
    <v>6dd1d7bd-393f-a467-12fa-e71f98cc00b9</v>
    <v>es-CO</v>
    <v>Map</v>
  </rv>
  <rv s="1">
    <fb>914552</fb>
    <v>9</v>
  </rv>
  <rv s="5">
    <v>#VALUE!</v>
    <v>es-ES</v>
    <v>722cd66d-65f4-7a40-33a0-17719bf6238a</v>
    <v>536870912</v>
    <v>1</v>
    <v>108</v>
    <v>2</v>
    <v>3</v>
    <v>Cartagena de Indias</v>
    <v>5</v>
    <v>6</v>
    <v>Map</v>
    <v>7</v>
    <v>25</v>
    <v>401</v>
    <v>Cartagena de Indias, oficialmente Distrito Turístico y Cultural de Cartagena de Indias, es un distrito colombiano, desde 1991. Ubicada a orillas del mar Caribe. Fue fundada el 1 de junio de 1533 por Pedro de Heredia. Su centro histórico, llamada ...</v>
    <v>180</v>
    <v>402</v>
    <v>403</v>
    <v>404</v>
    <v>406</v>
    <v>407</v>
    <v>Cartagena de Indias</v>
    <v>408</v>
    <v>409</v>
    <v>Cartagena de Indias</v>
    <v>mdp/vdpid/5576109476290756609</v>
  </rv>
  <rv s="1">
    <fb>645</fb>
    <v>9</v>
  </rv>
  <rv s="2">
    <v>17</v>
    <v>7</v>
    <v>109</v>
    <v>7</v>
    <v>0</v>
    <v>Image of Santa Cruz de Mompox</v>
  </rv>
  <rv s="1">
    <fb>9.2394444444444002</fb>
    <v>10</v>
  </rv>
  <rv s="3">
    <v>https://www.bing.com/search?q=Santa+Cruz+de+Mompox&amp;form=skydnc</v>
    <v>Aprenda más con Bing</v>
  </rv>
  <rv s="0">
    <v>805306368</v>
    <v>Guillermo Santos Anaya (Alcalde)</v>
    <v>03b4575d-1688-e26a-0631-1a3db7c72d7e</v>
    <v>es-CO</v>
    <v>Generic</v>
  </rv>
  <rv s="4">
    <v>21</v>
  </rv>
  <rv s="1">
    <fb>-74.424999999999997</fb>
    <v>10</v>
  </rv>
  <rv s="1">
    <fb>44124</fb>
    <v>9</v>
  </rv>
  <rv s="5">
    <v>#VALUE!</v>
    <v>es-ES</v>
    <v>ed71198c-eb01-c7fa-78b8-c796c4bdd403</v>
    <v>536870912</v>
    <v>1</v>
    <v>111</v>
    <v>2</v>
    <v>3</v>
    <v>Santa Cruz de Mompox</v>
    <v>5</v>
    <v>6</v>
    <v>Map</v>
    <v>7</v>
    <v>59</v>
    <v>411</v>
    <v>Santa Cruz de Mompox ó Mompós, es un distrito de Colombia, en el departamento de Bolívar. En mérito del estado de conservación de su centro histórico fue declarada Monumento Nacional en 1959 y Patrimonio de la Humanidad por las UNESCO en 1995. ...</v>
    <v>180</v>
    <v>412</v>
    <v>413</v>
    <v>414</v>
    <v>416</v>
    <v>417</v>
    <v>Santa Cruz de Mompox</v>
    <v>157</v>
    <v>418</v>
    <v>Santa Cruz de Mompox</v>
    <v>mdp/vdpid/5576464405727543297</v>
  </rv>
  <rv s="1">
    <fb>637</fb>
    <v>9</v>
  </rv>
  <rv s="2">
    <v>19</v>
    <v>7</v>
    <v>112</v>
    <v>7</v>
    <v>0</v>
    <v>Image of San Juan Nepomuceno</v>
  </rv>
  <rv s="1">
    <fb>9.9522222222222005</fb>
    <v>10</v>
  </rv>
  <rv s="3">
    <v>https://www.bing.com/search?q=San+Juan+Nepomuceno+Bol%c3%advar&amp;form=skydnc</v>
    <v>Aprenda más con Bing</v>
  </rv>
  <rv s="1">
    <fb>-75.081111111110999</fb>
    <v>10</v>
  </rv>
  <rv s="1">
    <fb>34110</fb>
    <v>9</v>
  </rv>
  <rv s="7">
    <v>#VALUE!</v>
    <v>es-ES</v>
    <v>f5afa2d7-5f9b-c6dc-dda0-6c3a35e33158</v>
    <v>536870912</v>
    <v>1</v>
    <v>114</v>
    <v>2</v>
    <v>24</v>
    <v>San Juan Nepomuceno</v>
    <v>5</v>
    <v>6</v>
    <v>Map</v>
    <v>7</v>
    <v>25</v>
    <v>420</v>
    <v>San Juan Nepomuceno es un municipio colombiano ubicado en el norte del departamento de Bolívar. Se encuentra dentro del sistema orográfico de las Serranías de San Jacinto. Tiene un área de 637 km² y en él se encuentra el Santuario de fauna y ...</v>
    <v>180</v>
    <v>421</v>
    <v>422</v>
    <v>423</v>
    <v>424</v>
    <v>San Juan Nepomuceno</v>
    <v>157</v>
    <v>425</v>
    <v>San Juan Nepomuceno</v>
    <v>mdp/vdpid/5576147887206694913</v>
  </rv>
  <rv s="1">
    <fb>1415</fb>
    <v>9</v>
  </rv>
  <rv s="0">
    <v>536870912</v>
    <v>La Guajira</v>
    <v>5dadb66e-c4f1-8556-c08f-671a606edf84</v>
    <v>es-CO</v>
    <v>Map</v>
  </rv>
  <rv s="2">
    <v>61</v>
    <v>7</v>
    <v>115</v>
    <v>7</v>
    <v>0</v>
    <v>Image of San Juan del Cesar</v>
  </rv>
  <rv s="1">
    <fb>10.770833333333</fb>
    <v>10</v>
  </rv>
  <rv s="3">
    <v>https://www.bing.com/search?q=San+Juan+del+Cesar&amp;form=skydnc</v>
    <v>Aprenda más con Bing</v>
  </rv>
  <rv s="0">
    <v>805306368</v>
    <v>Moises Daza Mendoza (Alcalde)</v>
    <v>fabd1339-c286-3474-b9cb-f393b2b4d2ea</v>
    <v>es-CO</v>
    <v>Generic</v>
  </rv>
  <rv s="4">
    <v>22</v>
  </rv>
  <rv s="1">
    <fb>-73.003055555556003</fb>
    <v>10</v>
  </rv>
  <rv s="1">
    <fb>40069</fb>
    <v>9</v>
  </rv>
  <rv s="5">
    <v>#VALUE!</v>
    <v>es-ES</v>
    <v>78f5620c-d29b-68df-b515-c0385ca8ebf7</v>
    <v>536870912</v>
    <v>1</v>
    <v>117</v>
    <v>2</v>
    <v>3</v>
    <v>San Juan del Cesar</v>
    <v>5</v>
    <v>6</v>
    <v>Map</v>
    <v>7</v>
    <v>25</v>
    <v>427</v>
    <v>San Juan del Cesar es un municipio colombiano ubicado en el departamento de La Guajira, es encontrado en el valle del río Cesar, entre la sierra nevada de Santa Marta y la serranía del Perijá.</v>
    <v>428</v>
    <v>429</v>
    <v>430</v>
    <v>431</v>
    <v>433</v>
    <v>434</v>
    <v>San Juan del Cesar</v>
    <v>157</v>
    <v>435</v>
    <v>San Juan del Cesar</v>
    <v>mdp/vdpid/5577727510327590913</v>
  </rv>
  <rv s="1">
    <fb>1739</fb>
    <v>9</v>
  </rv>
  <rv s="2">
    <v>57</v>
    <v>7</v>
    <v>118</v>
    <v>7</v>
    <v>0</v>
    <v>Image of Agustín Codazzi</v>
  </rv>
  <rv s="1">
    <fb>10.036666666666999</fb>
    <v>10</v>
  </rv>
  <rv s="3">
    <v>https://www.bing.com/search?q=Agust%c3%adn+Codazzi+Cesar&amp;form=skydnc</v>
    <v>Aprenda más con Bing</v>
  </rv>
  <rv s="0">
    <v>805306368</v>
    <v>Luis 'Luchito' Vladimir Peñaloza Fuetes (Alcalde)</v>
    <v>676f6431-8ddc-813d-325f-ccf2870b1deb</v>
    <v>es-CO</v>
    <v>Generic</v>
  </rv>
  <rv s="4">
    <v>23</v>
  </rv>
  <rv s="1">
    <fb>-73.236944444444006</fb>
    <v>10</v>
  </rv>
  <rv s="1">
    <fb>50828</fb>
    <v>9</v>
  </rv>
  <rv s="5">
    <v>#VALUE!</v>
    <v>es-ES</v>
    <v>9c16bc90-7b1a-61ce-8ca7-9ea5c31cc61a</v>
    <v>536870912</v>
    <v>1</v>
    <v>120</v>
    <v>2</v>
    <v>3</v>
    <v>Agustín Codazzi</v>
    <v>5</v>
    <v>6</v>
    <v>Map</v>
    <v>7</v>
    <v>59</v>
    <v>437</v>
    <v>Agustín Codazzi o simplemente Codazzi es un municipio localizado al norte del departamento del Cesar, limita al norte con La Paz, al oeste con El Paso, al sur con Becerril y al este con Venezuela. Es la tercera ciudad en población e importancia ...</v>
    <v>319</v>
    <v>438</v>
    <v>439</v>
    <v>440</v>
    <v>442</v>
    <v>443</v>
    <v>Agustín Codazzi</v>
    <v>157</v>
    <v>444</v>
    <v>Agustín Codazzi</v>
    <v>mdp/vdpid/5576295695922495489</v>
  </rv>
  <rv s="1">
    <fb>945</fb>
    <v>9</v>
  </rv>
  <rv s="2">
    <v>20</v>
    <v>7</v>
    <v>121</v>
    <v>7</v>
    <v>0</v>
    <v>Image of El Carmen de Bolívar</v>
  </rv>
  <rv s="1">
    <fb>9.7163888888888899</fb>
    <v>10</v>
  </rv>
  <rv s="3">
    <v>https://www.bing.com/search?q=El+Carmen+de+Bol%c3%advar&amp;form=skydnc</v>
    <v>Aprenda más con Bing</v>
  </rv>
  <rv s="1">
    <fb>-75.120833333333294</fb>
    <v>10</v>
  </rv>
  <rv s="1">
    <fb>66001</fb>
    <v>9</v>
  </rv>
  <rv s="7">
    <v>#VALUE!</v>
    <v>es-ES</v>
    <v>eaad625f-bb48-f8e2-4112-6730cd5d7c77</v>
    <v>536870912</v>
    <v>1</v>
    <v>122</v>
    <v>2</v>
    <v>24</v>
    <v>El Carmen de Bolívar</v>
    <v>5</v>
    <v>6</v>
    <v>Map</v>
    <v>7</v>
    <v>123</v>
    <v>446</v>
    <v>El Carmen de Bolívar es un municipio de Colombia en el departamento de Bolívar; ubicado en el sistema orográfico de los Montes de María, siendo la población más grande, así como la que concentra el movimiento económico y comercial de la ...</v>
    <v>180</v>
    <v>447</v>
    <v>448</v>
    <v>449</v>
    <v>450</v>
    <v>El Carmen de Bolívar</v>
    <v>157</v>
    <v>451</v>
    <v>El Carmen de Bolívar</v>
    <v>mdp/vdpid/5576337693723328513</v>
  </rv>
  <rv s="1">
    <fb>23189</fb>
    <v>9</v>
  </rv>
  <rv s="0">
    <v>536870912</v>
    <v>Tunja</v>
    <v>27d685ee-2724-70fe-3ed2-724fbc283d31</v>
    <v>es-CO</v>
    <v>Map</v>
  </rv>
  <rv s="2">
    <v>21</v>
    <v>7</v>
    <v>124</v>
    <v>7</v>
    <v>0</v>
    <v>Image of Boyacá</v>
  </rv>
  <rv s="3">
    <v>https://www.bing.com/search?q=Boyac%c3%a1&amp;form=skydnc</v>
    <v>Aprenda más con Bing</v>
  </rv>
  <rv s="0">
    <v>805306368</v>
    <v>Carlos Andrés Amaya (Gobernador)</v>
    <v>00deec2e-929a-c15b-81f7-f36dee0462b8</v>
    <v>es-CO</v>
    <v>Generic</v>
  </rv>
  <rv s="4">
    <v>24</v>
  </rv>
  <rv s="1">
    <fb>1242731</fb>
    <v>9</v>
  </rv>
  <rv s="1">
    <fb>336296</fb>
    <v>9</v>
  </rv>
  <rv s="6">
    <v>#VALUE!</v>
    <v>es-ES</v>
    <v>951b3076-f33d-486b-9b35-d6d83aad8b98</v>
    <v>536870912</v>
    <v>1</v>
    <v>126</v>
    <v>14</v>
    <v>15</v>
    <v>Boyacá</v>
    <v>5</v>
    <v>6</v>
    <v>Map</v>
    <v>7</v>
    <v>16</v>
    <v>CO-BOY</v>
    <v>453</v>
    <v>454</v>
    <v>454</v>
    <v>Boyacá es uno de los treinta y dos departamentos que forman la República de Colombia. Su capital es Tunja. Está ubicado en el centro-este del país, en la región andina. Se creó durante la reforma constitucional de la Confederación Granadina del ...</v>
    <v>455</v>
    <v>456</v>
    <v>458</v>
    <v>Boyacá</v>
    <v>157</v>
    <v>459</v>
    <v>460</v>
    <v>Boyacá</v>
    <v>mdp/vdpid/10106930</v>
  </rv>
  <rv s="1">
    <fb>191.75</fb>
    <v>9</v>
  </rv>
  <rv s="0">
    <v>536870912</v>
    <v>Boyacá</v>
    <v>951b3076-f33d-486b-9b35-d6d83aad8b98</v>
    <v>es-CO</v>
    <v>Map</v>
  </rv>
  <rv s="2">
    <v>27</v>
    <v>7</v>
    <v>127</v>
    <v>7</v>
    <v>0</v>
    <v>Image of Garagoa</v>
  </rv>
  <rv s="1">
    <fb>5.0822222222222004</fb>
    <v>10</v>
  </rv>
  <rv s="3">
    <v>https://www.bing.com/search?q=Garagoa&amp;form=skydnc</v>
    <v>Aprenda más con Bing</v>
  </rv>
  <rv s="0">
    <v>805306368</v>
    <v>Fabio Augusto Arévalo (Alcalde)</v>
    <v>8a397ddc-f125-1089-56bc-c1c63e82a274</v>
    <v>es-CO</v>
    <v>Generic</v>
  </rv>
  <rv s="4">
    <v>25</v>
  </rv>
  <rv s="1">
    <fb>-73.363888888888994</fb>
    <v>10</v>
  </rv>
  <rv s="1">
    <fb>16944</fb>
    <v>9</v>
  </rv>
  <rv s="5">
    <v>#VALUE!</v>
    <v>es-ES</v>
    <v>3f346ad7-f911-31de-470f-eb819c7deb4c</v>
    <v>536870912</v>
    <v>1</v>
    <v>129</v>
    <v>2</v>
    <v>3</v>
    <v>Garagoa</v>
    <v>5</v>
    <v>6</v>
    <v>Map</v>
    <v>7</v>
    <v>59</v>
    <v>462</v>
    <v>Garagoa es un municipio colombiano, capital de la provincia de Neira, al suroriente del departamento de Boyacá. Distancia por carretera de Bogotá la capital de Colombia es de 136 km y de Tunja, capital departamental, 81 km. Es el noveno ...</v>
    <v>463</v>
    <v>464</v>
    <v>465</v>
    <v>466</v>
    <v>468</v>
    <v>469</v>
    <v>Garagoa</v>
    <v>157</v>
    <v>470</v>
    <v>Garagoa</v>
    <v>mdp/vdpid/5580730206873714689</v>
  </rv>
  <rv s="1">
    <fb>209</fb>
    <v>9</v>
  </rv>
  <rv s="2">
    <v>22</v>
    <v>7</v>
    <v>130</v>
    <v>7</v>
    <v>0</v>
    <v>Image of Sogamoso</v>
  </rv>
  <rv s="1">
    <fb>5.7148307000000003</fb>
    <v>10</v>
  </rv>
  <rv s="3">
    <v>https://www.bing.com/search?q=Sogamoso&amp;form=skydnc</v>
    <v>Aprenda más con Bing</v>
  </rv>
  <rv s="0">
    <v>805306368</v>
    <v>Rigoberto Alfonso Pérez (Alcalde)</v>
    <v>e6d3acef-eeb4-93a3-a8f3-ea5d50f34264</v>
    <v>es-CO</v>
    <v>Generic</v>
  </rv>
  <rv s="4">
    <v>26</v>
  </rv>
  <rv s="1">
    <fb>-72.927932799999994</fb>
    <v>10</v>
  </rv>
  <rv s="1">
    <fb>128638</fb>
    <v>9</v>
  </rv>
  <rv s="5">
    <v>#VALUE!</v>
    <v>es-ES</v>
    <v>460e7e84-a420-238d-3504-767025713023</v>
    <v>536870912</v>
    <v>1</v>
    <v>131</v>
    <v>2</v>
    <v>3</v>
    <v>Sogamoso</v>
    <v>5</v>
    <v>6</v>
    <v>Map</v>
    <v>7</v>
    <v>132</v>
    <v>472</v>
    <v>Sogamoso es un municipio colombiano situado en el centro-oriente del departamento de Boyacá en la región del Alto Chicamocha. Es la capital de la Provincia de Sugamuxi, se encuentra a 228,5 km al noreste de Bogotá, la capital del país, y a 75,8 ...</v>
    <v>463</v>
    <v>473</v>
    <v>474</v>
    <v>475</v>
    <v>477</v>
    <v>478</v>
    <v>Sogamoso</v>
    <v>157</v>
    <v>479</v>
    <v>Sogamoso</v>
    <v>mdp/vdpid/5579210304803307521</v>
  </rv>
  <rv s="1">
    <fb>571.84</fb>
    <v>9</v>
  </rv>
  <rv s="0">
    <v>536870912</v>
    <v>Caldas</v>
    <v>85871477-49bf-4c76-2b8d-3f2500f444d8</v>
    <v>es-CO</v>
    <v>Map</v>
  </rv>
  <rv s="2">
    <v>34</v>
    <v>7</v>
    <v>133</v>
    <v>7</v>
    <v>0</v>
    <v>Image of Manizales</v>
  </rv>
  <rv s="1">
    <fb>5.0661111111111001</fb>
    <v>10</v>
  </rv>
  <rv s="3">
    <v>https://www.bing.com/search?q=Manizales&amp;form=skydnc</v>
    <v>Aprenda más con Bing</v>
  </rv>
  <rv s="0">
    <v>805306368</v>
    <v>Jorge Eduardo Rojas Giraldo (Alcalde)</v>
    <v>80abdd05-4826-d629-5713-ba7ff7e4638e</v>
    <v>es-CO</v>
    <v>Generic</v>
  </rv>
  <rv s="4">
    <v>27</v>
  </rv>
  <rv s="1">
    <fb>-75.484722222222004</fb>
    <v>10</v>
  </rv>
  <rv s="1">
    <fb>454494</fb>
    <v>9</v>
  </rv>
  <rv s="5">
    <v>#VALUE!</v>
    <v>es-ES</v>
    <v>bd9d0749-454d-d6e3-1695-5fdb48ea0d4f</v>
    <v>536870912</v>
    <v>1</v>
    <v>134</v>
    <v>2</v>
    <v>3</v>
    <v>Manizales</v>
    <v>5</v>
    <v>6</v>
    <v>Map</v>
    <v>7</v>
    <v>95</v>
    <v>481</v>
    <v>Manizales es un municipio colombiano, capital del departamento de Caldas. Está ubicada en el centro occidente de Colombia en la región paisa, haciendo parte del Eje Cafetero, sobre la Cordillera Central de los Andes y cerca del Nevado del Ruiz. ...</v>
    <v>482</v>
    <v>483</v>
    <v>484</v>
    <v>485</v>
    <v>487</v>
    <v>488</v>
    <v>Manizales</v>
    <v>157</v>
    <v>489</v>
    <v>Manizales</v>
    <v>mdp/vdpid/5580550925593870337</v>
  </rv>
  <rv s="1">
    <fb>266.93</fb>
    <v>9</v>
  </rv>
  <rv s="2">
    <v>23</v>
    <v>7</v>
    <v>135</v>
    <v>7</v>
    <v>0</v>
    <v>Image of Duitama</v>
  </rv>
  <rv s="1">
    <fb>5.8219444444443997</fb>
    <v>10</v>
  </rv>
  <rv s="3">
    <v>https://www.bing.com/search?q=Duitama&amp;form=skydnc</v>
    <v>Aprenda más con Bing</v>
  </rv>
  <rv s="0">
    <v>805306368</v>
    <v>Constanza Ramírez Acevedo (Alcalde)</v>
    <v>db41b083-c5c2-48e6-234a-b9558fabc80b</v>
    <v>es-CO</v>
    <v>Generic</v>
  </rv>
  <rv s="4">
    <v>28</v>
  </rv>
  <rv s="1">
    <fb>-73.029722222222006</fb>
    <v>10</v>
  </rv>
  <rv s="1">
    <fb>126670</fb>
    <v>9</v>
  </rv>
  <rv s="11">
    <v>#VALUE!</v>
    <v>es-ES</v>
    <v>d1dafe95-be39-492c-2f13-171ae978fc0e</v>
    <v>536870912</v>
    <v>1</v>
    <v>136</v>
    <v>46</v>
    <v>55</v>
    <v>Duitama</v>
    <v>5</v>
    <v>6</v>
    <v>Map</v>
    <v>7</v>
    <v>25</v>
    <v>491</v>
    <v>Duitama es un municipio colombiano, ubicado en el departamento de Boyacá, en el centro-oriente de Colombia, en la región del Alto Chicamocha. Es la capital y centro urbano de mayor tamaño en la provincia del Tundama. Se le conoce como "La ...</v>
    <v>463</v>
    <v>463</v>
    <v>492</v>
    <v>493</v>
    <v>494</v>
    <v>496</v>
    <v>497</v>
    <v>Duitama</v>
    <v>157</v>
    <v>498</v>
    <v>Duitama</v>
    <v>mdp/vdpid/5579205219679469569</v>
  </rv>
  <rv s="1">
    <fb>118</fb>
    <v>9</v>
  </rv>
  <rv s="2">
    <v>24</v>
    <v>7</v>
    <v>137</v>
    <v>7</v>
    <v>0</v>
    <v>Image of Tunja</v>
  </rv>
  <rv s="1">
    <fb>5.5402777777778001</fb>
    <v>10</v>
  </rv>
  <rv s="3">
    <v>https://www.bing.com/search?q=Tunja&amp;form=skydnc</v>
    <v>Aprenda más con Bing</v>
  </rv>
  <rv s="0">
    <v>805306368</v>
    <v>Mikhail Krasnov (Alcalde)</v>
    <v>5d0d9927-5694-4432-d19b-c376a40e27b7</v>
    <v>es-CO</v>
    <v>Generic</v>
  </rv>
  <rv s="4">
    <v>29</v>
  </rv>
  <rv s="1">
    <fb>-73.361388888888996</fb>
    <v>10</v>
  </rv>
  <rv s="1">
    <fb>180568</fb>
    <v>9</v>
  </rv>
  <rv s="5">
    <v>#VALUE!</v>
    <v>es-ES</v>
    <v>27d685ee-2724-70fe-3ed2-724fbc283d31</v>
    <v>536870912</v>
    <v>1</v>
    <v>138</v>
    <v>2</v>
    <v>3</v>
    <v>Tunja</v>
    <v>5</v>
    <v>6</v>
    <v>Map</v>
    <v>7</v>
    <v>39</v>
    <v>500</v>
    <v>Tunja es un municipio colombiano, capital del departamento de Boyacá, situado sobre la cordillera oriental de los Andes a 115 km al noreste de Bogotá. Es la ciudad capital más alta del país. Tunja fue construida sobre Hunza, la capital de la ...</v>
    <v>463</v>
    <v>501</v>
    <v>502</v>
    <v>503</v>
    <v>505</v>
    <v>506</v>
    <v>Tunja</v>
    <v>157</v>
    <v>507</v>
    <v>Tunja</v>
    <v>mdp/vdpid/5580708390788661249</v>
  </rv>
  <rv s="1">
    <fb>352</fb>
    <v>9</v>
  </rv>
  <rv s="2">
    <v>64</v>
    <v>7</v>
    <v>139</v>
    <v>7</v>
    <v>0</v>
    <v>Image of Cereté</v>
  </rv>
  <rv s="1">
    <fb>8.8866666666667005</fb>
    <v>10</v>
  </rv>
  <rv s="3">
    <v>https://www.bing.com/search?q=Ceret%c3%a9&amp;form=skydnc</v>
    <v>Aprenda más con Bing</v>
  </rv>
  <rv s="0">
    <v>805306368</v>
    <v>Pugsly "El Tumor" Kubrik (Alcalde)</v>
    <v>ab345f18-d2bf-b6db-2e99-c300775375ba</v>
    <v>es-CO</v>
    <v>Generic</v>
  </rv>
  <rv s="4">
    <v>30</v>
  </rv>
  <rv s="1">
    <fb>-75.791111111110993</fb>
    <v>10</v>
  </rv>
  <rv s="1">
    <fb>94935</fb>
    <v>9</v>
  </rv>
  <rv s="5">
    <v>#VALUE!</v>
    <v>es-ES</v>
    <v>76240cf8-7a26-a1d9-ad18-24d320449b52</v>
    <v>536870912</v>
    <v>1</v>
    <v>140</v>
    <v>2</v>
    <v>3</v>
    <v>Cereté</v>
    <v>5</v>
    <v>6</v>
    <v>Map</v>
    <v>7</v>
    <v>25</v>
    <v>509</v>
    <v>Cereté es un municipio colombiano ubicado en el departamento de Córdoba. Es conocido como La capital del Oro Blanco dada su alta productividad de algodón, es un centro de desarrollo agroindustrial del medio Sinú, está bañado por el Río Sinú en ...</v>
    <v>293</v>
    <v>510</v>
    <v>511</v>
    <v>512</v>
    <v>514</v>
    <v>515</v>
    <v>Cereté</v>
    <v>157</v>
    <v>516</v>
    <v>Cereté</v>
    <v>mdp/vdpid/5576376588796166148</v>
  </rv>
  <rv s="1">
    <fb>2991</fb>
    <v>9</v>
  </rv>
  <rv s="2">
    <v>48</v>
    <v>7</v>
    <v>141</v>
    <v>7</v>
    <v>0</v>
    <v>Image of Trinidad</v>
  </rv>
  <rv s="1">
    <fb>5.4091666666667004</fb>
    <v>10</v>
  </rv>
  <rv s="3">
    <v>https://www.bing.com/search?q=Trinidad+Casanare&amp;form=skydnc</v>
    <v>Aprenda más con Bing</v>
  </rv>
  <rv s="1">
    <fb>-71.661111111110998</fb>
    <v>10</v>
  </rv>
  <rv s="1">
    <fb>11734</fb>
    <v>9</v>
  </rv>
  <rv s="7">
    <v>#VALUE!</v>
    <v>es-ES</v>
    <v>cba97817-1ec3-e6f3-7173-db413026e07a</v>
    <v>536870912</v>
    <v>1</v>
    <v>143</v>
    <v>2</v>
    <v>24</v>
    <v>Trinidad</v>
    <v>5</v>
    <v>6</v>
    <v>Map</v>
    <v>7</v>
    <v>8</v>
    <v>518</v>
    <v>Trinidad es un municipio colombiano del departamento de Casanare. Dista de la capital departamental, Yopal a una distancia de 109,3 km, y de la ciudad de Bogotá una distancia de 456 km. Fue fundado en 1724 y elevado a la condición de municipio a ...</v>
    <v>223</v>
    <v>519</v>
    <v>520</v>
    <v>521</v>
    <v>522</v>
    <v>Trinidad</v>
    <v>157</v>
    <v>523</v>
    <v>Trinidad</v>
    <v>mdp/vdpid/5582357098492067841</v>
  </rv>
  <rv s="2">
    <v>25</v>
    <v>7</v>
    <v>144</v>
    <v>7</v>
    <v>0</v>
    <v>Image of Miraflores</v>
  </rv>
  <rv s="1">
    <fb>5.1963888888889</fb>
    <v>10</v>
  </rv>
  <rv s="3">
    <v>https://www.bing.com/search?q=Miraflores+Boyac%c3%a1&amp;form=skydnc</v>
    <v>Aprenda más con Bing</v>
  </rv>
  <rv s="0">
    <v>805306368</v>
    <v>Fredy Alexander Holguín Ruíz (Alcalde)</v>
    <v>1179c1d5-20d1-4a35-79e3-a8e0162a58ce</v>
    <v>es-CO</v>
    <v>Generic</v>
  </rv>
  <rv s="4">
    <v>31</v>
  </rv>
  <rv s="1">
    <fb>-73.144444444444005</fb>
    <v>10</v>
  </rv>
  <rv s="1">
    <fb>8274</fb>
    <v>9</v>
  </rv>
  <rv s="15">
    <v>#VALUE!</v>
    <v>es-ES</v>
    <v>2f8bf18c-fa0d-983d-488e-6c0f0ddf35a1</v>
    <v>536870912</v>
    <v>1</v>
    <v>146</v>
    <v>147</v>
    <v>148</v>
    <v>Miraflores</v>
    <v>5</v>
    <v>6</v>
    <v>Map</v>
    <v>7</v>
    <v>149</v>
    <v>Miraflores es un municipio colombiano, capital de la provincia de Lengupá, en el departamento de Boyacá.</v>
    <v>463</v>
    <v>463</v>
    <v>525</v>
    <v>526</v>
    <v>527</v>
    <v>529</v>
    <v>530</v>
    <v>Miraflores</v>
    <v>157</v>
    <v>531</v>
    <v>Miraflores</v>
    <v>mdp/vdpid/5580728495463464961</v>
  </rv>
  <rv s="1">
    <fb>136</fb>
    <v>9</v>
  </rv>
  <rv s="2">
    <v>26</v>
    <v>7</v>
    <v>150</v>
    <v>7</v>
    <v>0</v>
    <v>Image of Soatá</v>
  </rv>
  <rv s="1">
    <fb>6.3327777777777996</fb>
    <v>10</v>
  </rv>
  <rv s="3">
    <v>https://www.bing.com/search?q=Soat%c3%a1&amp;form=skydnc</v>
    <v>Aprenda más con Bing</v>
  </rv>
  <rv s="0">
    <v>805306368</v>
    <v>Carlos Javier Gutiérrez Sandoval (Alcalde)</v>
    <v>20b94906-a2a8-e830-621b-7a11402c6b46</v>
    <v>es-CO</v>
    <v>Generic</v>
  </rv>
  <rv s="4">
    <v>32</v>
  </rv>
  <rv s="1">
    <fb>-72.683888888889001</fb>
    <v>10</v>
  </rv>
  <rv s="1">
    <fb>7255</fb>
    <v>9</v>
  </rv>
  <rv s="11">
    <v>#VALUE!</v>
    <v>es-ES</v>
    <v>054f7d2c-ca84-a13e-80e7-eaa2bd77952e</v>
    <v>536870912</v>
    <v>1</v>
    <v>151</v>
    <v>46</v>
    <v>55</v>
    <v>Soatá</v>
    <v>5</v>
    <v>6</v>
    <v>Map</v>
    <v>7</v>
    <v>59</v>
    <v>533</v>
    <v>Soatá es un municipio colombiano del departamento de Boyacá, capital de la provincia del Norte. Se sitúa en la ladera occidental de la Cordillera Oriental, en el noreste del departamento. El municipio se encuentra a una altitud de 1950 m sobre ...</v>
    <v>463</v>
    <v>463</v>
    <v>534</v>
    <v>535</v>
    <v>536</v>
    <v>538</v>
    <v>539</v>
    <v>Soatá</v>
    <v>157</v>
    <v>540</v>
    <v>Soatá</v>
    <v>mdp/vdpid/5579195353569165313</v>
  </rv>
  <rv s="1">
    <fb>220</fb>
    <v>9</v>
  </rv>
  <rv s="2">
    <v>28</v>
    <v>7</v>
    <v>152</v>
    <v>7</v>
    <v>0</v>
    <v>Image of Moniquirá</v>
  </rv>
  <rv s="1">
    <fb>5.8744444444443999</fb>
    <v>10</v>
  </rv>
  <rv s="3">
    <v>https://www.bing.com/search?q=Moniquir%c3%a1&amp;form=skydnc</v>
    <v>Aprenda más con Bing</v>
  </rv>
  <rv s="0">
    <v>805306368</v>
    <v>José Clodomiro Ariza Pardo (Alcalde)</v>
    <v>62f8ff8b-73c7-7c45-852f-d997e15d8ef2</v>
    <v>es-CO</v>
    <v>Generic</v>
  </rv>
  <rv s="4">
    <v>33</v>
  </rv>
  <rv s="1">
    <fb>-73.571666666666999</fb>
    <v>10</v>
  </rv>
  <rv s="1">
    <fb>24.035</fb>
    <v>9</v>
  </rv>
  <rv s="11">
    <v>#VALUE!</v>
    <v>es-ES</v>
    <v>d848eb78-9ea0-fec1-2adf-4ad9dd429e8d</v>
    <v>536870912</v>
    <v>1</v>
    <v>153</v>
    <v>46</v>
    <v>55</v>
    <v>Moniquirá</v>
    <v>5</v>
    <v>6</v>
    <v>Map</v>
    <v>7</v>
    <v>39</v>
    <v>542</v>
    <v>Moniquirá es un municipio colombiano ubicado en la provincia de Ricaurte, de la cual es capital, en el departamento de Boyacá; su cabecera dista 56 km de Tunja, la capital departamental. Situado a 1.669 m s. n. m., su territorio, que pertenece a ...</v>
    <v>463</v>
    <v>463</v>
    <v>543</v>
    <v>544</v>
    <v>545</v>
    <v>547</v>
    <v>548</v>
    <v>Moniquirá</v>
    <v>157</v>
    <v>549</v>
    <v>Moniquirá</v>
    <v>mdp/vdpid/5577694042113703938</v>
  </rv>
  <rv s="1">
    <fb>1472</fb>
    <v>9</v>
  </rv>
  <rv s="2">
    <v>29</v>
    <v>7</v>
    <v>154</v>
    <v>7</v>
    <v>0</v>
    <v>Image of Puerto Boyacá</v>
  </rv>
  <rv s="1">
    <fb>5.9761111111111003</fb>
    <v>10</v>
  </rv>
  <rv s="3">
    <v>https://www.bing.com/search?q=Puerto+Boyac%c3%a1&amp;form=skydnc</v>
    <v>Aprenda más con Bing</v>
  </rv>
  <rv s="0">
    <v>805306368</v>
    <v>Jicly Esgardo Mutis Isaza (Alcalde)</v>
    <v>3d7946c8-74e2-aafa-58cb-d1a51e648256</v>
    <v>es-CO</v>
    <v>Generic</v>
  </rv>
  <rv s="4">
    <v>34</v>
  </rv>
  <rv s="1">
    <fb>-74.587500000000006</fb>
    <v>10</v>
  </rv>
  <rv s="1">
    <fb>55286</fb>
    <v>9</v>
  </rv>
  <rv s="5">
    <v>#VALUE!</v>
    <v>es-ES</v>
    <v>10bf3bb7-2af0-e28f-b2f5-6ef2f3172266</v>
    <v>536870912</v>
    <v>1</v>
    <v>156</v>
    <v>2</v>
    <v>3</v>
    <v>Puerto Boyacá</v>
    <v>5</v>
    <v>6</v>
    <v>Map</v>
    <v>7</v>
    <v>59</v>
    <v>551</v>
    <v>Puerto Boyacá es un municipio y puerto colombiano del departamento de Boyacá, capital de la Zona de Manejo Especial y antiguamente denominada «Territorio Vásquez». Puerto Boyacá es uno de los principales puertos de la región del Magdalena Medio ...</v>
    <v>463</v>
    <v>552</v>
    <v>553</v>
    <v>554</v>
    <v>556</v>
    <v>557</v>
    <v>Puerto Boyacá</v>
    <v>157</v>
    <v>558</v>
    <v>Puerto Boyacá</v>
    <v>mdp/vdpid/5577549664003031041</v>
  </rv>
  <rv s="1">
    <fb>133</fb>
    <v>9</v>
  </rv>
  <rv s="2">
    <v>30</v>
    <v>7</v>
    <v>157</v>
    <v>7</v>
    <v>0</v>
    <v>Image of Chiquinquirá</v>
  </rv>
  <rv s="1">
    <fb>5.6174999999999997</fb>
    <v>10</v>
  </rv>
  <rv s="3">
    <v>https://www.bing.com/search?q=Chiquinquir%c3%a1&amp;form=skydnc</v>
    <v>Aprenda más con Bing</v>
  </rv>
  <rv s="0">
    <v>805306368</v>
    <v>Wilmar Ancizar Triana González (Alcalde)</v>
    <v>8cbbca00-6081-5af6-dabf-ee357ccf8ec4</v>
    <v>es-CO</v>
    <v>Generic</v>
  </rv>
  <rv s="4">
    <v>35</v>
  </rv>
  <rv s="1">
    <fb>-73.816388888888994</fb>
    <v>10</v>
  </rv>
  <rv s="1">
    <fb>85274</fb>
    <v>9</v>
  </rv>
  <rv s="5">
    <v>#VALUE!</v>
    <v>es-ES</v>
    <v>fed91fe3-9f87-98f3-0737-a89103e54741</v>
    <v>536870912</v>
    <v>1</v>
    <v>158</v>
    <v>2</v>
    <v>3</v>
    <v>Chiquinquirá</v>
    <v>5</v>
    <v>6</v>
    <v>Map</v>
    <v>7</v>
    <v>25</v>
    <v>560</v>
    <v>Chiquinquirá es un municipio colombiano, capital de la provincia de Occidente en el departamento de Boyacá, situada en el valle del río Suárez, a 134 km al norte de Bogotá y a 73 km de Tunja, la capital del departamento. Con 65 274 habitantes es ...</v>
    <v>463</v>
    <v>561</v>
    <v>562</v>
    <v>563</v>
    <v>565</v>
    <v>566</v>
    <v>Chiquinquirá</v>
    <v>157</v>
    <v>567</v>
    <v>Chiquinquirá</v>
    <v>mdp/vdpid/5577696406946185217</v>
  </rv>
  <rv s="1">
    <fb>1650</fb>
    <v>9</v>
  </rv>
  <rv s="2">
    <v>31</v>
    <v>7</v>
    <v>159</v>
    <v>7</v>
    <v>0</v>
    <v>Image of Cubará</v>
  </rv>
  <rv s="1">
    <fb>7.0008333333332997</fb>
    <v>10</v>
  </rv>
  <rv s="3">
    <v>https://www.bing.com/search?q=Cubar%c3%a1&amp;form=skydnc</v>
    <v>Aprenda más con Bing</v>
  </rv>
  <rv s="0">
    <v>805306368</v>
    <v>Aura Benilda Tegria Cristancho (Alcalde)</v>
    <v>36390eb9-f729-a814-ecce-fab786fa7125</v>
    <v>es-CO</v>
    <v>Generic</v>
  </rv>
  <rv s="4">
    <v>36</v>
  </rv>
  <rv s="1">
    <fb>-72.108055555556007</fb>
    <v>10</v>
  </rv>
  <rv s="1">
    <fb>6725</fb>
    <v>9</v>
  </rv>
  <rv s="5">
    <v>#VALUE!</v>
    <v>es-ES</v>
    <v>579dcdd9-3f9f-8943-85cf-d554c058bc42</v>
    <v>536870912</v>
    <v>1</v>
    <v>160</v>
    <v>2</v>
    <v>3</v>
    <v>Cubará</v>
    <v>5</v>
    <v>6</v>
    <v>Map</v>
    <v>7</v>
    <v>59</v>
    <v>569</v>
    <v>Cubará es un municipio colombiano situado en el departamento de Boyacá. Según el censo de 2018, tiene una población de 10 319 habitantes. Se sitúa en el extremo nororiental del departamento de Boyacá, en la región del Sarare, en la subregión del ...</v>
    <v>463</v>
    <v>570</v>
    <v>571</v>
    <v>572</v>
    <v>574</v>
    <v>575</v>
    <v>Cubará</v>
    <v>157</v>
    <v>576</v>
    <v>Cubará</v>
    <v>mdp/vdpid/5579153677521780737</v>
  </rv>
  <rv s="1">
    <fb>56</fb>
    <v>9</v>
  </rv>
  <rv s="2">
    <v>47</v>
    <v>7</v>
    <v>162</v>
    <v>7</v>
    <v>0</v>
    <v>Image of Hato Corozal</v>
  </rv>
  <rv s="1">
    <fb>6.1547222222222002</fb>
    <v>10</v>
  </rv>
  <rv s="3">
    <v>https://www.bing.com/search?q=Hato+Corozal&amp;form=skydnc</v>
    <v>Aprenda más con Bing</v>
  </rv>
  <rv s="1">
    <fb>-71.765277777777996</fb>
    <v>10</v>
  </rv>
  <rv s="1">
    <fb>11431</fb>
    <v>9</v>
  </rv>
  <rv s="7">
    <v>#VALUE!</v>
    <v>es-ES</v>
    <v>f155cebb-45d9-baad-927c-e472deef8a26</v>
    <v>536870912</v>
    <v>1</v>
    <v>163</v>
    <v>2</v>
    <v>24</v>
    <v>Hato Corozal</v>
    <v>5</v>
    <v>6</v>
    <v>Map</v>
    <v>7</v>
    <v>8</v>
    <v>578</v>
    <v>Hato Corozal es un municipio colombiano ubicado en el departamento de Casanare. Tiene una extensión de 5.436 km² y una población aproximada de 11.500 habitantes. Se encuentra a una altitud de 250 m s. n. m., con temperaturas de 25 a 27 °C.</v>
    <v>223</v>
    <v>579</v>
    <v>580</v>
    <v>581</v>
    <v>582</v>
    <v>Hato Corozal</v>
    <v>157</v>
    <v>583</v>
    <v>Hato Corozal</v>
    <v>mdp/vdpid/5581056700120563713</v>
  </rv>
  <rv s="1">
    <fb>574</fb>
    <v>9</v>
  </rv>
  <rv s="2">
    <v>33</v>
    <v>7</v>
    <v>164</v>
    <v>7</v>
    <v>0</v>
    <v>Image of La Dorada</v>
  </rv>
  <rv s="1">
    <fb>5.4538388888888996</fb>
    <v>10</v>
  </rv>
  <rv s="3">
    <v>https://www.bing.com/search?q=La+Dorada+Caldas&amp;form=skydnc</v>
    <v>Aprenda más con Bing</v>
  </rv>
  <rv s="0">
    <v>805306368</v>
    <v>Diego Pineda Alvarez (Alcalde)</v>
    <v>5afa0f60-25a9-01ef-7468-b46b6f4ad4cf</v>
    <v>es-CO</v>
    <v>Generic</v>
  </rv>
  <rv s="4">
    <v>37</v>
  </rv>
  <rv s="1">
    <fb>-74.664675000000003</fb>
    <v>10</v>
  </rv>
  <rv s="1">
    <fb>98600</fb>
    <v>9</v>
  </rv>
  <rv s="5">
    <v>#VALUE!</v>
    <v>es-ES</v>
    <v>873bedf5-d60d-4ad2-9db3-1e75f43e6d5f</v>
    <v>536870912</v>
    <v>1</v>
    <v>166</v>
    <v>2</v>
    <v>3</v>
    <v>La Dorada</v>
    <v>5</v>
    <v>6</v>
    <v>Map</v>
    <v>7</v>
    <v>59</v>
    <v>585</v>
    <v>La Dorada es un municipio de Colombia ubicado en el extremo oriental del departamento de Caldas, en la región Magdalena Medio. Es considerado como el segundo municipio ganadero de Colombia, después de Montería, y el segundo más importante del ...</v>
    <v>482</v>
    <v>586</v>
    <v>587</v>
    <v>588</v>
    <v>590</v>
    <v>591</v>
    <v>La Dorada</v>
    <v>157</v>
    <v>592</v>
    <v>La Dorada</v>
    <v>mdp/vdpid/5580570270210457601</v>
  </rv>
  <rv s="1">
    <fb>88965</fb>
    <v>9</v>
  </rv>
  <rv s="2">
    <v>35</v>
    <v>7</v>
    <v>167</v>
    <v>7</v>
    <v>0</v>
    <v>Image of Caquetá</v>
  </rv>
  <rv s="3">
    <v>https://www.bing.com/search?q=Caquet%c3%a1&amp;form=skydnc</v>
    <v>Aprenda más con Bing</v>
  </rv>
  <rv s="0">
    <v>805306368</v>
    <v>Alvaro Pacheco Alvarez (Gobernador)</v>
    <v>5f36e4f3-77a4-a33a-c270-1c5d4cd374d9</v>
    <v>es-ES</v>
    <v>Generic</v>
  </rv>
  <rv s="4">
    <v>38</v>
  </rv>
  <rv s="0">
    <v>536870912</v>
    <v>Colombia</v>
    <v>c396e3d8-2a85-d230-f691-7850536d840e</v>
    <v>es-ES</v>
    <v>Map</v>
  </rv>
  <rv s="1">
    <fb>410521</fb>
    <v>9</v>
  </rv>
  <rv s="1">
    <fb>80076</fb>
    <v>9</v>
  </rv>
  <rv s="6">
    <v>#VALUE!</v>
    <v>es-ES</v>
    <v>52c6ce36-10f4-7316-b10a-41d0eb67ac75</v>
    <v>536870912</v>
    <v>1</v>
    <v>169</v>
    <v>14</v>
    <v>15</v>
    <v>Caquetá</v>
    <v>5</v>
    <v>6</v>
    <v>Map</v>
    <v>7</v>
    <v>16</v>
    <v>CO-CAQ</v>
    <v>594</v>
    <v>36</v>
    <v>36</v>
    <v>Caquetá es uno de los treinta y dos departamentos que forman la República de Colombia. Su capital es Florencia. Está ubicado al sur del país, en la región Amazonia. Con 88 965 km² es el tercer departamento más extenso —por detrás de Amazonas y ...</v>
    <v>595</v>
    <v>596</v>
    <v>598</v>
    <v>Caquetá</v>
    <v>599</v>
    <v>600</v>
    <v>601</v>
    <v>Caquetá</v>
    <v>mdp/vdpid/10106918</v>
  </rv>
  <rv s="1">
    <fb>2292</fb>
    <v>9</v>
  </rv>
  <rv s="2">
    <v>36</v>
    <v>7</v>
    <v>170</v>
    <v>7</v>
    <v>0</v>
    <v>Image of Florencia</v>
  </rv>
  <rv s="1">
    <fb>1.6141666666667001</fb>
    <v>10</v>
  </rv>
  <rv s="3">
    <v>https://www.bing.com/search?q=Florencia+Caquet%c3%a1&amp;form=skydnc</v>
    <v>Aprenda más con Bing</v>
  </rv>
  <rv s="0">
    <v>805306368</v>
    <v>María Susana Portela (Alcalde)</v>
    <v>10828bb1-0462-c4b9-1487-019e91180f64</v>
    <v>es-CO</v>
    <v>Generic</v>
  </rv>
  <rv s="4">
    <v>39</v>
  </rv>
  <rv s="1">
    <fb>-75.611666666667006</fb>
    <v>10</v>
  </rv>
  <rv s="1">
    <fb>191867</fb>
    <v>9</v>
  </rv>
  <rv s="5">
    <v>#VALUE!</v>
    <v>es-ES</v>
    <v>cd593b92-5ec9-6358-d982-76274f18d53c</v>
    <v>536870912</v>
    <v>1</v>
    <v>171</v>
    <v>2</v>
    <v>3</v>
    <v>Florencia</v>
    <v>5</v>
    <v>6</v>
    <v>Map</v>
    <v>7</v>
    <v>39</v>
    <v>603</v>
    <v>Florencia es un municipio colombiano, capital del departamento de Caquetá. Es el municipio más poblado de la región amazónica por su número de habitantes. Es conocido como «La Puerta de Oro de la Amazonía Colombiana».</v>
    <v>269</v>
    <v>604</v>
    <v>605</v>
    <v>606</v>
    <v>608</v>
    <v>609</v>
    <v>Florencia</v>
    <v>157</v>
    <v>610</v>
    <v>Florencia</v>
    <v>mdp/vdpid/5581740823231332353</v>
  </rv>
  <rv s="1">
    <fb>17875</fb>
    <v>9</v>
  </rv>
  <rv s="2">
    <v>37</v>
    <v>7</v>
    <v>172</v>
    <v>7</v>
    <v>0</v>
    <v>Image of San Vicente del Caguán</v>
  </rv>
  <rv s="1">
    <fb>2.1152777777777998</fb>
    <v>10</v>
  </rv>
  <rv s="3">
    <v>https://www.bing.com/search?q=San+Vicente+del+Cagu%c3%a1n&amp;form=skydnc</v>
    <v>Aprenda más con Bing</v>
  </rv>
  <rv s="1">
    <fb>-74.77</fb>
    <v>10</v>
  </rv>
  <rv s="1">
    <fb>67994</fb>
    <v>9</v>
  </rv>
  <rv s="7">
    <v>#VALUE!</v>
    <v>es-ES</v>
    <v>88cadef9-790d-bd78-9983-2a829f2c8540</v>
    <v>536870912</v>
    <v>1</v>
    <v>174</v>
    <v>2</v>
    <v>24</v>
    <v>San Vicente del Caguán</v>
    <v>5</v>
    <v>6</v>
    <v>Map</v>
    <v>7</v>
    <v>59</v>
    <v>612</v>
    <v>San Vicente del Caguán es un municipio colombiano, que está localizado en el departamento del Caquetá, a 151 km al nororiente de Florencia, la capital departamental. Está bañado por los ríos Caguán y Yarí. Es la segunda ciudad más importante del ...</v>
    <v>269</v>
    <v>613</v>
    <v>614</v>
    <v>615</v>
    <v>616</v>
    <v>San Vicente del Caguán</v>
    <v>157</v>
    <v>617</v>
    <v>San Vicente del Caguán</v>
    <v>mdp/vdpid/5581716813089079297</v>
  </rv>
  <rv s="2">
    <v>38</v>
    <v>7</v>
    <v>175</v>
    <v>7</v>
    <v>0</v>
    <v>Image of Puerto Rico</v>
  </rv>
  <rv s="1">
    <fb>1.9075</fb>
    <v>10</v>
  </rv>
  <rv s="3">
    <v>https://www.bing.com/search?q=Puerto+Rico+Caquet%c3%a1&amp;form=skydnc</v>
    <v>Aprenda más con Bing</v>
  </rv>
  <rv s="1">
    <fb>-75.158333333333005</fb>
    <v>10</v>
  </rv>
  <rv s="1">
    <fb>33765</fb>
    <v>9</v>
  </rv>
  <rv s="12">
    <v>#VALUE!</v>
    <v>es-ES</v>
    <v>e280c4a6-73de-2efa-9930-f106362f3ad4</v>
    <v>536870912</v>
    <v>1</v>
    <v>177</v>
    <v>63</v>
    <v>64</v>
    <v>Puerto Rico</v>
    <v>5</v>
    <v>6</v>
    <v>Map</v>
    <v>7</v>
    <v>65</v>
    <v>Puerto Rico es un municipio localizado en el departamento del Caquetá, al sur de Colombia. Es también conocido como la capital arrocera de este departamento, debido a la alta producción de dicho cereal.</v>
    <v>269</v>
    <v>619</v>
    <v>620</v>
    <v>621</v>
    <v>622</v>
    <v>Puerto Rico</v>
    <v>157</v>
    <v>623</v>
    <v>Puerto Rico</v>
    <v>mdp/vdpid/5581759004616425473</v>
  </rv>
  <rv s="1">
    <fb>2391</fb>
    <v>9</v>
  </rv>
  <rv s="2">
    <v>45</v>
    <v>7</v>
    <v>178</v>
    <v>7</v>
    <v>0</v>
    <v>Image of Tauramena</v>
  </rv>
  <rv s="1">
    <fb>5.016667</fb>
    <v>10</v>
  </rv>
  <rv s="3">
    <v>https://www.bing.com/search?q=Tauramena&amp;form=skydnc</v>
    <v>Aprenda más con Bing</v>
  </rv>
  <rv s="1">
    <fb>-72.75</fb>
    <v>10</v>
  </rv>
  <rv s="1">
    <fb>21709</fb>
    <v>9</v>
  </rv>
  <rv s="7">
    <v>#VALUE!</v>
    <v>es-ES</v>
    <v>1ad8c4da-950b-a3d0-c532-ceddd2d50f40</v>
    <v>536870912</v>
    <v>1</v>
    <v>180</v>
    <v>2</v>
    <v>24</v>
    <v>Tauramena</v>
    <v>5</v>
    <v>6</v>
    <v>Map</v>
    <v>7</v>
    <v>8</v>
    <v>625</v>
    <v>Tauramena es un municipio colombiano en la zona sur-occidental del departamento de Casanare.</v>
    <v>223</v>
    <v>626</v>
    <v>627</v>
    <v>628</v>
    <v>629</v>
    <v>Tauramena</v>
    <v>157</v>
    <v>630</v>
    <v>Tauramena</v>
    <v>mdp/vdpid/5582242932120879105</v>
  </rv>
  <rv s="1">
    <fb>521</fb>
    <v>9</v>
  </rv>
  <rv s="2">
    <v>52</v>
    <v>7</v>
    <v>181</v>
    <v>7</v>
    <v>0</v>
    <v>Image of Santander de Quilichao</v>
  </rv>
  <rv s="1">
    <fb>3.0083333333333</fb>
    <v>10</v>
  </rv>
  <rv s="3">
    <v>https://www.bing.com/search?q=Santander+de+Quilichao&amp;form=skydnc</v>
    <v>Aprenda más con Bing</v>
  </rv>
  <rv s="0">
    <v>805306368</v>
    <v>Alvaro Mendoza Bermuclez (Alcalde)</v>
    <v>e234df08-fcd9-02f2-e1d8-0f3a11117e22</v>
    <v>es-CO</v>
    <v>Generic</v>
  </rv>
  <rv s="4">
    <v>40</v>
  </rv>
  <rv s="1">
    <fb>-76.483888888888998</fb>
    <v>10</v>
  </rv>
  <rv s="1">
    <fb>116535</fb>
    <v>9</v>
  </rv>
  <rv s="5">
    <v>#VALUE!</v>
    <v>es-ES</v>
    <v>8ddf7307-e0ef-1911-cf2a-13ce14840519</v>
    <v>536870912</v>
    <v>1</v>
    <v>182</v>
    <v>2</v>
    <v>3</v>
    <v>Santander de Quilichao</v>
    <v>5</v>
    <v>6</v>
    <v>Map</v>
    <v>7</v>
    <v>8</v>
    <v>632</v>
    <v>Santander de Quilichao es un municipio colombiano situado en el sector norte del departamento del Cauca, a una distancia de 97 km al norte de Popayán y 45 km al sur de Cali. Limita al norte con los municipios de Villa Rica y Jamundí, al ...</v>
    <v>372</v>
    <v>633</v>
    <v>634</v>
    <v>635</v>
    <v>637</v>
    <v>638</v>
    <v>Santander de Quilichao</v>
    <v>157</v>
    <v>639</v>
    <v>Santander de Quilichao</v>
    <v>mdp/vdpid/5580507418112032769</v>
  </rv>
  <rv s="1">
    <fb>3.16</fb>
    <v>9</v>
  </rv>
  <rv s="0">
    <v>536870912</v>
    <v>Lombardía</v>
    <v>4e4d95c0-6e91-acd2-e10c-7165bc365e22</v>
    <v>es-CO</v>
    <v>Map</v>
  </rv>
  <rv s="2">
    <v>39</v>
    <v>7</v>
    <v>183</v>
    <v>7</v>
    <v>0</v>
    <v>Image of Roncello</v>
  </rv>
  <rv s="1">
    <fb>45.6</fb>
    <v>10</v>
  </rv>
  <rv s="3">
    <v>https://www.bing.com/search?q=Roncello&amp;form=skydnc</v>
    <v>Aprenda más con Bing</v>
  </rv>
  <rv s="0">
    <v>805306368</v>
    <v>Cristian Pulici (Alcalde)</v>
    <v>62b94197-b48f-8840-3d75-d9a5d04404d4</v>
    <v>es-CO</v>
    <v>Generic</v>
  </rv>
  <rv s="4">
    <v>41</v>
  </rv>
  <rv s="1">
    <fb>9.4499999999999993</fb>
    <v>10</v>
  </rv>
  <rv s="0">
    <v>536870912</v>
    <v>Italia</v>
    <v>09e8f885-427b-8850-947d-202e0287b9e8</v>
    <v>es-CO</v>
    <v>Map</v>
  </rv>
  <rv s="1">
    <fb>4779</fb>
    <v>9</v>
  </rv>
  <rv s="5">
    <v>#VALUE!</v>
    <v>es-ES</v>
    <v>5cbd569c-850f-53d1-c02a-5eb1650d9dc2</v>
    <v>536870912</v>
    <v>1</v>
    <v>184</v>
    <v>2</v>
    <v>3</v>
    <v>Roncello</v>
    <v>5</v>
    <v>6</v>
    <v>Map</v>
    <v>7</v>
    <v>95</v>
    <v>641</v>
    <v>Roncello es una localidad y comune italiana de la provincia de Monza y Brianza, región de Lombardía, con 3.712 habitantes.</v>
    <v>642</v>
    <v>643</v>
    <v>644</v>
    <v>645</v>
    <v>647</v>
    <v>648</v>
    <v>Roncello</v>
    <v>649</v>
    <v>650</v>
    <v>Roncello</v>
    <v>mdp/vdpid/7016436316044787713</v>
  </rv>
  <rv s="1">
    <fb>417</fb>
    <v>9</v>
  </rv>
  <rv s="2">
    <v>41</v>
    <v>7</v>
    <v>185</v>
    <v>7</v>
    <v>0</v>
    <v>Image of Albania</v>
  </rv>
  <rv s="1">
    <fb>1.3288888888889001</fb>
    <v>10</v>
  </rv>
  <rv s="3">
    <v>https://www.bing.com/search?q=Albania+Caquet%c3%a1&amp;form=skydnc</v>
    <v>Aprenda más con Bing</v>
  </rv>
  <rv s="1">
    <fb>-75.878333333333003</fb>
    <v>10</v>
  </rv>
  <rv s="1">
    <fb>6429</fb>
    <v>9</v>
  </rv>
  <rv s="7">
    <v>#VALUE!</v>
    <v>es-ES</v>
    <v>b2d6f4ad-760a-f66b-9259-5df832135a65</v>
    <v>536870912</v>
    <v>1</v>
    <v>186</v>
    <v>2</v>
    <v>24</v>
    <v>Albania</v>
    <v>5</v>
    <v>6</v>
    <v>Map</v>
    <v>7</v>
    <v>25</v>
    <v>652</v>
    <v>Albania es un municipio colombiano localizado en la región sur occidental del Departamento del Caquetá en Colombia, parte de la región amazónica del país, siendo uno de los 16 municipios que conforman el departamento. Su cabecera municipal se ...</v>
    <v>269</v>
    <v>653</v>
    <v>654</v>
    <v>655</v>
    <v>656</v>
    <v>Albania</v>
    <v>157</v>
    <v>657</v>
    <v>Albania</v>
    <v>mdp/vdpid/5581930776934481921</v>
  </rv>
  <rv s="1">
    <fb>44995</fb>
    <v>9</v>
  </rv>
  <rv s="0">
    <v>536870912</v>
    <v>Yopal</v>
    <v>b5d1013d-669c-c464-2466-3c8409cb17e0</v>
    <v>es-CO</v>
    <v>Map</v>
  </rv>
  <rv s="4">
    <v>42</v>
  </rv>
  <rv s="2">
    <v>42</v>
    <v>7</v>
    <v>187</v>
    <v>7</v>
    <v>0</v>
    <v>Image of Casanare</v>
  </rv>
  <rv s="3">
    <v>https://www.bing.com/search?q=Casanare&amp;form=skydnc</v>
    <v>Aprenda más con Bing</v>
  </rv>
  <rv s="0">
    <v>805306368</v>
    <v>Salomon Andres Sanabria (Gobernador)</v>
    <v>f10f1555-74b4-e56b-4354-1a9e1954c6a6</v>
    <v>es-CO</v>
    <v>Generic</v>
  </rv>
  <rv s="4">
    <v>43</v>
  </rv>
  <rv s="1">
    <fb>435195</fb>
    <v>9</v>
  </rv>
  <rv s="1">
    <fb>73701</fb>
    <v>9</v>
  </rv>
  <rv s="8">
    <v>#VALUE!</v>
    <v>es-ES</v>
    <v>e7b3ed4f-03e8-7516-f976-b525e8a0b565</v>
    <v>536870912</v>
    <v>1</v>
    <v>189</v>
    <v>14</v>
    <v>29</v>
    <v>Casanare</v>
    <v>5</v>
    <v>6</v>
    <v>Map</v>
    <v>7</v>
    <v>16</v>
    <v>CO-CAS</v>
    <v>659</v>
    <v>660</v>
    <v>660</v>
    <v>Casanare es uno de los treinta y dos departamentos que forman la República de Colombia. Su capital es Yopal. Está ubicado en la región Orinoquía. Con 44 490 km² es el décimo departamento más extenso —por detrás de Amazonas, Vichada, Caquetá, ...</v>
    <v>661</v>
    <v>662</v>
    <v>663</v>
    <v>665</v>
    <v>Casanare</v>
    <v>157</v>
    <v>666</v>
    <v>667</v>
    <v>Casanare</v>
    <v>mdp/vdpid/10106928</v>
  </rv>
  <rv s="1">
    <fb>825</fb>
    <v>9</v>
  </rv>
  <rv s="2">
    <v>44</v>
    <v>7</v>
    <v>190</v>
    <v>7</v>
    <v>0</v>
    <v>Image of Villanueva</v>
  </rv>
  <rv s="1">
    <fb>4.6087360000000004</fb>
    <v>10</v>
  </rv>
  <rv s="3">
    <v>https://www.bing.com/search?q=Villanueva+Casanare&amp;form=skydnc</v>
    <v>Aprenda más con Bing</v>
  </rv>
  <rv s="1">
    <fb>-72.928792000000001</fb>
    <v>10</v>
  </rv>
  <rv s="1">
    <fb>31727</fb>
    <v>9</v>
  </rv>
  <rv s="7">
    <v>#VALUE!</v>
    <v>es-ES</v>
    <v>e7507f20-e576-d076-730a-ca8372db9ee6</v>
    <v>536870912</v>
    <v>1</v>
    <v>192</v>
    <v>2</v>
    <v>24</v>
    <v>Villanueva</v>
    <v>5</v>
    <v>6</v>
    <v>Map</v>
    <v>7</v>
    <v>8</v>
    <v>669</v>
    <v>Villanueva es un municipio colombiano ubicado en el departamento de Casanare. Pese a ser el municipio más joven de ese departamento, Villanueva este se ha convertido en polo de desarrollo del sur de Casanare, gracias a sus esfuerzos en la ...</v>
    <v>223</v>
    <v>670</v>
    <v>671</v>
    <v>672</v>
    <v>673</v>
    <v>Villanueva</v>
    <v>157</v>
    <v>674</v>
    <v>Villanueva</v>
    <v>mdp/vdpid/5582290095559409665</v>
  </rv>
  <rv s="2">
    <v>46</v>
    <v>7</v>
    <v>193</v>
    <v>7</v>
    <v>0</v>
    <v>Image of Paz de Ariporo</v>
  </rv>
  <rv s="1">
    <fb>5.8811111111110996</fb>
    <v>10</v>
  </rv>
  <rv s="3">
    <v>https://www.bing.com/search?q=Paz+de+Ariporo&amp;form=skydnc</v>
    <v>Aprenda más con Bing</v>
  </rv>
  <rv s="1">
    <fb>-71.891666666667007</fb>
    <v>10</v>
  </rv>
  <rv s="1">
    <fb>34446</fb>
    <v>9</v>
  </rv>
  <rv s="12">
    <v>#VALUE!</v>
    <v>es-ES</v>
    <v>4555eb38-85d4-a867-f108-df2e8afb78b8</v>
    <v>536870912</v>
    <v>1</v>
    <v>195</v>
    <v>63</v>
    <v>64</v>
    <v>Paz de Ariporo</v>
    <v>5</v>
    <v>6</v>
    <v>Map</v>
    <v>7</v>
    <v>149</v>
    <v>Paz de Ariporo es un municipio colombiano ubicado en el departamento de Casanare. Tiene una población estimada, en 2021, de 33.446 habitantes. Está situado a una distancia de 456 km de Bogotá. Es el tercer municipio de Casanare por población ...</v>
    <v>223</v>
    <v>676</v>
    <v>677</v>
    <v>678</v>
    <v>679</v>
    <v>Paz de Ariporo</v>
    <v>157</v>
    <v>680</v>
    <v>Paz de Ariporo</v>
    <v>mdp/vdpid/5579250780222783489</v>
  </rv>
  <rv s="1">
    <fb>41.777000000000001</fb>
    <v>9</v>
  </rv>
  <rv s="2">
    <v>49</v>
    <v>7</v>
    <v>196</v>
    <v>7</v>
    <v>0</v>
    <v>Image of Orocué</v>
  </rv>
  <rv s="1">
    <fb>4.7897222222222</fb>
    <v>10</v>
  </rv>
  <rv s="3">
    <v>https://www.bing.com/search?q=Orocu%c3%a9&amp;form=skydnc</v>
    <v>Aprenda más con Bing</v>
  </rv>
  <rv s="1">
    <fb>-71.339166666666998</fb>
    <v>10</v>
  </rv>
  <rv s="1">
    <fb>8102</fb>
    <v>9</v>
  </rv>
  <rv s="7">
    <v>#VALUE!</v>
    <v>es-ES</v>
    <v>979d0022-50fd-b849-6b87-e6b4b227ac24</v>
    <v>536870912</v>
    <v>1</v>
    <v>198</v>
    <v>2</v>
    <v>24</v>
    <v>Orocué</v>
    <v>5</v>
    <v>6</v>
    <v>Map</v>
    <v>7</v>
    <v>85</v>
    <v>682</v>
    <v>Orocué es un municipio colombiano ubicado en el departamento del Casanare, región de los llanos orientales. Se ubica a orillas del río Meta, en el suroriente del departamento. Dista de la capital departamental Yopal 190 km, y de Bogotá 450 km.</v>
    <v>223</v>
    <v>683</v>
    <v>684</v>
    <v>685</v>
    <v>686</v>
    <v>Orocué</v>
    <v>157</v>
    <v>687</v>
    <v>Orocué</v>
    <v>mdp/vdpid/5582433069769424897</v>
  </rv>
  <rv s="1">
    <fb>80</fb>
    <v>9</v>
  </rv>
  <rv s="2">
    <v>77</v>
    <v>7</v>
    <v>199</v>
    <v>7</v>
    <v>0</v>
    <v>Image of Chía</v>
  </rv>
  <rv s="1">
    <fb>4.8633333333333004</fb>
    <v>10</v>
  </rv>
  <rv s="3">
    <v>https://www.bing.com/search?q=Ch%c3%ada+Cundinamarca&amp;form=skydnc</v>
    <v>Aprenda más con Bing</v>
  </rv>
  <rv s="0">
    <v>805306368</v>
    <v>Luis Carlos Segura Rubiano. (Alcalde)</v>
    <v>3ea443a2-7e3a-98dd-26bf-9551f7ccb6e6</v>
    <v>es-CO</v>
    <v>Generic</v>
  </rv>
  <rv s="4">
    <v>44</v>
  </rv>
  <rv s="1">
    <fb>-74.052777777778005</fb>
    <v>10</v>
  </rv>
  <rv s="1">
    <fb>97896</fb>
    <v>9</v>
  </rv>
  <rv s="5">
    <v>#VALUE!</v>
    <v>es-ES</v>
    <v>34fd9655-70af-4677-b8c2-608475482e5d</v>
    <v>536870912</v>
    <v>1</v>
    <v>200</v>
    <v>2</v>
    <v>3</v>
    <v>Chía</v>
    <v>5</v>
    <v>6</v>
    <v>Map</v>
    <v>7</v>
    <v>123</v>
    <v>689</v>
    <v>Chía es un municipio colombiano del departamento de Cundinamarca, ubicado en la Provincia de Sabana Centro, a 10 km al norte de Bogotá, de la cual hace parte de su Región Metropolitana. Se le conoce como «La Ciudad de la Luna», en referencia a ...</v>
    <v>329</v>
    <v>690</v>
    <v>691</v>
    <v>692</v>
    <v>694</v>
    <v>695</v>
    <v>Chía</v>
    <v>157</v>
    <v>696</v>
    <v>Chía</v>
    <v>mdp/vdpid/5580743565765509121</v>
  </rv>
  <rv s="1">
    <fb>29308</fb>
    <v>9</v>
  </rv>
  <rv s="0">
    <v>536870912</v>
    <v>Popayán</v>
    <v>00cf04a3-1af5-9cf7-1cb0-ff1a2de87d79</v>
    <v>es-CO</v>
    <v>Map</v>
  </rv>
  <rv s="2">
    <v>50</v>
    <v>7</v>
    <v>201</v>
    <v>7</v>
    <v>0</v>
    <v>Image of Cauca</v>
  </rv>
  <rv s="3">
    <v>https://www.bing.com/search?q=Cauca+Colombia&amp;form=skydnc</v>
    <v>Aprenda más con Bing</v>
  </rv>
  <rv s="0">
    <v>805306368</v>
    <v>Elías Larrahondo Carabalí (Gobernador)</v>
    <v>ba6bbd9b-d45b-4f8b-7b03-88050550bee6</v>
    <v>es-CO</v>
    <v>Generic</v>
  </rv>
  <rv s="4">
    <v>45</v>
  </rv>
  <rv s="1">
    <fb>1491937</fb>
    <v>9</v>
  </rv>
  <rv s="1">
    <fb>294069</fb>
    <v>9</v>
  </rv>
  <rv s="6">
    <v>#VALUE!</v>
    <v>es-ES</v>
    <v>7b3864e4-af68-447f-d9bc-075dd9085ef8</v>
    <v>536870912</v>
    <v>1</v>
    <v>203</v>
    <v>14</v>
    <v>15</v>
    <v>Cauca</v>
    <v>5</v>
    <v>6</v>
    <v>Map</v>
    <v>7</v>
    <v>16</v>
    <v>CO-CAU</v>
    <v>698</v>
    <v>699</v>
    <v>699</v>
    <v>Cauca es uno de los treinta y dos departamentos que conforman la República de Colombia. Su capital y ciudad más poblada es Popayán. Está ubicado al suroccidente del país entre las regiones andina y pacífica.</v>
    <v>700</v>
    <v>701</v>
    <v>703</v>
    <v>Cauca</v>
    <v>157</v>
    <v>704</v>
    <v>705</v>
    <v>Cauca</v>
    <v>mdp/vdpid/9419845</v>
  </rv>
  <rv s="2">
    <v>53</v>
    <v>7</v>
    <v>204</v>
    <v>7</v>
    <v>0</v>
    <v>Image of El Bordo</v>
  </rv>
  <rv s="1">
    <fb>2.1141666666667001</fb>
    <v>10</v>
  </rv>
  <rv s="3">
    <v>https://www.bing.com/search?q=El+Bordo+Cauca&amp;form=skydnc</v>
    <v>Aprenda más con Bing</v>
  </rv>
  <rv s="1">
    <fb>-76.983055555556007</fb>
    <v>10</v>
  </rv>
  <rv s="16">
    <v>#VALUE!</v>
    <v>es-ES</v>
    <v>39d1c0b3-9e2e-8874-f5fb-0fd2e68dc53c</v>
    <v>536870912</v>
    <v>1</v>
    <v>205</v>
    <v>206</v>
    <v>207</v>
    <v>El Bordo</v>
    <v>5</v>
    <v>6</v>
    <v>Map</v>
    <v>7</v>
    <v>El Bordo es la cabecera municipal del municipio de Patía en el departamento de Cauca, Colombia. Fundada por el fraile español José María Chacón y Sánchez el 22 de octubre de 1824. Es la última población fundada por los españoles antes de la ...</v>
    <v>707</v>
    <v>708</v>
    <v>709</v>
    <v>710</v>
    <v>El Bordo</v>
    <v>157</v>
    <v>El Bordo</v>
    <v>mdp/vdpid/5581258832119595009</v>
  </rv>
  <rv s="1">
    <fb>22905</fb>
    <v>9</v>
  </rv>
  <rv s="0">
    <v>536870912</v>
    <v>Valledupar</v>
    <v>6fe413f4-0dd2-f600-611d-ac12bfd296ec</v>
    <v>es-CO</v>
    <v>Map</v>
  </rv>
  <rv s="2">
    <v>54</v>
    <v>7</v>
    <v>208</v>
    <v>7</v>
    <v>0</v>
    <v>Image of Cesar</v>
  </rv>
  <rv s="3">
    <v>https://www.bing.com/search?q=Cesar+Department&amp;form=skydnc</v>
    <v>Aprenda más con Bing</v>
  </rv>
  <rv s="0">
    <v>805306368</v>
    <v>Francis Ferdinand Ovalle Angarita (Gobernador)</v>
    <v>c78cecaf-1d69-937c-4c3c-19b090fbe556</v>
    <v>es-CO</v>
    <v>Generic</v>
  </rv>
  <rv s="4">
    <v>46</v>
  </rv>
  <rv s="1">
    <fb>1295387</fb>
    <v>9</v>
  </rv>
  <rv s="1">
    <fb>204391</fb>
    <v>9</v>
  </rv>
  <rv s="6">
    <v>#VALUE!</v>
    <v>es-ES</v>
    <v>acf0353b-c9e7-bf27-fe4d-0e199bc80085</v>
    <v>536870912</v>
    <v>1</v>
    <v>210</v>
    <v>14</v>
    <v>15</v>
    <v>Cesar</v>
    <v>5</v>
    <v>6</v>
    <v>Map</v>
    <v>7</v>
    <v>16</v>
    <v>CO-CES</v>
    <v>712</v>
    <v>713</v>
    <v>713</v>
    <v>Cesar es uno de los treinta y dos departamentos que forman la República de Colombia. Su capital es Valledupar. Está ubicado al noreste del país, en las regiones Andina y Caribe. El 21 de junio de 1967 el presidente Carlos Lleras Restrepo ...</v>
    <v>714</v>
    <v>715</v>
    <v>717</v>
    <v>Cesar</v>
    <v>157</v>
    <v>718</v>
    <v>719</v>
    <v>Cesar</v>
    <v>mdp/vdpid/10106947</v>
  </rv>
  <rv s="1">
    <fb>976.26</fb>
    <v>9</v>
  </rv>
  <rv s="2">
    <v>55</v>
    <v>7</v>
    <v>211</v>
    <v>7</v>
    <v>0</v>
    <v>Image of Aguachica</v>
  </rv>
  <rv s="1">
    <fb>8.3066666666667004</fb>
    <v>10</v>
  </rv>
  <rv s="3">
    <v>https://www.bing.com/search?q=Aguachica&amp;form=skydnc</v>
    <v>Aprenda más con Bing</v>
  </rv>
  <rv s="0">
    <v>805306368</v>
    <v>Robinson Manosalva Saldaña (Alcalde)</v>
    <v>d1284cbc-0bd6-62a4-07b4-b6f220349ab3</v>
    <v>es-CO</v>
    <v>Generic</v>
  </rv>
  <rv s="0">
    <v>805306368</v>
    <v>People's Mayor (Alcalde)</v>
    <v>404d264d-2319-fac9-1889-65140779ae77</v>
    <v>es-CO</v>
    <v>Generic</v>
  </rv>
  <rv s="4">
    <v>47</v>
  </rv>
  <rv s="1">
    <fb>-73.615277777778005</fb>
    <v>10</v>
  </rv>
  <rv s="1">
    <fb>109621</fb>
    <v>9</v>
  </rv>
  <rv s="5">
    <v>#VALUE!</v>
    <v>es-ES</v>
    <v>f2de9a1a-656e-b920-a2f1-202992039b20</v>
    <v>536870912</v>
    <v>1</v>
    <v>212</v>
    <v>2</v>
    <v>3</v>
    <v>Aguachica</v>
    <v>5</v>
    <v>6</v>
    <v>Map</v>
    <v>7</v>
    <v>213</v>
    <v>721</v>
    <v>Aguachica es un municipio del departamento de Cesar, Colombia, ubicado entre el valle interandino del Magdalena Medio y la Serranía de los Motilones. Es el segundo municipio más poblado del departamento e importante centro ganadero y comercial ...</v>
    <v>319</v>
    <v>722</v>
    <v>723</v>
    <v>724</v>
    <v>727</v>
    <v>728</v>
    <v>Aguachica</v>
    <v>157</v>
    <v>729</v>
    <v>Aguachica</v>
    <v>mdp/vdpid/5577324632630886401</v>
  </rv>
  <rv s="2">
    <v>60</v>
    <v>7</v>
    <v>214</v>
    <v>7</v>
    <v>0</v>
    <v>Image of Pailitas</v>
  </rv>
  <rv s="1">
    <fb>8.9597222222222008</fb>
    <v>10</v>
  </rv>
  <rv s="3">
    <v>https://www.bing.com/search?q=Pailitas&amp;form=skydnc</v>
    <v>Aprenda más con Bing</v>
  </rv>
  <rv s="0">
    <v>805306368</v>
    <v>Luis Carlos Galván (Alcalde)</v>
    <v>476a92e8-1152-b2a7-f838-82e6622f5c7d</v>
    <v>es-CO</v>
    <v>Generic</v>
  </rv>
  <rv s="4">
    <v>48</v>
  </rv>
  <rv s="1">
    <fb>-73.625</fb>
    <v>10</v>
  </rv>
  <rv s="1">
    <fb>22083</fb>
    <v>9</v>
  </rv>
  <rv s="5">
    <v>#VALUE!</v>
    <v>es-ES</v>
    <v>7f1acfac-faf7-31c0-a3af-b32abe46f7b8</v>
    <v>536870912</v>
    <v>1</v>
    <v>215</v>
    <v>2</v>
    <v>3</v>
    <v>Pailitas</v>
    <v>5</v>
    <v>6</v>
    <v>Map</v>
    <v>7</v>
    <v>213</v>
    <v>371</v>
    <v>Pailitas es un municipio de Colombia, situado en el noreste del país, en el departamento de Cesar. Se sitúa a 226 km de la capital departamental, Valledupar. Limita al sur con Pelaya, al este con el departamento de Norte de Santander, al norte ...</v>
    <v>319</v>
    <v>731</v>
    <v>732</v>
    <v>733</v>
    <v>735</v>
    <v>736</v>
    <v>Pailitas</v>
    <v>157</v>
    <v>737</v>
    <v>Pailitas</v>
    <v>mdp/vdpid/5576560316122136577</v>
  </rv>
  <rv s="1">
    <fb>30000</fb>
    <v>9</v>
  </rv>
  <rv s="2">
    <v>56</v>
    <v>7</v>
    <v>216</v>
    <v>7</v>
    <v>0</v>
    <v>Image of Valledupar</v>
  </rv>
  <rv s="1">
    <fb>10.460277777778</fb>
    <v>10</v>
  </rv>
  <rv s="3">
    <v>https://www.bing.com/search?q=Valledupar&amp;form=skydnc</v>
    <v>Aprenda más con Bing</v>
  </rv>
  <rv s="0">
    <v>805306368</v>
    <v>José Santos Castro González "Mello Castro González" (Alcalde)</v>
    <v>c62e40e3-efde-004b-db6e-13f4c560cace</v>
    <v>es-CO</v>
    <v>Generic</v>
  </rv>
  <rv s="4">
    <v>49</v>
  </rv>
  <rv s="1">
    <fb>-73.259722222221995</fb>
    <v>10</v>
  </rv>
  <rv s="1">
    <fb>544134</fb>
    <v>9</v>
  </rv>
  <rv s="14">
    <v>#VALUE!</v>
    <v>es-ES</v>
    <v>6fe413f4-0dd2-f600-611d-ac12bfd296ec</v>
    <v>536870912</v>
    <v>1</v>
    <v>217</v>
    <v>2</v>
    <v>106</v>
    <v>Valledupar</v>
    <v>5</v>
    <v>6</v>
    <v>Map</v>
    <v>7</v>
    <v>39</v>
    <v>739</v>
    <v>Valledupar, también llamada Ciudad de los Santos Reyes del Valle de Upar, es un municipio colombiano, capital del departamento del Cesar. Está ubicada al nororiente del Caribe Colombiano, a orillas del río Guatapurí, en el valle del río Cesar ...</v>
    <v>319</v>
    <v>740</v>
    <v>741</v>
    <v>742</v>
    <v>744</v>
    <v>745</v>
    <v>Valledupar</v>
    <v>157</v>
    <v>746</v>
    <v>Valledupar</v>
    <v>mdp/vdpid/5576276980904493057</v>
    <v>399</v>
  </rv>
  <rv s="1">
    <fb>1103</fb>
    <v>9</v>
  </rv>
  <rv s="2">
    <v>59</v>
    <v>7</v>
    <v>219</v>
    <v>7</v>
    <v>0</v>
    <v>Image of Chiriguaná</v>
  </rv>
  <rv s="1">
    <fb>9.3616666666667001</fb>
    <v>10</v>
  </rv>
  <rv s="3">
    <v>https://www.bing.com/search?q=Chiriguan%c3%a1&amp;form=skydnc</v>
    <v>Aprenda más con Bing</v>
  </rv>
  <rv s="0">
    <v>805306368</v>
    <v>Ramon Diaz (Alcalde)</v>
    <v>b471aea8-e495-99fd-e139-5bc0bf1f19fa</v>
    <v>es-CO</v>
    <v>Generic</v>
  </rv>
  <rv s="4">
    <v>50</v>
  </rv>
  <rv s="1">
    <fb>-73.601944444444001</fb>
    <v>10</v>
  </rv>
  <rv s="1">
    <fb>27006</fb>
    <v>9</v>
  </rv>
  <rv s="5">
    <v>#VALUE!</v>
    <v>es-ES</v>
    <v>79cbdba6-0614-bea5-db05-d68730fb9b0f</v>
    <v>536870912</v>
    <v>1</v>
    <v>220</v>
    <v>2</v>
    <v>3</v>
    <v>Chiriguaná</v>
    <v>5</v>
    <v>6</v>
    <v>Map</v>
    <v>7</v>
    <v>8</v>
    <v>748</v>
    <v>Chiriguaná es un municipio de Colombia con 15.406 habitantes en la cabecera municipal y 9000 habitantes en la zona rural, situada en el departamento de Cesar, al noreste del país. Limita al norte con el municipio de El Paso, al sur con Curumaní, ...</v>
    <v>319</v>
    <v>749</v>
    <v>750</v>
    <v>751</v>
    <v>753</v>
    <v>754</v>
    <v>Chiriguaná</v>
    <v>157</v>
    <v>755</v>
    <v>Chiriguaná</v>
    <v>mdp/vdpid/5576497807923085313</v>
  </rv>
  <rv s="1">
    <fb>3141</fb>
    <v>9</v>
  </rv>
  <rv s="2">
    <v>65</v>
    <v>7</v>
    <v>221</v>
    <v>7</v>
    <v>0</v>
    <v>Image of Montería</v>
  </rv>
  <rv s="1">
    <fb>8.76</fb>
    <v>10</v>
  </rv>
  <rv s="3">
    <v>https://www.bing.com/search?q=Monter%c3%ada&amp;form=skydnc</v>
    <v>Aprenda más con Bing</v>
  </rv>
  <rv s="0">
    <v>805306368</v>
    <v>Carlos Ordosgoitia Sanín (Alcalde)</v>
    <v>f2ec0863-6940-21e9-5f4c-e3755b8edb28</v>
    <v>es-CO</v>
    <v>Generic</v>
  </rv>
  <rv s="4">
    <v>51</v>
  </rv>
  <rv s="1">
    <fb>-75.885555555555598</fb>
    <v>10</v>
  </rv>
  <rv s="1">
    <fb>523150</fb>
    <v>9</v>
  </rv>
  <rv s="5">
    <v>#VALUE!</v>
    <v>es-ES</v>
    <v>93a2a83d-0f56-b138-74ba-8c68692fbc74</v>
    <v>536870912</v>
    <v>1</v>
    <v>222</v>
    <v>2</v>
    <v>3</v>
    <v>Montería</v>
    <v>5</v>
    <v>6</v>
    <v>Map</v>
    <v>7</v>
    <v>95</v>
    <v>757</v>
    <v>Montería es un municipio colombiano, capital del departamento de Córdoba. Está ubicado al noroccidente del país en la región Caribe Colombiana, se encuentra a orillas del río Sinú, por lo que es conocida como la "Perla del Sinú". Es considerada ...</v>
    <v>293</v>
    <v>758</v>
    <v>759</v>
    <v>760</v>
    <v>762</v>
    <v>763</v>
    <v>Montería</v>
    <v>157</v>
    <v>764</v>
    <v>Montería</v>
    <v>mdp/vdpid/5576388951876304898</v>
  </rv>
  <rv s="1">
    <fb>960</fb>
    <v>9</v>
  </rv>
  <rv s="2">
    <v>66</v>
    <v>7</v>
    <v>223</v>
    <v>7</v>
    <v>0</v>
    <v>Image of Santa Cruz de Lorica</v>
  </rv>
  <rv s="1">
    <fb>9.2394583000000008</fb>
    <v>10</v>
  </rv>
  <rv s="3">
    <v>https://www.bing.com/search?q=Santa+Cruz+de+Lorica&amp;form=skydnc</v>
    <v>Aprenda más con Bing</v>
  </rv>
  <rv s="0">
    <v>805306368</v>
    <v>Francisco José Jattin Corrales (Alcalde)</v>
    <v>3c8571fe-066a-682c-1f8b-ec8dd0fcc4d9</v>
    <v>es-CO</v>
    <v>Generic</v>
  </rv>
  <rv s="4">
    <v>52</v>
  </rv>
  <rv s="1">
    <fb>-75.813978599999999</fb>
    <v>10</v>
  </rv>
  <rv s="1">
    <fb>110316</fb>
    <v>9</v>
  </rv>
  <rv s="5">
    <v>#VALUE!</v>
    <v>es-ES</v>
    <v>4e61ad98-2d85-4ad7-99e3-d6120cbf552a</v>
    <v>536870912</v>
    <v>1</v>
    <v>224</v>
    <v>2</v>
    <v>3</v>
    <v>Santa Cruz de Lorica</v>
    <v>5</v>
    <v>6</v>
    <v>Map</v>
    <v>7</v>
    <v>123</v>
    <v>766</v>
    <v>Santa Cruz de Lorica o simplemente Lorica es un municipio del departamento de Córdoba, Colombia. Es conocida como Ciudad Antigua y Señorial, La capital del Bajo Sinú y La capital de Bocachico. Está ubicada en la porción septentrional del ...</v>
    <v>293</v>
    <v>767</v>
    <v>768</v>
    <v>769</v>
    <v>771</v>
    <v>772</v>
    <v>Santa Cruz de Lorica</v>
    <v>157</v>
    <v>773</v>
    <v>Santa Cruz de Lorica</v>
    <v>mdp/vdpid/5576323714644967425</v>
  </rv>
  <rv s="1">
    <fb>993</fb>
    <v>9</v>
  </rv>
  <rv s="2">
    <v>67</v>
    <v>7</v>
    <v>225</v>
    <v>7</v>
    <v>0</v>
    <v>Image of Sahagún</v>
  </rv>
  <rv s="1">
    <fb>8.9505555555555993</fb>
    <v>10</v>
  </rv>
  <rv s="3">
    <v>https://www.bing.com/search?q=Sahag%c3%ban+Colombia&amp;form=skydnc</v>
    <v>Aprenda más con Bing</v>
  </rv>
  <rv s="0">
    <v>805306368</v>
    <v>Carlos Alberto Elias Hoyos (Alcalde)</v>
    <v>64d59bf7-dbf6-fbc5-3c9c-bb8ec2ad0107</v>
    <v>es-CO</v>
    <v>Generic</v>
  </rv>
  <rv s="4">
    <v>53</v>
  </rv>
  <rv s="1">
    <fb>-75.445555555555998</fb>
    <v>10</v>
  </rv>
  <rv s="1">
    <fb>90494</fb>
    <v>9</v>
  </rv>
  <rv s="5">
    <v>#VALUE!</v>
    <v>es-ES</v>
    <v>fc4ed85e-6d77-cf03-0ca8-747f52e22e51</v>
    <v>536870912</v>
    <v>1</v>
    <v>227</v>
    <v>2</v>
    <v>3</v>
    <v>Sahagún</v>
    <v>5</v>
    <v>6</v>
    <v>Map</v>
    <v>7</v>
    <v>25</v>
    <v>775</v>
    <v>Sahagún, es un municipio ubicado en el departamento de Córdoba, Colombia. Fundado en 1776 por Antonio de la Torre y Miranda, fue erigido municipio en 1834. Tiene una extensión de 992 km y una población de 90.014 habitantes. Sahagún ocupa el ...</v>
    <v>293</v>
    <v>776</v>
    <v>777</v>
    <v>778</v>
    <v>780</v>
    <v>781</v>
    <v>Sahagún</v>
    <v>157</v>
    <v>782</v>
    <v>Sahagún</v>
    <v>mdp/vdpid/5576387521014661121</v>
  </rv>
  <rv s="2">
    <v>68</v>
    <v>7</v>
    <v>228</v>
    <v>7</v>
    <v>0</v>
    <v>Image of Planeta Rica</v>
  </rv>
  <rv s="1">
    <fb>8.4088888888888995</fb>
    <v>10</v>
  </rv>
  <rv s="3">
    <v>https://www.bing.com/search?q=Planeta+Rica&amp;form=skydnc</v>
    <v>Aprenda más con Bing</v>
  </rv>
  <rv s="1">
    <fb>-75.581944444444005</fb>
    <v>10</v>
  </rv>
  <rv s="1">
    <fb>69708</fb>
    <v>9</v>
  </rv>
  <rv s="12">
    <v>#VALUE!</v>
    <v>es-ES</v>
    <v>96917a2f-f110-15bc-3c1b-58b061b0ce83</v>
    <v>536870912</v>
    <v>1</v>
    <v>230</v>
    <v>63</v>
    <v>64</v>
    <v>Planeta Rica</v>
    <v>5</v>
    <v>6</v>
    <v>Map</v>
    <v>7</v>
    <v>65</v>
    <v>Planeta Rica es un municipio colombiano ubicado en el departamento de Córdoba. Se encuentra localizado al Suroriente del departamento de Córdoba, limitando al norte con los municipios de Montería, San Carlos y Pueblo Nuevo; al sur con ...</v>
    <v>293</v>
    <v>784</v>
    <v>785</v>
    <v>786</v>
    <v>787</v>
    <v>Planeta Rica</v>
    <v>157</v>
    <v>788</v>
    <v>Planeta Rica</v>
    <v>mdp/vdpid/5577154002220482561</v>
  </rv>
  <rv s="1">
    <fb>816</fb>
    <v>9</v>
  </rv>
  <rv s="0">
    <v>536870912</v>
    <v>Magdalena</v>
    <v>dcdd93f1-b99c-7653-25fe-53654ad52fa2</v>
    <v>es-CO</v>
    <v>Map</v>
  </rv>
  <rv s="2">
    <v>69</v>
    <v>7</v>
    <v>231</v>
    <v>7</v>
    <v>0</v>
    <v>Image of El Banco</v>
  </rv>
  <rv s="1">
    <fb>9.0008333333333006</fb>
    <v>10</v>
  </rv>
  <rv s="3">
    <v>https://www.bing.com/search?q=El+Banco+Colombia&amp;form=skydnc</v>
    <v>Aprenda más con Bing</v>
  </rv>
  <rv s="0">
    <v>805306368</v>
    <v>Roy Enrique García Sánchez (Alcalde)</v>
    <v>56afbd70-d71b-4298-545b-e615bdefdd8e</v>
    <v>es-CO</v>
    <v>Generic</v>
  </rv>
  <rv s="4">
    <v>54</v>
  </rv>
  <rv s="1">
    <fb>-73.974444444444003</fb>
    <v>10</v>
  </rv>
  <rv s="1">
    <fb>72131</fb>
    <v>9</v>
  </rv>
  <rv s="5">
    <v>#VALUE!</v>
    <v>es-ES</v>
    <v>6a6f3369-0b50-88b5-6261-927cdcb5ce94</v>
    <v>536870912</v>
    <v>1</v>
    <v>232</v>
    <v>2</v>
    <v>3</v>
    <v>El Banco</v>
    <v>5</v>
    <v>6</v>
    <v>Map</v>
    <v>7</v>
    <v>95</v>
    <v>790</v>
    <v>El Banco es un municipio colombiano ubicado en el extremo más meridional del departamento de Magdalena; en la confluencia de los ríos Magdalena y César. Forma parte de la Depresión momposina. Rodeada de las ciénagas de Zapatosa y Chilloa.</v>
    <v>791</v>
    <v>792</v>
    <v>793</v>
    <v>794</v>
    <v>796</v>
    <v>797</v>
    <v>El Banco</v>
    <v>157</v>
    <v>798</v>
    <v>El Banco</v>
    <v>mdp/vdpid/5576524095270420481</v>
  </rv>
  <rv s="2">
    <v>97</v>
    <v>7</v>
    <v>233</v>
    <v>7</v>
    <v>0</v>
    <v>Image of Zona Bananera</v>
  </rv>
  <rv s="1">
    <fb>10.764166666667</fb>
    <v>10</v>
  </rv>
  <rv s="3">
    <v>https://www.bing.com/search?q=Zona+Bananera&amp;form=skydnc</v>
    <v>Aprenda más con Bing</v>
  </rv>
  <rv s="1">
    <fb>-74.157222222222003</fb>
    <v>10</v>
  </rv>
  <rv s="1">
    <fb>56504</fb>
    <v>9</v>
  </rv>
  <rv s="12">
    <v>#VALUE!</v>
    <v>es-ES</v>
    <v>a5d6f97c-d170-ed35-9fca-942b4a848b63</v>
    <v>536870912</v>
    <v>1</v>
    <v>235</v>
    <v>63</v>
    <v>64</v>
    <v>Zona Bananera</v>
    <v>5</v>
    <v>6</v>
    <v>Map</v>
    <v>7</v>
    <v>236</v>
    <v>Zona Bananera es un municipio del departamento de Magdalena en el norte de Colombia. Su cabecera municipal es Prado Sevilla. Su población supera los 56.000 habitantes.</v>
    <v>791</v>
    <v>800</v>
    <v>801</v>
    <v>802</v>
    <v>803</v>
    <v>Zona Bananera</v>
    <v>157</v>
    <v>804</v>
    <v>Zona Bananera</v>
    <v>mdp/vdpid/5576187641591758849</v>
  </rv>
  <rv s="1">
    <fb>134.65</fb>
    <v>9</v>
  </rv>
  <rv s="0">
    <v>536870912</v>
    <v>Provincia de Valencia</v>
    <v>75aeab78-6688-6517-939f-4012899c2bda</v>
    <v>es-CO</v>
    <v>Map</v>
  </rv>
  <rv s="2">
    <v>70</v>
    <v>7</v>
    <v>237</v>
    <v>7</v>
    <v>0</v>
    <v>Image of Valencia</v>
  </rv>
  <rv s="1">
    <fb>39.47</fb>
    <v>10</v>
  </rv>
  <rv s="3">
    <v>https://www.bing.com/search?q=Valencia&amp;form=skydnc</v>
    <v>Aprenda más con Bing</v>
  </rv>
  <rv s="0">
    <v>805306368</v>
    <v>María José Catalá (Alcalde)</v>
    <v>96750af6-cff8-35b5-d72e-3c5a94568578</v>
    <v>es-CO</v>
    <v>Generic</v>
  </rv>
  <rv s="4">
    <v>55</v>
  </rv>
  <rv s="1">
    <fb>-0.37638888888888899</fb>
    <v>10</v>
  </rv>
  <rv s="0">
    <v>536870912</v>
    <v>España</v>
    <v>1baf9d59-f443-e9f4-6e49-de048a073e3f</v>
    <v>es-CO</v>
    <v>Map</v>
  </rv>
  <rv s="1">
    <fb>807693</fb>
    <v>9</v>
  </rv>
  <rv s="5">
    <v>#VALUE!</v>
    <v>es-ES</v>
    <v>08872011-65a9-1062-244f-848f0d12fc9f</v>
    <v>536870912</v>
    <v>1</v>
    <v>238</v>
    <v>2</v>
    <v>3</v>
    <v>Valencia</v>
    <v>5</v>
    <v>6</v>
    <v>Map</v>
    <v>7</v>
    <v>95</v>
    <v>806</v>
    <v>Valencia es un municipio y una ciudad de España, capital de la provincia homónima y de la Comunidad Valenciana. Con una población de 807 693 habitantes, que sube a 1 581 057 habitantes si se incluye su espacio urbano, es la tercera ciudad y área ...</v>
    <v>807</v>
    <v>808</v>
    <v>809</v>
    <v>810</v>
    <v>812</v>
    <v>813</v>
    <v>Valencia</v>
    <v>814</v>
    <v>815</v>
    <v>Valencia</v>
    <v>mdp/vdpid/5670024602554728449</v>
  </rv>
  <rv s="1">
    <fb>4728</fb>
    <v>9</v>
  </rv>
  <rv s="2">
    <v>71</v>
    <v>7</v>
    <v>239</v>
    <v>7</v>
    <v>0</v>
    <v>Image of Tierralta</v>
  </rv>
  <rv s="1">
    <fb>8.1727777777777995</fb>
    <v>10</v>
  </rv>
  <rv s="3">
    <v>https://www.bing.com/search?q=Tierralta&amp;form=skydnc</v>
    <v>Aprenda más con Bing</v>
  </rv>
  <rv s="1">
    <fb>-76.059444444443997</fb>
    <v>10</v>
  </rv>
  <rv s="1">
    <fb>78770</fb>
    <v>9</v>
  </rv>
  <rv s="7">
    <v>#VALUE!</v>
    <v>es-ES</v>
    <v>0bc4d0e7-1b44-b2ef-2941-67ed8ec39940</v>
    <v>536870912</v>
    <v>1</v>
    <v>240</v>
    <v>2</v>
    <v>24</v>
    <v>Tierralta</v>
    <v>5</v>
    <v>6</v>
    <v>Map</v>
    <v>7</v>
    <v>123</v>
    <v>817</v>
    <v>Tierralta es un municipio ubicado al sur del departamento de Córdoba, en la región Caribe de Colombia y a 78 kilómetros de Montería. Bajo su jurisdicción se encuentra la Represa Urrá y una parte el Parque nacional natural Paramillo. Tierralta es ...</v>
    <v>293</v>
    <v>818</v>
    <v>819</v>
    <v>820</v>
    <v>821</v>
    <v>Tierralta</v>
    <v>157</v>
    <v>822</v>
    <v>Tierralta</v>
    <v>mdp/vdpid/5576774052250386433</v>
  </rv>
  <rv s="2">
    <v>72</v>
    <v>7</v>
    <v>241</v>
    <v>7</v>
    <v>0</v>
    <v>Image of Ayapel</v>
  </rv>
  <rv s="1">
    <fb>8.3125</fb>
    <v>10</v>
  </rv>
  <rv s="3">
    <v>https://www.bing.com/search?q=Ayapel&amp;form=skydnc</v>
    <v>Aprenda más con Bing</v>
  </rv>
  <rv s="1">
    <fb>-75.144999999999996</fb>
    <v>10</v>
  </rv>
  <rv s="1">
    <fb>47247</fb>
    <v>9</v>
  </rv>
  <rv s="12">
    <v>#VALUE!</v>
    <v>es-ES</v>
    <v>edb3d630-2870-f623-6988-db4219e67a81</v>
    <v>536870912</v>
    <v>1</v>
    <v>242</v>
    <v>63</v>
    <v>64</v>
    <v>Ayapel</v>
    <v>5</v>
    <v>6</v>
    <v>Map</v>
    <v>7</v>
    <v>65</v>
    <v>Ayapel es un municipio colombiano localizado en el extremo oriental del departamento de Córdoba y bañado por las aguas del río San Jorge y la ciénaga de Ayapel. Limita por el norte con San Marcos, San Benito Abad y Majagual; por el oriente con ...</v>
    <v>293</v>
    <v>824</v>
    <v>825</v>
    <v>826</v>
    <v>827</v>
    <v>Ayapel</v>
    <v>157</v>
    <v>828</v>
    <v>Ayapel</v>
    <v>mdp/vdpid/5577182115147022338</v>
  </rv>
  <rv s="1">
    <fb>22623</fb>
    <v>9</v>
  </rv>
  <rv s="0">
    <v>536870912</v>
    <v>Bogotá</v>
    <v>66b24d5c-468c-2dd6-e6ce-34504b6f6cb4</v>
    <v>es-CO</v>
    <v>Map</v>
  </rv>
  <rv s="2">
    <v>74</v>
    <v>7</v>
    <v>243</v>
    <v>7</v>
    <v>0</v>
    <v>Image of Cundinamarca</v>
  </rv>
  <rv s="3">
    <v>https://www.bing.com/search?q=Cundinamarca&amp;form=skydnc</v>
    <v>Aprenda más con Bing</v>
  </rv>
  <rv s="0">
    <v>805306368</v>
    <v>Nicolás García Bustos (Gobernador)</v>
    <v>c9713d61-2195-aac5-0fa6-9719501d3a4a</v>
    <v>es-CO</v>
    <v>Generic</v>
  </rv>
  <rv s="4">
    <v>56</v>
  </rv>
  <rv s="1">
    <fb>3242999</fb>
    <v>9</v>
  </rv>
  <rv s="1">
    <fb>596082</fb>
    <v>9</v>
  </rv>
  <rv s="6">
    <v>#VALUE!</v>
    <v>es-ES</v>
    <v>26fc374f-923b-d32c-4651-e3e8c06fc3ed</v>
    <v>536870912</v>
    <v>1</v>
    <v>245</v>
    <v>14</v>
    <v>15</v>
    <v>Cundinamarca</v>
    <v>5</v>
    <v>6</v>
    <v>Map</v>
    <v>7</v>
    <v>16</v>
    <v>CO-CUN</v>
    <v>830</v>
    <v>831</v>
    <v>831</v>
    <v>Cundinamarca es uno de los 32 departamentos que forman la República de Colombia. Su capital es Bogotá, la capital del país. Está ubicado en el centro del país, en la región andina. Enclavado en su territorio se encuentra el Distrito Capital de ...</v>
    <v>832</v>
    <v>833</v>
    <v>835</v>
    <v>Cundinamarca</v>
    <v>157</v>
    <v>836</v>
    <v>837</v>
    <v>Cundinamarca</v>
    <v>mdp/vdpid/10106925</v>
  </rv>
  <rv s="1">
    <fb>184</fb>
    <v>9</v>
  </rv>
  <rv s="2">
    <v>75</v>
    <v>7</v>
    <v>246</v>
    <v>7</v>
    <v>0</v>
    <v>Image of Soacha</v>
  </rv>
  <rv s="1">
    <fb>4.5780555555555997</fb>
    <v>10</v>
  </rv>
  <rv s="3">
    <v>https://www.bing.com/search?q=Soacha&amp;form=skydnc</v>
    <v>Aprenda más con Bing</v>
  </rv>
  <rv s="0">
    <v>805306368</v>
    <v>Juan Carlos Saldarriaga Gaviria (Alcalde)</v>
    <v>3ca73ccb-d9d2-689d-2061-36e90d3302ef</v>
    <v>es-CO</v>
    <v>Generic</v>
  </rv>
  <rv s="4">
    <v>57</v>
  </rv>
  <rv s="1">
    <fb>-74.214444444443998</fb>
    <v>10</v>
  </rv>
  <rv s="1">
    <fb>782647</fb>
    <v>9</v>
  </rv>
  <rv s="5">
    <v>#VALUE!</v>
    <v>es-ES</v>
    <v>e01822f2-bf13-5165-0346-f6906e2e9db3</v>
    <v>536870912</v>
    <v>1</v>
    <v>247</v>
    <v>2</v>
    <v>3</v>
    <v>Soacha</v>
    <v>5</v>
    <v>6</v>
    <v>Map</v>
    <v>7</v>
    <v>95</v>
    <v>839</v>
    <v>Soacha es el municipio más poblado del departamento de Cundinamarca en Colombia. Su área es de 184 km², y su población es de 808 288. Su área urbana está conurbada con la de Bogotá, siendo parte de su área metropolitana. Es la capital de la ...</v>
    <v>329</v>
    <v>840</v>
    <v>841</v>
    <v>842</v>
    <v>844</v>
    <v>845</v>
    <v>Soacha</v>
    <v>157</v>
    <v>846</v>
    <v>Soacha</v>
    <v>mdp/vdpid/5580742677646802945</v>
  </rv>
  <rv s="1">
    <fb>75</fb>
    <v>9</v>
  </rv>
  <rv s="2">
    <v>76</v>
    <v>7</v>
    <v>248</v>
    <v>7</v>
    <v>0</v>
    <v>Image of Tabio</v>
  </rv>
  <rv s="1">
    <fb>4.9158333333332997</fb>
    <v>10</v>
  </rv>
  <rv s="3">
    <v>https://www.bing.com/search?q=Tabio&amp;form=skydnc</v>
    <v>Aprenda más con Bing</v>
  </rv>
  <rv s="0">
    <v>805306368</v>
    <v>Rubén Darío Acero García (Alcalde)</v>
    <v>20c0edf6-b6f8-2bd3-176d-4974ce99135d</v>
    <v>es-CO</v>
    <v>Generic</v>
  </rv>
  <rv s="4">
    <v>58</v>
  </rv>
  <rv s="1">
    <fb>-74.098333333333002</fb>
    <v>10</v>
  </rv>
  <rv s="1">
    <fb>27033</fb>
    <v>9</v>
  </rv>
  <rv s="5">
    <v>#VALUE!</v>
    <v>es-ES</v>
    <v>95f3d99e-6901-d096-2413-6de0a8abfc4d</v>
    <v>536870912</v>
    <v>1</v>
    <v>250</v>
    <v>2</v>
    <v>3</v>
    <v>Tabio</v>
    <v>5</v>
    <v>6</v>
    <v>Map</v>
    <v>7</v>
    <v>59</v>
    <v>848</v>
    <v>Tabio es un municipio colombiano ubicado en el departamento de Cundinamarca. Forma parte de la provincia de Sabana Centro. Se sitúa a 31 kilómetros de Bogotá. Cuenta con una población de más de 27 000 habitantes en 2015. Integra el área ...</v>
    <v>329</v>
    <v>849</v>
    <v>850</v>
    <v>851</v>
    <v>853</v>
    <v>854</v>
    <v>Tabio</v>
    <v>157</v>
    <v>855</v>
    <v>Tabio</v>
    <v>mdp/vdpid/5580742980760764417</v>
  </rv>
  <rv s="1">
    <fb>102</fb>
    <v>9</v>
  </rv>
  <rv s="2">
    <v>78</v>
    <v>7</v>
    <v>251</v>
    <v>7</v>
    <v>0</v>
    <v>Image of Ubaté</v>
  </rv>
  <rv s="1">
    <fb>5.3072222222222001</fb>
    <v>10</v>
  </rv>
  <rv s="3">
    <v>https://www.bing.com/search?q=Ubat%c3%a9&amp;form=skydnc</v>
    <v>Aprenda más con Bing</v>
  </rv>
  <rv s="0">
    <v>805306368</v>
    <v>Edgar Jairo Marquez Carrillo (Alcalde)</v>
    <v>9974962a-a58f-4b8f-0437-7b9bab1cb3cb</v>
    <v>es-CO</v>
    <v>Generic</v>
  </rv>
  <rv s="4">
    <v>59</v>
  </rv>
  <rv s="1">
    <fb>-73.814444444444007</fb>
    <v>10</v>
  </rv>
  <rv s="1">
    <fb>38809</fb>
    <v>9</v>
  </rv>
  <rv s="5">
    <v>#VALUE!</v>
    <v>es-ES</v>
    <v>fc7131f7-4c8c-c5d4-64ba-de7c6207c254</v>
    <v>536870912</v>
    <v>1</v>
    <v>253</v>
    <v>2</v>
    <v>3</v>
    <v>Ubaté</v>
    <v>5</v>
    <v>6</v>
    <v>Map</v>
    <v>7</v>
    <v>59</v>
    <v>857</v>
    <v>Ubaté, oficialmente Villa de San Diego de Ubaté, es un municipio colombiano del departamento de Cundinamarca ubicado en la Provincia de Ubaté, de la que es capital. Se encuentra en el centro del valle de Ubaté, a 95 km al nororiente de Bogotá, a ...</v>
    <v>329</v>
    <v>858</v>
    <v>859</v>
    <v>860</v>
    <v>862</v>
    <v>863</v>
    <v>Ubaté</v>
    <v>157</v>
    <v>864</v>
    <v>Ubaté</v>
    <v>mdp/vdpid/5580704608734412801</v>
  </rv>
  <rv s="1">
    <fb>38</fb>
    <v>9</v>
  </rv>
  <rv s="2">
    <v>79</v>
    <v>7</v>
    <v>254</v>
    <v>7</v>
    <v>0</v>
    <v>Image of Cáqueza</v>
  </rv>
  <rv s="1">
    <fb>4.4052777777778003</fb>
    <v>10</v>
  </rv>
  <rv s="3">
    <v>https://www.bing.com/search?q=C%c3%a1queza&amp;form=skydnc</v>
    <v>Aprenda más con Bing</v>
  </rv>
  <rv s="0">
    <v>805306368</v>
    <v>Engineer Jaime Hernando Carrillo Velásquez (Alcalde)</v>
    <v>f867d285-a7cd-373b-f396-603d640908fa</v>
    <v>es-CO</v>
    <v>Generic</v>
  </rv>
  <rv s="4">
    <v>60</v>
  </rv>
  <rv s="1">
    <fb>-73.947777777778001</fb>
    <v>10</v>
  </rv>
  <rv s="1">
    <fb>17048</fb>
    <v>9</v>
  </rv>
  <rv s="5">
    <v>#VALUE!</v>
    <v>es-ES</v>
    <v>95d0c32a-24ea-bffa-609c-cd6f30338873</v>
    <v>536870912</v>
    <v>1</v>
    <v>256</v>
    <v>2</v>
    <v>3</v>
    <v>Cáqueza</v>
    <v>5</v>
    <v>6</v>
    <v>Map</v>
    <v>7</v>
    <v>59</v>
    <v>866</v>
    <v>Cáqueza es un poblado colombiano del departamento de Cundinamarca, capital de la Provincia de Oriente, situado a 39 km al sur-oriente de Bogotá.</v>
    <v>329</v>
    <v>867</v>
    <v>868</v>
    <v>869</v>
    <v>871</v>
    <v>872</v>
    <v>Cáqueza</v>
    <v>157</v>
    <v>873</v>
    <v>Cáqueza</v>
    <v>mdp/vdpid/5580764188487188481</v>
  </rv>
  <rv s="1">
    <fb>239</fb>
    <v>9</v>
  </rv>
  <rv s="2">
    <v>80</v>
    <v>7</v>
    <v>257</v>
    <v>7</v>
    <v>0</v>
    <v>Image of Fusagasugá</v>
  </rv>
  <rv s="1">
    <fb>4.3372222222222003</fb>
    <v>10</v>
  </rv>
  <rv s="3">
    <v>https://www.bing.com/search?q=Fusagasug%c3%a1&amp;form=skydnc</v>
    <v>Aprenda más con Bing</v>
  </rv>
  <rv s="0">
    <v>805306368</v>
    <v>Jairo Hortúa (Alcalde)</v>
    <v>630660fe-0ad2-7d84-6fc0-76a3201092cb</v>
    <v>es-CO</v>
    <v>Generic</v>
  </rv>
  <rv s="4">
    <v>61</v>
  </rv>
  <rv s="1">
    <fb>-74.364444444444004</fb>
    <v>10</v>
  </rv>
  <rv s="1">
    <fb>170241</fb>
    <v>9</v>
  </rv>
  <rv s="11">
    <v>#VALUE!</v>
    <v>es-ES</v>
    <v>af8b44bc-62e3-9c70-66da-429dfd87344d</v>
    <v>536870912</v>
    <v>1</v>
    <v>258</v>
    <v>46</v>
    <v>55</v>
    <v>Fusagasugá</v>
    <v>5</v>
    <v>6</v>
    <v>Map</v>
    <v>7</v>
    <v>95</v>
    <v>875</v>
    <v>Fusagasugá es un municipio colombiano, capital de la Provincia del Sumapaz, ubicado en el departamento de Cundinamarca. Con una población proyectada en 2023 de 170 241 habitantes, es el tercer municipio más poblado del departamento después de ...</v>
    <v>329</v>
    <v>329</v>
    <v>876</v>
    <v>877</v>
    <v>878</v>
    <v>880</v>
    <v>881</v>
    <v>Fusagasugá</v>
    <v>157</v>
    <v>882</v>
    <v>Fusagasugá</v>
    <v>mdp/vdpid/5580756936602681345</v>
  </rv>
  <rv s="1">
    <fb>194</fb>
    <v>9</v>
  </rv>
  <rv s="2">
    <v>81</v>
    <v>7</v>
    <v>259</v>
    <v>7</v>
    <v>0</v>
    <v>Image of Zipaquirá</v>
  </rv>
  <rv s="1">
    <fb>5.0247222222222003</fb>
    <v>10</v>
  </rv>
  <rv s="3">
    <v>https://www.bing.com/search?q=Zipaquir%c3%a1&amp;form=skydnc</v>
    <v>Aprenda más con Bing</v>
  </rv>
  <rv s="0">
    <v>805306368</v>
    <v>Fabián Rojas (Alcalde)</v>
    <v>e2ad89d8-d976-9e8d-296c-8140dc5a5c98</v>
    <v>es-CO</v>
    <v>Generic</v>
  </rv>
  <rv s="4">
    <v>62</v>
  </rv>
  <rv s="1">
    <fb>-74.001388888888997</fb>
    <v>10</v>
  </rv>
  <rv s="1">
    <fb>196409</fb>
    <v>9</v>
  </rv>
  <rv s="5">
    <v>#VALUE!</v>
    <v>es-ES</v>
    <v>9ab124e1-70fd-a8b4-a6ab-ae915622b237</v>
    <v>536870912</v>
    <v>1</v>
    <v>260</v>
    <v>2</v>
    <v>3</v>
    <v>Zipaquirá</v>
    <v>5</v>
    <v>6</v>
    <v>Map</v>
    <v>7</v>
    <v>21</v>
    <v>884</v>
    <v>Zipaquirá es un municipio de Colombia ubicado en el departamento de Cundinamarca, en la provincia de Sabana Centro, de la que es capital y sede de su diócesis. Se encuentra a 29 kilómetros de Bogotá, hace parte de su área metropolitana; a 450 ...</v>
    <v>329</v>
    <v>885</v>
    <v>886</v>
    <v>887</v>
    <v>889</v>
    <v>890</v>
    <v>Zipaquirá</v>
    <v>157</v>
    <v>891</v>
    <v>Zipaquirá</v>
    <v>mdp/vdpid/5580696979412877314</v>
  </rv>
  <rv s="1">
    <fb>1095</fb>
    <v>9</v>
  </rv>
  <rv s="2">
    <v>82</v>
    <v>7</v>
    <v>261</v>
    <v>7</v>
    <v>0</v>
    <v>Image of Yacopí</v>
  </rv>
  <rv s="1">
    <fb>5.4597222222221999</fb>
    <v>10</v>
  </rv>
  <rv s="3">
    <v>https://www.bing.com/search?q=Yacop%c3%ad&amp;form=skydnc</v>
    <v>Aprenda más con Bing</v>
  </rv>
  <rv s="1">
    <fb>-74.338333333332997</fb>
    <v>10</v>
  </rv>
  <rv s="1">
    <fb>10887</fb>
    <v>9</v>
  </rv>
  <rv s="7">
    <v>#VALUE!</v>
    <v>es-ES</v>
    <v>9b49d2ba-3edc-f389-5fce-726000cee385</v>
    <v>536870912</v>
    <v>1</v>
    <v>263</v>
    <v>2</v>
    <v>24</v>
    <v>Yacopí</v>
    <v>5</v>
    <v>6</v>
    <v>Map</v>
    <v>7</v>
    <v>8</v>
    <v>893</v>
    <v>Yacopí, oficialmente San Antonio de Yacopí, refundado posteriormente como Carmen de Yacopí, es un municipio colombiano del departamento de Cundinamarca, ubicado en la Provincia de Rionegro, a 177 km al noroccidente de Bogotá.</v>
    <v>329</v>
    <v>894</v>
    <v>895</v>
    <v>896</v>
    <v>897</v>
    <v>Yacopí</v>
    <v>157</v>
    <v>898</v>
    <v>Yacopí</v>
    <v>mdp/vdpid/5580667291994947585</v>
  </rv>
  <rv s="1">
    <fb>403.3</fb>
    <v>9</v>
  </rv>
  <rv s="2">
    <v>83</v>
    <v>7</v>
    <v>264</v>
    <v>7</v>
    <v>0</v>
    <v>Image of Pacho</v>
  </rv>
  <rv s="1">
    <fb>5.1305555555555999</fb>
    <v>10</v>
  </rv>
  <rv s="3">
    <v>https://www.bing.com/search?q=Pacho&amp;form=skydnc</v>
    <v>Aprenda más con Bing</v>
  </rv>
  <rv s="0">
    <v>805306368</v>
    <v>Ronald David Rangel Bermúdez (Alcalde)</v>
    <v>220d771b-a165-009a-76b4-436f85bb6003</v>
    <v>es-CO</v>
    <v>Generic</v>
  </rv>
  <rv s="4">
    <v>63</v>
  </rv>
  <rv s="1">
    <fb>-74.158333333333005</fb>
    <v>10</v>
  </rv>
  <rv s="1">
    <fb>27179</fb>
    <v>9</v>
  </rv>
  <rv s="5">
    <v>#VALUE!</v>
    <v>es-ES</v>
    <v>9cb14bb5-628f-326f-9b4b-5b8e79ac8be5</v>
    <v>536870912</v>
    <v>1</v>
    <v>266</v>
    <v>2</v>
    <v>3</v>
    <v>Pacho</v>
    <v>5</v>
    <v>6</v>
    <v>Map</v>
    <v>7</v>
    <v>59</v>
    <v>900</v>
    <v>Pacho es un municipio Colombia ubicado en el departamento de Cundinamarca. Forma parte de la provincia de Rionegro, de la que es su capital. Se sitúa a 88 kilómetros de Bogotá. y a 35 km de Zipaquirá. Se lo reconoce por la instalación de la ...</v>
    <v>329</v>
    <v>901</v>
    <v>902</v>
    <v>903</v>
    <v>905</v>
    <v>906</v>
    <v>Pacho</v>
    <v>157</v>
    <v>907</v>
    <v>Pacho</v>
    <v>mdp/vdpid/5580691412464173057</v>
  </rv>
  <rv s="2">
    <v>84</v>
    <v>7</v>
    <v>267</v>
    <v>7</v>
    <v>0</v>
    <v>Image of Medina</v>
  </rv>
  <rv s="1">
    <fb>4.5091666666667001</fb>
    <v>10</v>
  </rv>
  <rv s="3">
    <v>https://www.bing.com/search?q=Medina+Cundinamarca&amp;form=skydnc</v>
    <v>Aprenda más con Bing</v>
  </rv>
  <rv s="1">
    <fb>-73.349444444444003</fb>
    <v>10</v>
  </rv>
  <rv s="1">
    <fb>7281</fb>
    <v>9</v>
  </rv>
  <rv s="12">
    <v>#VALUE!</v>
    <v>es-ES</v>
    <v>8ff6de63-587e-8d4c-08a5-18cc0f866c72</v>
    <v>536870912</v>
    <v>1</v>
    <v>269</v>
    <v>63</v>
    <v>64</v>
    <v>Medina</v>
    <v>5</v>
    <v>6</v>
    <v>Map</v>
    <v>7</v>
    <v>149</v>
    <v>Medina es un municipio colombiano del departamento de Cundinamarca ubicado en la Provincia de Medina, de la que es capital. Es conocido como «La Puerta del Llano». Se encuentra a 192 km al Oriente de Bogotá.</v>
    <v>329</v>
    <v>909</v>
    <v>910</v>
    <v>911</v>
    <v>912</v>
    <v>Medina</v>
    <v>157</v>
    <v>913</v>
    <v>Medina</v>
    <v>mdp/vdpid/5580796518132088833</v>
  </rv>
  <rv s="1">
    <fb>301</fb>
    <v>9</v>
  </rv>
  <rv s="2">
    <v>85</v>
    <v>7</v>
    <v>270</v>
    <v>7</v>
    <v>0</v>
    <v>Image of Chocontá</v>
  </rv>
  <rv s="1">
    <fb>5.1466666666667003</fb>
    <v>10</v>
  </rv>
  <rv s="3">
    <v>https://www.bing.com/search?q=Chocont%c3%a1&amp;form=skydnc</v>
    <v>Aprenda más con Bing</v>
  </rv>
  <rv s="0">
    <v>805306368</v>
    <v>Jorge Enrique Pinzón Pinzón (Alcalde)</v>
    <v>2489294f-44fe-f3ea-961f-593886bfea05</v>
    <v>es-CO</v>
    <v>Generic</v>
  </rv>
  <rv s="4">
    <v>64</v>
  </rv>
  <rv s="1">
    <fb>-73.682500000000005</fb>
    <v>10</v>
  </rv>
  <rv s="1">
    <fb>25257</fb>
    <v>9</v>
  </rv>
  <rv s="5">
    <v>#VALUE!</v>
    <v>es-ES</v>
    <v>6f15d0e0-3a7e-0616-9bdb-f25f626bfb01</v>
    <v>536870912</v>
    <v>1</v>
    <v>271</v>
    <v>2</v>
    <v>3</v>
    <v>Chocontá</v>
    <v>5</v>
    <v>6</v>
    <v>Map</v>
    <v>7</v>
    <v>59</v>
    <v>915</v>
    <v>Chocontá, oficialmente Leal y Noble Villa de Santiago de Chocontá, es un municipio colombiano del departamento de Cundinamarca ubicado en la provincia de Almeidas, de la que es capital. El municipio se encuentra sobre el altiplano ...</v>
    <v>329</v>
    <v>916</v>
    <v>917</v>
    <v>918</v>
    <v>920</v>
    <v>921</v>
    <v>Chocontá</v>
    <v>157</v>
    <v>922</v>
    <v>Chocontá</v>
    <v>mdp/vdpid/5580718281041379329</v>
  </rv>
  <rv s="1">
    <fb>140.69999999999999</fb>
    <v>9</v>
  </rv>
  <rv s="2">
    <v>87</v>
    <v>7</v>
    <v>272</v>
    <v>7</v>
    <v>0</v>
    <v>Image of Villeta</v>
  </rv>
  <rv s="1">
    <fb>5.0127777777778002</fb>
    <v>10</v>
  </rv>
  <rv s="3">
    <v>https://www.bing.com/search?q=Villeta+Cundinamarca&amp;form=skydnc</v>
    <v>Aprenda más con Bing</v>
  </rv>
  <rv s="0">
    <v>805306368</v>
    <v>Jhon Alexander Morera Gutiérrez (Alcalde)</v>
    <v>897ca4a5-44a4-d3ed-8d8f-02998ca15548</v>
    <v>es-CO</v>
    <v>Generic</v>
  </rv>
  <rv s="4">
    <v>65</v>
  </rv>
  <rv s="1">
    <fb>-74.473055555556002</fb>
    <v>10</v>
  </rv>
  <rv s="1">
    <fb>43574</fb>
    <v>9</v>
  </rv>
  <rv s="5">
    <v>#VALUE!</v>
    <v>es-ES</v>
    <v>c79e44fb-4343-10e5-4200-005f0bc0bd24</v>
    <v>536870912</v>
    <v>1</v>
    <v>273</v>
    <v>2</v>
    <v>3</v>
    <v>Villeta</v>
    <v>5</v>
    <v>6</v>
    <v>Map</v>
    <v>7</v>
    <v>59</v>
    <v>924</v>
    <v>Villeta es un municipio colombiano ubicado en el departamento de Cundinamarca. Forma parte de la provincia del Gualivá, de la que es capital. Se sitúa a 91 kilómetros de Bogotá y 330 de Medellín. Su nombre significa "Pequeña Villa" y está ...</v>
    <v>329</v>
    <v>925</v>
    <v>926</v>
    <v>927</v>
    <v>929</v>
    <v>930</v>
    <v>Villeta</v>
    <v>157</v>
    <v>931</v>
    <v>Villeta</v>
    <v>mdp/vdpid/5580686125745307649</v>
  </rv>
  <rv s="1">
    <fb>262.16000000000003</fb>
    <v>9</v>
  </rv>
  <rv s="2">
    <v>88</v>
    <v>7</v>
    <v>274</v>
    <v>7</v>
    <v>0</v>
    <v>Image of Gachetá</v>
  </rv>
  <rv s="1">
    <fb>4.8163888888889002</fb>
    <v>10</v>
  </rv>
  <rv s="3">
    <v>https://www.bing.com/search?q=Gachet%c3%a1&amp;form=skydnc</v>
    <v>Aprenda más con Bing</v>
  </rv>
  <rv s="0">
    <v>805306368</v>
    <v>Julio Enrique Aguilera Jiménez (Alcalde)</v>
    <v>361a77dd-0a34-1c37-072d-e2b27186fac3</v>
    <v>es-CO</v>
    <v>Generic</v>
  </rv>
  <rv s="4">
    <v>66</v>
  </rv>
  <rv s="1">
    <fb>-73.636111111111006</fb>
    <v>10</v>
  </rv>
  <rv s="1">
    <fb>11086</fb>
    <v>9</v>
  </rv>
  <rv s="5">
    <v>#VALUE!</v>
    <v>es-ES</v>
    <v>e6e63a2c-b137-d688-513d-bd2f407a4da3</v>
    <v>536870912</v>
    <v>1</v>
    <v>276</v>
    <v>2</v>
    <v>3</v>
    <v>Gachetá</v>
    <v>5</v>
    <v>6</v>
    <v>Map</v>
    <v>7</v>
    <v>59</v>
    <v>933</v>
    <v>Gachetá es un municipio colombiano del departamento de Cundinamarca ubicado en la Provincia del Guavio, de la cual es capital. Cuenta con 11.000 habitantes aproximadamente, de los cuales el 70% viven en la zona rural. Se encuentra a 99 km al ...</v>
    <v>329</v>
    <v>934</v>
    <v>935</v>
    <v>936</v>
    <v>938</v>
    <v>939</v>
    <v>Gachetá</v>
    <v>157</v>
    <v>940</v>
    <v>Gachetá</v>
    <v>mdp/vdpid/5580772499618004993</v>
  </rv>
  <rv s="1">
    <fb>148</fb>
    <v>9</v>
  </rv>
  <rv s="2">
    <v>89</v>
    <v>7</v>
    <v>277</v>
    <v>7</v>
    <v>0</v>
    <v>Image of La Mesa</v>
  </rv>
  <rv s="1">
    <fb>4.6302777777777999</fb>
    <v>10</v>
  </rv>
  <rv s="3">
    <v>https://www.bing.com/search?q=La+Mesa+Cundinamarca&amp;form=skydnc</v>
    <v>Aprenda más con Bing</v>
  </rv>
  <rv s="0">
    <v>805306368</v>
    <v>Humberto Segura Barragán (Alcalde)</v>
    <v>976084c8-21db-e559-dd37-4589a2b07997</v>
    <v>es-CO</v>
    <v>Generic</v>
  </rv>
  <rv s="4">
    <v>67</v>
  </rv>
  <rv s="1">
    <fb>-74.462500000000006</fb>
    <v>10</v>
  </rv>
  <rv s="1">
    <fb>31350</fb>
    <v>9</v>
  </rv>
  <rv s="5">
    <v>#VALUE!</v>
    <v>es-ES</v>
    <v>05342d97-137a-6420-7515-5c1c5d5427e4</v>
    <v>536870912</v>
    <v>1</v>
    <v>279</v>
    <v>2</v>
    <v>3</v>
    <v>La Mesa</v>
    <v>5</v>
    <v>6</v>
    <v>Map</v>
    <v>7</v>
    <v>59</v>
    <v>942</v>
    <v>La Mesa es un municipio colombiano del departamento de Cundinamarca, ubicado en la Provincia del Tequendama, del cual es su capital, a 54 km al oeste de Bogotá. Tiene alrededor de 34000 habitantes de los cuales 18000 se encuentran en su casco urbano.</v>
    <v>329</v>
    <v>943</v>
    <v>944</v>
    <v>945</v>
    <v>947</v>
    <v>948</v>
    <v>La Mesa</v>
    <v>157</v>
    <v>949</v>
    <v>La Mesa</v>
    <v>mdp/vdpid/5580739719538409474</v>
  </rv>
  <rv s="1">
    <fb>127</fb>
    <v>9</v>
  </rv>
  <rv s="2">
    <v>90</v>
    <v>7</v>
    <v>280</v>
    <v>7</v>
    <v>0</v>
    <v>Image of Girardot</v>
  </rv>
  <rv s="1">
    <fb>4.3036111111111</fb>
    <v>10</v>
  </rv>
  <rv s="3">
    <v>https://www.bing.com/search?q=Girardot&amp;form=skydnc</v>
    <v>Aprenda más con Bing</v>
  </rv>
  <rv s="0">
    <v>805306368</v>
    <v>Jose Alejandro Arbeláez Cruz (Alcalde)</v>
    <v>0afde603-06a1-70cf-ad17-a6028811e1ce</v>
    <v>es-CO</v>
    <v>Generic</v>
  </rv>
  <rv s="4">
    <v>68</v>
  </rv>
  <rv s="1">
    <fb>-74.803888888889006</fb>
    <v>10</v>
  </rv>
  <rv s="1">
    <fb>129834</fb>
    <v>9</v>
  </rv>
  <rv s="11">
    <v>#VALUE!</v>
    <v>es-ES</v>
    <v>6ac83635-ed8d-fef7-5d50-efb838599e58</v>
    <v>536870912</v>
    <v>1</v>
    <v>281</v>
    <v>46</v>
    <v>55</v>
    <v>Girardot</v>
    <v>5</v>
    <v>6</v>
    <v>Map</v>
    <v>7</v>
    <v>123</v>
    <v>951</v>
    <v>Girardot es un municipio colombiano del departamento de Cundinamarca ubicado en la Provincia del Alto Magdalena, de la cual es capital. Está ubicado a 134 km al suroeste de Bogotá. Girardot es uno de los municipios más importantes del ...</v>
    <v>329</v>
    <v>329</v>
    <v>952</v>
    <v>953</v>
    <v>954</v>
    <v>956</v>
    <v>957</v>
    <v>Girardot</v>
    <v>157</v>
    <v>958</v>
    <v>Girardot</v>
    <v>mdp/vdpid/5580660518848299009</v>
  </rv>
  <rv s="1">
    <fb>19890</fb>
    <v>9</v>
  </rv>
  <rv s="0">
    <v>536870912</v>
    <v>Neiva</v>
    <v>1ba988f0-6907-b536-88ad-b89bb1269fc5</v>
    <v>es-CO</v>
    <v>Map</v>
  </rv>
  <rv s="2">
    <v>91</v>
    <v>7</v>
    <v>282</v>
    <v>7</v>
    <v>0</v>
    <v>Image of Huila</v>
  </rv>
  <rv s="3">
    <v>https://www.bing.com/search?q=Huila&amp;form=skydnc</v>
    <v>Aprenda más con Bing</v>
  </rv>
  <rv s="0">
    <v>805306368</v>
    <v>Luis Enrique Dussán López (Gobernador)</v>
    <v>6ab61e86-1428-98e1-062e-5bf1068edd89</v>
    <v>es-CO</v>
    <v>Generic</v>
  </rv>
  <rv s="4">
    <v>69</v>
  </rv>
  <rv s="1">
    <fb>1122622</fb>
    <v>9</v>
  </rv>
  <rv s="1">
    <fb>253348</fb>
    <v>9</v>
  </rv>
  <rv s="6">
    <v>#VALUE!</v>
    <v>es-ES</v>
    <v>2752ef70-1772-e264-2348-e4146224c108</v>
    <v>536870912</v>
    <v>1</v>
    <v>284</v>
    <v>14</v>
    <v>15</v>
    <v>Huila</v>
    <v>5</v>
    <v>6</v>
    <v>Map</v>
    <v>7</v>
    <v>16</v>
    <v>CO-HUI</v>
    <v>960</v>
    <v>961</v>
    <v>961</v>
    <v>Huila es uno de los treinta y dos departamentos que conforman la República de Colombia. Su capital y ciudad más poblada es Neiva. Está ubicado al suroeste del país, en la región andina. Su organización territorial comprende cuatro subregiones: ...</v>
    <v>962</v>
    <v>963</v>
    <v>965</v>
    <v>Huila</v>
    <v>157</v>
    <v>966</v>
    <v>967</v>
    <v>Huila</v>
    <v>mdp/vdpid/10106920</v>
  </rv>
  <rv s="1">
    <fb>1553</fb>
    <v>9</v>
  </rv>
  <rv s="0">
    <v>536870912</v>
    <v>Huila</v>
    <v>2752ef70-1772-e264-2348-e4146224c108</v>
    <v>es-CO</v>
    <v>Map</v>
  </rv>
  <rv s="2">
    <v>92</v>
    <v>7</v>
    <v>285</v>
    <v>7</v>
    <v>0</v>
    <v>Image of Neiva</v>
  </rv>
  <rv s="1">
    <fb>2.9275000000000002</fb>
    <v>10</v>
  </rv>
  <rv s="3">
    <v>https://www.bing.com/search?q=Neiva&amp;form=skydnc</v>
    <v>Aprenda más con Bing</v>
  </rv>
  <rv s="0">
    <v>805306368</v>
    <v>Gorky Muñoz Calderón (Alcalde)</v>
    <v>7f1a9636-9774-9510-9776-9582633d5588</v>
    <v>es-CO</v>
    <v>Generic</v>
  </rv>
  <rv s="4">
    <v>70</v>
  </rv>
  <rv s="1">
    <fb>-75.287499999999994</fb>
    <v>10</v>
  </rv>
  <rv s="1">
    <fb>380019</fb>
    <v>9</v>
  </rv>
  <rv s="5">
    <v>#VALUE!</v>
    <v>es-ES</v>
    <v>1ba988f0-6907-b536-88ad-b89bb1269fc5</v>
    <v>536870912</v>
    <v>1</v>
    <v>286</v>
    <v>2</v>
    <v>3</v>
    <v>Neiva</v>
    <v>5</v>
    <v>6</v>
    <v>Map</v>
    <v>7</v>
    <v>95</v>
    <v>969</v>
    <v>Neiva es un municipio colombiano, capital del departamento de Huila. Yace entre la cordillera Central y Oriental, en una planicie sobre la margen oriental del río Magdalena, en el valle del mismo nombre, cruzada por los ríos Las Ceibas y del ...</v>
    <v>970</v>
    <v>971</v>
    <v>972</v>
    <v>973</v>
    <v>975</v>
    <v>976</v>
    <v>Neiva</v>
    <v>157</v>
    <v>977</v>
    <v>Neiva</v>
    <v>mdp/vdpid/5580908597618933763</v>
  </rv>
  <rv s="1">
    <fb>666</fb>
    <v>9</v>
  </rv>
  <rv s="2">
    <v>93</v>
    <v>7</v>
    <v>287</v>
    <v>7</v>
    <v>0</v>
    <v>Image of Pitalito</v>
  </rv>
  <rv s="1">
    <fb>1.8538888888889</fb>
    <v>10</v>
  </rv>
  <rv s="3">
    <v>https://www.bing.com/search?q=Pitalito&amp;form=skydnc</v>
    <v>Aprenda más con Bing</v>
  </rv>
  <rv s="0">
    <v>805306368</v>
    <v>Miguel Rico (Alcalde)</v>
    <v>f30a242d-cfa5-b16d-38e6-66e4e60c12f4</v>
    <v>es-CO</v>
    <v>Generic</v>
  </rv>
  <rv s="4">
    <v>71</v>
  </rv>
  <rv s="1">
    <fb>-76.051388888888994</fb>
    <v>10</v>
  </rv>
  <rv s="1">
    <fb>133205</fb>
    <v>9</v>
  </rv>
  <rv s="5">
    <v>#VALUE!</v>
    <v>es-ES</v>
    <v>4ee162d5-bf29-9941-5a86-7b8f86506374</v>
    <v>536870912</v>
    <v>1</v>
    <v>288</v>
    <v>2</v>
    <v>3</v>
    <v>Pitalito</v>
    <v>5</v>
    <v>6</v>
    <v>Map</v>
    <v>7</v>
    <v>8</v>
    <v>979</v>
    <v>Pitalito es un municipio colombiano localizado en el sur oriente del departamento del Huila. Yace sobre el valle del Magdalena y sobre el vértice que forman las cordilleras central y oriental, en el sur del alto Magdalena. Su extensión ...</v>
    <v>970</v>
    <v>980</v>
    <v>981</v>
    <v>982</v>
    <v>984</v>
    <v>985</v>
    <v>Pitalito</v>
    <v>157</v>
    <v>986</v>
    <v>Pitalito</v>
    <v>mdp/vdpid/5581348058387447809</v>
  </rv>
  <rv s="1">
    <fb>1271</fb>
    <v>9</v>
  </rv>
  <rv s="2">
    <v>94</v>
    <v>7</v>
    <v>289</v>
    <v>7</v>
    <v>0</v>
    <v>Image of La Plata</v>
  </rv>
  <rv s="1">
    <fb>2.39</fb>
    <v>10</v>
  </rv>
  <rv s="3">
    <v>https://www.bing.com/search?q=La+Plata+Huila&amp;form=skydnc</v>
    <v>Aprenda más con Bing</v>
  </rv>
  <rv s="1">
    <fb>-75.891944444443993</fb>
    <v>10</v>
  </rv>
  <rv s="1">
    <fb>57381</fb>
    <v>9</v>
  </rv>
  <rv s="7">
    <v>#VALUE!</v>
    <v>es-ES</v>
    <v>9b5db416-9c1f-433a-ff22-59a5a22e63e6</v>
    <v>536870912</v>
    <v>1</v>
    <v>291</v>
    <v>2</v>
    <v>24</v>
    <v>La Plata</v>
    <v>5</v>
    <v>6</v>
    <v>Map</v>
    <v>7</v>
    <v>292</v>
    <v>988</v>
    <v>La Plata es un municipio colombiano localizado en el suroccidente del departamento del Huila. Está ubicado en las estribaciones de la Cordillera Central bañados por las aguas de los ríos Aguacatal, la Plata y Páez. Su extensión territorial de ...</v>
    <v>970</v>
    <v>989</v>
    <v>990</v>
    <v>991</v>
    <v>992</v>
    <v>La Plata</v>
    <v>157</v>
    <v>993</v>
    <v>La Plata</v>
    <v>mdp/vdpid/5581666815794216961</v>
  </rv>
  <rv s="1">
    <fb>580</fb>
    <v>9</v>
  </rv>
  <rv s="2">
    <v>95</v>
    <v>7</v>
    <v>293</v>
    <v>7</v>
    <v>0</v>
    <v>Image of Garzón</v>
  </rv>
  <rv s="1">
    <fb>2.1961111111111</fb>
    <v>10</v>
  </rv>
  <rv s="3">
    <v>https://www.bing.com/search?q=Garz%c3%b3n+Huila&amp;form=skydnc</v>
    <v>Aprenda más con Bing</v>
  </rv>
  <rv s="1">
    <fb>-75.629166666667004</fb>
    <v>10</v>
  </rv>
  <rv s="1">
    <fb>69823</fb>
    <v>9</v>
  </rv>
  <rv s="7">
    <v>#VALUE!</v>
    <v>es-ES</v>
    <v>84571607-f13b-ef4a-da70-6a3e9dadff33</v>
    <v>536870912</v>
    <v>1</v>
    <v>294</v>
    <v>2</v>
    <v>24</v>
    <v>Garzón</v>
    <v>5</v>
    <v>6</v>
    <v>Map</v>
    <v>7</v>
    <v>123</v>
    <v>995</v>
    <v>Garzón es un municipio colombiano, localizado en el suroriente del departamento del Huila. Yace en el este con una región montañosa que corresponde al flanco occidental de la cordillera Oriental, y otra al oeste, plana que hace parte del valle ...</v>
    <v>970</v>
    <v>996</v>
    <v>997</v>
    <v>998</v>
    <v>999</v>
    <v>Garzón</v>
    <v>157</v>
    <v>1000</v>
    <v>Garzón</v>
    <v>mdp/vdpid/5581674027765727233</v>
  </rv>
  <rv s="1">
    <fb>23188</fb>
    <v>9</v>
  </rv>
  <rv s="0">
    <v>536870912</v>
    <v>Santa Marta</v>
    <v>d09d4730-feb7-30ca-9a61-7c9689075b16</v>
    <v>es-CO</v>
    <v>Map</v>
  </rv>
  <rv s="2">
    <v>96</v>
    <v>7</v>
    <v>295</v>
    <v>7</v>
    <v>0</v>
    <v>Image of Magdalena</v>
  </rv>
  <rv s="3">
    <v>https://www.bing.com/search?q=Magdalena+Colombia&amp;form=skydnc</v>
    <v>Aprenda más con Bing</v>
  </rv>
  <rv s="0">
    <v>805306368</v>
    <v>Carlos Eduardo Caicedo (Gobernador)</v>
    <v>12654318-923b-710b-f1ea-81a955f43f66</v>
    <v>es-CO</v>
    <v>Generic</v>
  </rv>
  <rv s="4">
    <v>72</v>
  </rv>
  <rv s="1">
    <fb>1427026</fb>
    <v>9</v>
  </rv>
  <rv s="1">
    <fb>244942</fb>
    <v>9</v>
  </rv>
  <rv s="6">
    <v>#VALUE!</v>
    <v>es-ES</v>
    <v>dcdd93f1-b99c-7653-25fe-53654ad52fa2</v>
    <v>536870912</v>
    <v>1</v>
    <v>297</v>
    <v>14</v>
    <v>15</v>
    <v>Magdalena</v>
    <v>5</v>
    <v>6</v>
    <v>Map</v>
    <v>7</v>
    <v>16</v>
    <v>CO-MAG</v>
    <v>1002</v>
    <v>1003</v>
    <v>1003</v>
    <v>Magdalena es uno de los treinta y dos departamentos que forman la República de Colombia. Su capital es Santa Marta. Está ubicado al noreste del país, en la región Caribe. Fue uno de los originales nueve estados que conformaron los Estados Unidos ...</v>
    <v>1004</v>
    <v>1005</v>
    <v>1007</v>
    <v>Magdalena</v>
    <v>157</v>
    <v>1008</v>
    <v>1009</v>
    <v>Magdalena</v>
    <v>mdp/vdpid/9408415</v>
  </rv>
  <rv s="1">
    <fb>1157</fb>
    <v>9</v>
  </rv>
  <rv s="2">
    <v>98</v>
    <v>7</v>
    <v>298</v>
    <v>7</v>
    <v>0</v>
    <v>Image of Fundación</v>
  </rv>
  <rv s="1">
    <fb>10.517222222221999</fb>
    <v>10</v>
  </rv>
  <rv s="3">
    <v>https://www.bing.com/search?q=Fundaci%c3%b3n+Magdalena&amp;form=skydnc</v>
    <v>Aprenda más con Bing</v>
  </rv>
  <rv s="0">
    <v>805306368</v>
    <v>Mallath Martinez (Alcalde)</v>
    <v>d4399391-0e97-9114-137c-a1c76e54af30</v>
    <v>es-CO</v>
    <v>Generic</v>
  </rv>
  <rv s="4">
    <v>73</v>
  </rv>
  <rv s="1">
    <fb>-74.192222222222</fb>
    <v>10</v>
  </rv>
  <rv s="1">
    <fb>90514</fb>
    <v>9</v>
  </rv>
  <rv s="5">
    <v>#VALUE!</v>
    <v>es-ES</v>
    <v>b084b749-d4f7-c64a-5444-bb683c47f441</v>
    <v>536870912</v>
    <v>1</v>
    <v>299</v>
    <v>2</v>
    <v>3</v>
    <v>Fundación</v>
    <v>5</v>
    <v>6</v>
    <v>Map</v>
    <v>7</v>
    <v>8</v>
    <v>1011</v>
    <v>Fundación es un municipio de Colombia perteneciente al departamento del Magdalena, está localizado cerca de la Sierra Nevada de Santa Marta. Es el tercer municipio más poblado del departamento del Magdalena después de Ciénaga y Zona Bananera, y ...</v>
    <v>791</v>
    <v>1012</v>
    <v>1013</v>
    <v>1014</v>
    <v>1016</v>
    <v>1017</v>
    <v>Fundación</v>
    <v>157</v>
    <v>1018</v>
    <v>Fundación</v>
    <v>mdp/vdpid/5576233405055500291</v>
  </rv>
  <rv s="1">
    <fb>293.64999999999998</fb>
    <v>9</v>
  </rv>
  <rv s="2">
    <v>99</v>
    <v>7</v>
    <v>300</v>
    <v>7</v>
    <v>0</v>
    <v>Image of Santa Marta</v>
  </rv>
  <rv s="1">
    <fb>11.236111111111001</fb>
    <v>10</v>
  </rv>
  <rv s="3">
    <v>https://www.bing.com/search?q=Santa+Marta+Colombia&amp;form=skydnc</v>
    <v>Aprenda más con Bing</v>
  </rv>
  <rv s="0">
    <v>805306368</v>
    <v>Virna Lizi Johnson Salcedo (Alcalde)</v>
    <v>61143572-153f-a7b5-6edc-eafa4e012d77</v>
    <v>es-CO</v>
    <v>Generic</v>
  </rv>
  <rv s="4">
    <v>74</v>
  </rv>
  <rv s="1">
    <fb>-74.201666666666995</fb>
    <v>10</v>
  </rv>
  <rv s="1">
    <fb>515556</fb>
    <v>9</v>
  </rv>
  <rv s="5">
    <v>#VALUE!</v>
    <v>es-ES</v>
    <v>d09d4730-feb7-30ca-9a61-7c9689075b16</v>
    <v>536870912</v>
    <v>1</v>
    <v>301</v>
    <v>2</v>
    <v>3</v>
    <v>Santa Marta</v>
    <v>5</v>
    <v>6</v>
    <v>Map</v>
    <v>7</v>
    <v>213</v>
    <v>1020</v>
    <v>Santa Marta, es un distrito de Colombia, capital del departamento de Magdalena. Fue fundada el 29 de julio de 1525 por el español Rodrigo de Bastidas, lo que según los textos, la convierte en la ciudad en pie más antigua de Colombia. Se ...</v>
    <v>791</v>
    <v>1021</v>
    <v>1022</v>
    <v>1023</v>
    <v>1025</v>
    <v>1026</v>
    <v>Santa Marta</v>
    <v>157</v>
    <v>1027</v>
    <v>Santa Marta</v>
    <v>mdp/vdpid/5564153002886955009</v>
  </rv>
  <rv s="2">
    <v>100</v>
    <v>7</v>
    <v>302</v>
    <v>7</v>
    <v>0</v>
    <v>Image of Ariguaní</v>
  </rv>
  <rv s="1">
    <fb>9.8469444444444001</fb>
    <v>10</v>
  </rv>
  <rv s="3">
    <v>https://www.bing.com/search?q=Ariguan%c3%ad&amp;form=skydnc</v>
    <v>Aprenda más con Bing</v>
  </rv>
  <rv s="0">
    <v>805306368</v>
    <v>David Farelo Daza (Alcalde)</v>
    <v>a8225f22-c04e-4a2d-3ded-0bee8162b30b</v>
    <v>es-CO</v>
    <v>Generic</v>
  </rv>
  <rv s="4">
    <v>75</v>
  </rv>
  <rv s="1">
    <fb>-74.236666666667006</fb>
    <v>10</v>
  </rv>
  <rv s="1">
    <fb>32758</fb>
    <v>9</v>
  </rv>
  <rv s="17">
    <v>#VALUE!</v>
    <v>es-ES</v>
    <v>2e92e958-e14c-53de-71b5-f756b91e59c1</v>
    <v>536870912</v>
    <v>1</v>
    <v>304</v>
    <v>63</v>
    <v>305</v>
    <v>Ariguaní</v>
    <v>5</v>
    <v>6</v>
    <v>Map</v>
    <v>7</v>
    <v>65</v>
    <v>Ariguaní es un municipio colombiano ubicado en el centro del Departamento del Magdalena; su cabecera municipal lleva por nombre El Difícil. Tiene límites con los municipios de Nueva Granada, Sabanas de San Ángel, Pijiño del Carmen y el Municipio ...</v>
    <v>791</v>
    <v>1029</v>
    <v>1030</v>
    <v>1031</v>
    <v>1033</v>
    <v>1034</v>
    <v>Ariguaní</v>
    <v>157</v>
    <v>1035</v>
    <v>Ariguaní</v>
    <v>mdp/vdpid/5576256645442306049</v>
  </rv>
  <rv s="1">
    <fb>7812.4139999999998</fb>
    <v>9</v>
  </rv>
  <rv s="2">
    <v>101</v>
    <v>7</v>
    <v>306</v>
    <v>7</v>
    <v>0</v>
    <v>Image of Plato</v>
  </rv>
  <rv s="1">
    <fb>9.7925000000000004</fb>
    <v>10</v>
  </rv>
  <rv s="3">
    <v>https://www.bing.com/search?q=Plato+Magdalena&amp;form=skydnc</v>
    <v>Aprenda más con Bing</v>
  </rv>
  <rv s="0">
    <v>805306368</v>
    <v>Jaime Peña Peñaranda (Alcalde)</v>
    <v>14d9c2b7-50de-76fb-7c32-08d8e9ca524d</v>
    <v>es-CO</v>
    <v>Generic</v>
  </rv>
  <rv s="4">
    <v>76</v>
  </rv>
  <rv s="1">
    <fb>-74.782499999999999</fb>
    <v>10</v>
  </rv>
  <rv s="1">
    <fb>48898</fb>
    <v>9</v>
  </rv>
  <rv s="5">
    <v>#VALUE!</v>
    <v>es-ES</v>
    <v>8e9001c6-c44d-baef-4a62-299ea086f4cb</v>
    <v>536870912</v>
    <v>1</v>
    <v>308</v>
    <v>2</v>
    <v>3</v>
    <v>Plato</v>
    <v>5</v>
    <v>6</v>
    <v>Map</v>
    <v>7</v>
    <v>123</v>
    <v>1037</v>
    <v>Plato es un municipio del departamento del Magdalena, ubicado en la ribera oriental del río Magdalena. Este municipio es el principal centro económico y comercial de la Subregión Centro Magdalenense; Además, del ser el más poblado de toda esta ...</v>
    <v>791</v>
    <v>1038</v>
    <v>1039</v>
    <v>1040</v>
    <v>1042</v>
    <v>1043</v>
    <v>Plato</v>
    <v>157</v>
    <v>1044</v>
    <v>Plato</v>
    <v>mdp/vdpid/5576345592403066881</v>
  </rv>
  <rv s="1">
    <fb>85635</fb>
    <v>9</v>
  </rv>
  <rv s="0">
    <v>536870912</v>
    <v>Villavicencio</v>
    <v>061f744c-689b-fc4e-336d-58ff74f02bb7</v>
    <v>es-CO</v>
    <v>Map</v>
  </rv>
  <rv s="2">
    <v>102</v>
    <v>7</v>
    <v>309</v>
    <v>7</v>
    <v>0</v>
    <v>Image of Meta</v>
  </rv>
  <rv s="3">
    <v>https://www.bing.com/search?q=Meta+Colombia&amp;form=skydnc</v>
    <v>Aprenda más con Bing</v>
  </rv>
  <rv s="0">
    <v>805306368</v>
    <v>Marcela Amaya (Gobernador)</v>
    <v>b222e51a-aa91-5947-0e4e-5765ea734daa</v>
    <v>es-CO</v>
    <v>Generic</v>
  </rv>
  <rv s="4">
    <v>77</v>
  </rv>
  <rv s="1">
    <fb>1062454</fb>
    <v>9</v>
  </rv>
  <rv s="1">
    <fb>179624</fb>
    <v>9</v>
  </rv>
  <rv s="6">
    <v>#VALUE!</v>
    <v>es-ES</v>
    <v>30c3c263-a281-f2d2-6787-511d37d41ddf</v>
    <v>536870912</v>
    <v>1</v>
    <v>311</v>
    <v>14</v>
    <v>15</v>
    <v>Meta</v>
    <v>5</v>
    <v>6</v>
    <v>Map</v>
    <v>7</v>
    <v>16</v>
    <v>CO-MET</v>
    <v>1046</v>
    <v>1047</v>
    <v>1047</v>
    <v>Meta es uno de los treinta y dos departamentos que forman la República de Colombia. Su capital es Villavicencio. Está ubicado en el centro del país, en la región Orinoquía. Con 82 805 km² es el cuarto departamento más extenso —por detrás de ...</v>
    <v>1048</v>
    <v>1049</v>
    <v>1051</v>
    <v>Meta</v>
    <v>157</v>
    <v>1052</v>
    <v>1053</v>
    <v>Meta</v>
    <v>mdp/vdpid/10106924</v>
  </rv>
  <rv s="1">
    <fb>1328</fb>
    <v>9</v>
  </rv>
  <rv s="2">
    <v>103</v>
    <v>7</v>
    <v>312</v>
    <v>7</v>
    <v>0</v>
    <v>Image of Villavicencio</v>
  </rv>
  <rv s="1">
    <fb>4.1425000000000001</fb>
    <v>10</v>
  </rv>
  <rv s="3">
    <v>https://www.bing.com/search?q=Villavicencio&amp;form=skydnc</v>
    <v>Aprenda más con Bing</v>
  </rv>
  <rv s="0">
    <v>805306368</v>
    <v>Juan Felipe Harman (Alcalde)</v>
    <v>8b2717cb-1964-97ce-8c76-a499ef75ff10</v>
    <v>es-CO</v>
    <v>Generic</v>
  </rv>
  <rv s="4">
    <v>78</v>
  </rv>
  <rv s="1">
    <fb>-73.629444444444005</fb>
    <v>10</v>
  </rv>
  <rv s="1">
    <fb>645226</fb>
    <v>9</v>
  </rv>
  <rv s="5">
    <v>#VALUE!</v>
    <v>es-ES</v>
    <v>061f744c-689b-fc4e-336d-58ff74f02bb7</v>
    <v>536870912</v>
    <v>1</v>
    <v>313</v>
    <v>2</v>
    <v>3</v>
    <v>Villavicencio</v>
    <v>5</v>
    <v>6</v>
    <v>Map</v>
    <v>7</v>
    <v>132</v>
    <v>1055</v>
    <v>Villavicencio es un municipio colombiano, capital del departamento del Meta y el centro comercial más importante de los Llanos Orientales. Está ubicada en el piedemonte de la Cordillera Oriental, al noroccidente del departamento del Meta, en la ...</v>
    <v>346</v>
    <v>1056</v>
    <v>1057</v>
    <v>1058</v>
    <v>1060</v>
    <v>1061</v>
    <v>Villavicencio</v>
    <v>157</v>
    <v>1062</v>
    <v>Villavicencio</v>
    <v>mdp/vdpid/5580982890604265474</v>
  </rv>
  <rv s="1">
    <fb>289</fb>
    <v>9</v>
  </rv>
  <rv s="2">
    <v>104</v>
    <v>7</v>
    <v>314</v>
    <v>7</v>
    <v>0</v>
    <v>Image of Restrepo</v>
  </rv>
  <rv s="1">
    <fb>4.2616666666666996</fb>
    <v>10</v>
  </rv>
  <rv s="3">
    <v>https://www.bing.com/search?q=Restrepo+Meta&amp;form=skydnc</v>
    <v>Aprenda más con Bing</v>
  </rv>
  <rv s="1">
    <fb>-73.564166666667006</fb>
    <v>10</v>
  </rv>
  <rv s="1">
    <fb>17610</fb>
    <v>9</v>
  </rv>
  <rv s="7">
    <v>#VALUE!</v>
    <v>es-ES</v>
    <v>979e053d-2fbb-9fdf-5b7a-51704426c2c2</v>
    <v>536870912</v>
    <v>1</v>
    <v>316</v>
    <v>2</v>
    <v>24</v>
    <v>Restrepo</v>
    <v>5</v>
    <v>6</v>
    <v>Map</v>
    <v>7</v>
    <v>8</v>
    <v>1064</v>
    <v>Restrepo es uno de los 29 municipios del departamento del Meta, en la región de la Orinoquía de Colombia. Se encuentra a 14 km de la ciudad de Villavicencio, capital del mismo departamento, y a aproximadamente 133 km de Bogotá, la capital del ...</v>
    <v>346</v>
    <v>1065</v>
    <v>1066</v>
    <v>1067</v>
    <v>1068</v>
    <v>Restrepo</v>
    <v>157</v>
    <v>1069</v>
    <v>Restrepo</v>
    <v>mdp/vdpid/5580794935084318721</v>
  </rv>
  <rv s="2">
    <v>105</v>
    <v>7</v>
    <v>317</v>
    <v>7</v>
    <v>0</v>
    <v>Image of Cumaral</v>
  </rv>
  <rv s="1">
    <fb>4.2694444444444004</fb>
    <v>10</v>
  </rv>
  <rv s="3">
    <v>https://www.bing.com/search?q=Cumaral&amp;form=skydnc</v>
    <v>Aprenda más con Bing</v>
  </rv>
  <rv s="1">
    <fb>-73.486388888888996</fb>
    <v>10</v>
  </rv>
  <rv s="1">
    <fb>21397</fb>
    <v>9</v>
  </rv>
  <rv s="7">
    <v>#VALUE!</v>
    <v>es-ES</v>
    <v>5737ca7a-9c28-efbe-9d76-192842bbde38</v>
    <v>536870912</v>
    <v>1</v>
    <v>319</v>
    <v>2</v>
    <v>24</v>
    <v>Cumaral</v>
    <v>5</v>
    <v>6</v>
    <v>Map</v>
    <v>7</v>
    <v>8</v>
    <v>995</v>
    <v>Cumaral es un municipio colombiano situado en el piedemonte llanero del departamento del Meta caracterizado por su carne a la llanera y sus eventos de vaquería, coleo de toros.</v>
    <v>346</v>
    <v>1071</v>
    <v>1072</v>
    <v>1073</v>
    <v>1074</v>
    <v>Cumaral</v>
    <v>157</v>
    <v>1075</v>
    <v>Cumaral</v>
    <v>mdp/vdpid/5580795287691067393</v>
  </rv>
  <rv s="1">
    <fb>1149</fb>
    <v>9</v>
  </rv>
  <rv s="2">
    <v>106</v>
    <v>7</v>
    <v>320</v>
    <v>7</v>
    <v>0</v>
    <v>Image of Acacías</v>
  </rv>
  <rv s="1">
    <fb>3.9888888888889</fb>
    <v>10</v>
  </rv>
  <rv s="3">
    <v>https://www.bing.com/search?q=Acac%c3%adas+Colombia&amp;form=skydnc</v>
    <v>Aprenda más con Bing</v>
  </rv>
  <rv s="0">
    <v>805306368</v>
    <v>Luis Orlando Gutierrez (Alcalde)</v>
    <v>20cb70ec-caad-fa7f-8754-7c597d7a081d</v>
    <v>es-CO</v>
    <v>Generic</v>
  </rv>
  <rv s="4">
    <v>79</v>
  </rv>
  <rv s="1">
    <fb>-73.764722222222005</fb>
    <v>10</v>
  </rv>
  <rv s="1">
    <fb>54507</fb>
    <v>9</v>
  </rv>
  <rv s="5">
    <v>#VALUE!</v>
    <v>es-ES</v>
    <v>8d515ea8-f8bc-f573-aade-696f1443f916</v>
    <v>536870912</v>
    <v>1</v>
    <v>322</v>
    <v>2</v>
    <v>3</v>
    <v>Acacías</v>
    <v>5</v>
    <v>6</v>
    <v>Map</v>
    <v>7</v>
    <v>85</v>
    <v>1077</v>
    <v>Acacías es un municipio ubicado en el departamento del Meta en Colombia. Es uno de los municipios más importantes por su población y economía, junto a La Macarena, Granada y la capital Villavicencio. Acacías se caracteriza por recibir un gran ...</v>
    <v>346</v>
    <v>1078</v>
    <v>1079</v>
    <v>1080</v>
    <v>1082</v>
    <v>1083</v>
    <v>Acacías</v>
    <v>157</v>
    <v>1084</v>
    <v>Acacías</v>
    <v>mdp/vdpid/5580984913483530241</v>
  </rv>
  <rv s="2">
    <v>107</v>
    <v>7</v>
    <v>323</v>
    <v>7</v>
    <v>0</v>
    <v>Image of Guamal</v>
  </rv>
  <rv s="1">
    <fb>9.1441666666667007</fb>
    <v>10</v>
  </rv>
  <rv s="3">
    <v>https://www.bing.com/search?q=Guamal+Magdalena&amp;form=skydnc</v>
    <v>Aprenda más con Bing</v>
  </rv>
  <rv s="1">
    <fb>-74.223611111110998</fb>
    <v>10</v>
  </rv>
  <rv s="1">
    <fb>25312</fb>
    <v>9</v>
  </rv>
  <rv s="12">
    <v>#VALUE!</v>
    <v>es-ES</v>
    <v>945f56ae-1d37-5362-0e41-41c6414a528f</v>
    <v>536870912</v>
    <v>1</v>
    <v>325</v>
    <v>63</v>
    <v>64</v>
    <v>Guamal</v>
    <v>5</v>
    <v>6</v>
    <v>Map</v>
    <v>7</v>
    <v>149</v>
    <v>Guamal es un municipio localizado en la margen oriental del brazo de Mompóx, del río Magdalena, en la subregión sur del departamento del Magdalena, Colombia. Se encuentra a 330 kilómetros de Santa Marta. Su territorio es plano, aunque rodeado en ...</v>
    <v>791</v>
    <v>1086</v>
    <v>1087</v>
    <v>1088</v>
    <v>1089</v>
    <v>Guamal</v>
    <v>157</v>
    <v>1090</v>
    <v>Guamal</v>
    <v>mdp/vdpid/5576467742162157569</v>
  </rv>
  <rv s="1">
    <fb>6454</fb>
    <v>9</v>
  </rv>
  <rv s="2">
    <v>108</v>
    <v>7</v>
    <v>326</v>
    <v>7</v>
    <v>0</v>
    <v>Image of San Martín</v>
  </rv>
  <rv s="1">
    <fb>3.6969444444444002</fb>
    <v>10</v>
  </rv>
  <rv s="3">
    <v>https://www.bing.com/search?q=San+Mart%c3%adn+Meta&amp;form=skydnc</v>
    <v>Aprenda más con Bing</v>
  </rv>
  <rv s="1">
    <fb>-73.698611111111006</fb>
    <v>10</v>
  </rv>
  <rv s="1">
    <fb>22281</fb>
    <v>9</v>
  </rv>
  <rv s="7">
    <v>#VALUE!</v>
    <v>es-ES</v>
    <v>cc222463-998f-446e-8e15-bd94eed5b3c1</v>
    <v>536870912</v>
    <v>1</v>
    <v>328</v>
    <v>2</v>
    <v>24</v>
    <v>San Martín</v>
    <v>5</v>
    <v>6</v>
    <v>Map</v>
    <v>7</v>
    <v>8</v>
    <v>1092</v>
    <v>San Martín de los Llanos es un municipio del Meta fundado en 1585. Se encuentra a 70 km de Villavicencio. El municipio de San Martín es el más antiguo del departamento del Meta, siendo elevada por decreto nacional N.º 237 de 1958 a municipio.</v>
    <v>346</v>
    <v>1093</v>
    <v>1094</v>
    <v>1095</v>
    <v>1096</v>
    <v>San Martín</v>
    <v>157</v>
    <v>1097</v>
    <v>San Martín</v>
    <v>mdp/vdpid/5580999925316976641</v>
  </rv>
  <rv s="1">
    <fb>350</fb>
    <v>9</v>
  </rv>
  <rv s="2">
    <v>109</v>
    <v>7</v>
    <v>329</v>
    <v>7</v>
    <v>0</v>
    <v>Image of Granada</v>
  </rv>
  <rv s="1">
    <fb>3.5472222222221998</fb>
    <v>10</v>
  </rv>
  <rv s="3">
    <v>https://www.bing.com/search?q=Granada+Meta&amp;form=skydnc</v>
    <v>Aprenda más con Bing</v>
  </rv>
  <rv s="1">
    <fb>-73.708611111110997</fb>
    <v>10</v>
  </rv>
  <rv s="1">
    <fb>56065</fb>
    <v>9</v>
  </rv>
  <rv s="7">
    <v>#VALUE!</v>
    <v>es-ES</v>
    <v>ac6f02c8-0ccc-4f87-69ee-2c42d9251f83</v>
    <v>536870912</v>
    <v>1</v>
    <v>330</v>
    <v>2</v>
    <v>24</v>
    <v>Granada</v>
    <v>5</v>
    <v>6</v>
    <v>Map</v>
    <v>7</v>
    <v>123</v>
    <v>1099</v>
    <v>Granada es un municipio ubicado en el departamento de Meta, en Colombia. Dista de Bogotá a lo largo de una carretera de 180 km y 86 km de la capital departamental Villavicencio. Es el segundo municipio más turístico del departamento del Meta ...</v>
    <v>346</v>
    <v>1100</v>
    <v>1101</v>
    <v>1102</v>
    <v>1103</v>
    <v>Granada</v>
    <v>157</v>
    <v>1104</v>
    <v>Granada</v>
    <v>mdp/vdpid/5581004258821537794</v>
  </rv>
  <rv s="1">
    <fb>6740</fb>
    <v>9</v>
  </rv>
  <rv s="2">
    <v>111</v>
    <v>7</v>
    <v>332</v>
    <v>7</v>
    <v>0</v>
    <v>Image of Puerto López</v>
  </rv>
  <rv s="1">
    <fb>4.0897222222221998</fb>
    <v>10</v>
  </rv>
  <rv s="3">
    <v>https://www.bing.com/search?q=Puerto+L%c3%b3pez+Colombia&amp;form=skydnc</v>
    <v>Aprenda más con Bing</v>
  </rv>
  <rv s="0">
    <v>805306368</v>
    <v>Victor Manuel Bravo Rodriguez (Alcalde)</v>
    <v>97ba6ea9-8dba-2def-cf12-640f25eaabf5</v>
    <v>es-CO</v>
    <v>Generic</v>
  </rv>
  <rv s="4">
    <v>80</v>
  </rv>
  <rv s="1">
    <fb>-72.961944444444001</fb>
    <v>10</v>
  </rv>
  <rv s="1">
    <fb>33440</fb>
    <v>9</v>
  </rv>
  <rv s="5">
    <v>#VALUE!</v>
    <v>es-ES</v>
    <v>6bf5f8e6-5a33-7203-c01e-c5120848fb41</v>
    <v>536870912</v>
    <v>1</v>
    <v>334</v>
    <v>2</v>
    <v>3</v>
    <v>Puerto López</v>
    <v>5</v>
    <v>6</v>
    <v>Map</v>
    <v>7</v>
    <v>59</v>
    <v>1106</v>
    <v>Puerto López es un municipio colombiano ubicado en el departamento del Meta, siendo además uno de los más importantes puertos fluviales sobre río Meta y está localizado a 86 km al este de Villavicencio.</v>
    <v>346</v>
    <v>1107</v>
    <v>1108</v>
    <v>1109</v>
    <v>1111</v>
    <v>1112</v>
    <v>Puerto López</v>
    <v>157</v>
    <v>1113</v>
    <v>Puerto López</v>
    <v>mdp/vdpid/5582495335923580929</v>
  </rv>
  <rv s="1">
    <fb>17499</fb>
    <v>9</v>
  </rv>
  <rv s="2">
    <v>112</v>
    <v>7</v>
    <v>336</v>
    <v>7</v>
    <v>0</v>
    <v>Image of Puerto Gaitán</v>
  </rv>
  <rv s="1">
    <fb>4.3141694444444001</fb>
    <v>10</v>
  </rv>
  <rv s="3">
    <v>https://www.bing.com/search?q=Puerto+Gait%c3%a1n&amp;form=skydnc</v>
    <v>Aprenda más con Bing</v>
  </rv>
  <rv s="1">
    <fb>-72.082499999999996</fb>
    <v>10</v>
  </rv>
  <rv s="1">
    <fb>41017</fb>
    <v>9</v>
  </rv>
  <rv s="7">
    <v>#VALUE!</v>
    <v>es-ES</v>
    <v>8fcdaaff-96da-1e76-3ef6-98629ebac36a</v>
    <v>536870912</v>
    <v>1</v>
    <v>337</v>
    <v>2</v>
    <v>24</v>
    <v>Puerto Gaitán</v>
    <v>5</v>
    <v>6</v>
    <v>Map</v>
    <v>7</v>
    <v>8</v>
    <v>1115</v>
    <v>Puerto Gaitán es un municipio colombiano del departamento Meta ubicado en la región del río Manacacias y es uno de los municipios con mayor área del país con 17.499 km². Está a 212 kilómetros al oriente de Villavicencio y es una de las regiones ...</v>
    <v>346</v>
    <v>1116</v>
    <v>1117</v>
    <v>1118</v>
    <v>1119</v>
    <v>Puerto Gaitán</v>
    <v>157</v>
    <v>1120</v>
    <v>Puerto Gaitán</v>
    <v>mdp/vdpid/5582342571570495490</v>
  </rv>
  <rv s="1">
    <fb>1274</fb>
    <v>9</v>
  </rv>
  <rv s="0">
    <v>536870912</v>
    <v>Santander</v>
    <v>98fbfaa3-063d-4261-a806-2b84a0339e05</v>
    <v>es-CO</v>
    <v>Map</v>
  </rv>
  <rv s="2">
    <v>125</v>
    <v>7</v>
    <v>338</v>
    <v>7</v>
    <v>0</v>
    <v>Image of Barrancabermeja</v>
  </rv>
  <rv s="1">
    <fb>7.0674999999999999</fb>
    <v>10</v>
  </rv>
  <rv s="3">
    <v>https://www.bing.com/search?q=Barrancabermeja&amp;form=skydnc</v>
    <v>Aprenda más con Bing</v>
  </rv>
  <rv s="1">
    <fb>-73.847222222222001</fb>
    <v>10</v>
  </rv>
  <rv s="1">
    <fb>300000</fb>
    <v>9</v>
  </rv>
  <rv s="7">
    <v>#VALUE!</v>
    <v>es-ES</v>
    <v>e5fb42a3-0621-0d81-dd30-684cd6265cca</v>
    <v>536870912</v>
    <v>1</v>
    <v>339</v>
    <v>2</v>
    <v>24</v>
    <v>Barrancabermeja</v>
    <v>5</v>
    <v>6</v>
    <v>Map</v>
    <v>7</v>
    <v>95</v>
    <v>1122</v>
    <v>Barrancabermeja, es un distrito colombiano ubicado a orillas del río Magdalena, en la parte occidental del departamento de Santander. Es la ciudad industrial más importante del departamento de Santander, sede de la refinería de petróleo más ...</v>
    <v>1123</v>
    <v>1124</v>
    <v>1125</v>
    <v>1126</v>
    <v>1127</v>
    <v>Barrancabermeja</v>
    <v>157</v>
    <v>1128</v>
    <v>Barrancabermeja</v>
    <v>mdp/vdpid/5577391155164741635</v>
  </rv>
  <rv s="1">
    <fb>33268</fb>
    <v>9</v>
  </rv>
  <rv s="0">
    <v>536870912</v>
    <v>Pasto</v>
    <v>dc2554b9-27d5-309d-89c4-5936459ccb5e</v>
    <v>es-CO</v>
    <v>Map</v>
  </rv>
  <rv s="2">
    <v>113</v>
    <v>7</v>
    <v>340</v>
    <v>7</v>
    <v>0</v>
    <v>Image of Nariño</v>
  </rv>
  <rv s="3">
    <v>https://www.bing.com/search?q=Nari%c3%b1o+Colombia&amp;form=skydnc</v>
    <v>Aprenda más con Bing</v>
  </rv>
  <rv s="0">
    <v>805306368</v>
    <v>John Rojas (Gobernador)</v>
    <v>e7091697-4e17-3878-1017-2655dde69555</v>
    <v>es-CO</v>
    <v>Generic</v>
  </rv>
  <rv s="4">
    <v>81</v>
  </rv>
  <rv s="1">
    <fb>1630592</fb>
    <v>9</v>
  </rv>
  <rv s="1">
    <fb>347101</fb>
    <v>9</v>
  </rv>
  <rv s="6">
    <v>#VALUE!</v>
    <v>es-ES</v>
    <v>1b9faaa5-ba49-9e9a-6edd-39ceed297f8f</v>
    <v>536870912</v>
    <v>1</v>
    <v>342</v>
    <v>14</v>
    <v>15</v>
    <v>Nariño</v>
    <v>5</v>
    <v>6</v>
    <v>Map</v>
    <v>7</v>
    <v>343</v>
    <v>CO-NAR</v>
    <v>1130</v>
    <v>1131</v>
    <v>1131</v>
    <v>Nariño es uno de los treinta y dos departamentos que forman la República de Colombia. Su capital es Pasto. Está ubicado en el extremo suroeste del país, en las regiones andina y pacífica. Fue fundado en 1904 con la unión de las entonces ...</v>
    <v>1132</v>
    <v>1133</v>
    <v>1135</v>
    <v>Nariño</v>
    <v>157</v>
    <v>1136</v>
    <v>1137</v>
    <v>Nariño</v>
    <v>mdp/vdpid/9406730</v>
  </rv>
  <rv s="1">
    <fb>1707</fb>
    <v>9</v>
  </rv>
  <rv s="2">
    <v>115</v>
    <v>7</v>
    <v>344</v>
    <v>7</v>
    <v>0</v>
    <v>Image of Ipiales</v>
  </rv>
  <rv s="1">
    <fb>0.82888888888889001</fb>
    <v>10</v>
  </rv>
  <rv s="3">
    <v>https://www.bing.com/search?q=Ipiales&amp;form=skydnc</v>
    <v>Aprenda más con Bing</v>
  </rv>
  <rv s="0">
    <v>805306368</v>
    <v>Luis Fernando Villota (Alcalde)</v>
    <v>f25cf361-4adb-865a-4154-c77d783ec70f</v>
    <v>es-CO</v>
    <v>Generic</v>
  </rv>
  <rv s="4">
    <v>82</v>
  </rv>
  <rv s="1">
    <fb>-77.640555555556006</fb>
    <v>10</v>
  </rv>
  <rv s="1">
    <fb>166079</fb>
    <v>9</v>
  </rv>
  <rv s="5">
    <v>#VALUE!</v>
    <v>es-ES</v>
    <v>de3fbace-23b8-c781-1dd0-49b331db3b49</v>
    <v>536870912</v>
    <v>1</v>
    <v>345</v>
    <v>2</v>
    <v>3</v>
    <v>Ipiales</v>
    <v>5</v>
    <v>6</v>
    <v>Map</v>
    <v>7</v>
    <v>95</v>
    <v>1139</v>
    <v>Ipiales es un municipio colombiano ubicado en el suroriente del Departamento de Nariño, en la frontera con Ecuador, región del altiplano andino de Túquerres e Ipiales en el área geográfica del Nudo de los Pastos y el pie de monte amazónico. Está ...</v>
    <v>391</v>
    <v>1140</v>
    <v>1141</v>
    <v>1142</v>
    <v>1144</v>
    <v>1145</v>
    <v>Ipiales</v>
    <v>157</v>
    <v>1146</v>
    <v>Ipiales</v>
    <v>mdp/vdpid/5581433719865999361</v>
  </rv>
  <rv s="2">
    <v>116</v>
    <v>7</v>
    <v>346</v>
    <v>7</v>
    <v>0</v>
    <v>Image of Túquerres</v>
  </rv>
  <rv s="1">
    <fb>1.0872222222222001</fb>
    <v>10</v>
  </rv>
  <rv s="3">
    <v>https://www.bing.com/search?q=T%c3%baquerres&amp;form=skydnc</v>
    <v>Aprenda más con Bing</v>
  </rv>
  <rv s="1">
    <fb>-77.618888888889003</fb>
    <v>10</v>
  </rv>
  <rv s="1">
    <fb>41205</fb>
    <v>9</v>
  </rv>
  <rv s="12">
    <v>#VALUE!</v>
    <v>es-ES</v>
    <v>ab21fc96-def5-fe65-64c8-fd528b52a2cb</v>
    <v>536870912</v>
    <v>1</v>
    <v>347</v>
    <v>63</v>
    <v>64</v>
    <v>Túquerres</v>
    <v>5</v>
    <v>6</v>
    <v>Map</v>
    <v>7</v>
    <v>236</v>
    <v>Túquerres es un municipio colombiano ubicado en el departamento de Nariño. Se sitúa a 72 kilómetros de San Juan de Pasto, la capital del departamento. Es epicentro comercial de la región sabana del sur del departamento.</v>
    <v>391</v>
    <v>1148</v>
    <v>1149</v>
    <v>1150</v>
    <v>1151</v>
    <v>Túquerres</v>
    <v>157</v>
    <v>1152</v>
    <v>Túquerres</v>
    <v>mdp/vdpid/5581417849794068481</v>
  </rv>
  <rv s="1">
    <fb>159</fb>
    <v>9</v>
  </rv>
  <rv s="2">
    <v>117</v>
    <v>7</v>
    <v>349</v>
    <v>7</v>
    <v>0</v>
    <v>Image of Guachucal</v>
  </rv>
  <rv s="1">
    <fb>0.96027777777778001</fb>
    <v>10</v>
  </rv>
  <rv s="3">
    <v>https://www.bing.com/search?q=Guachucal&amp;form=skydnc</v>
    <v>Aprenda más con Bing</v>
  </rv>
  <rv s="1">
    <fb>-77.731944444443997</fb>
    <v>10</v>
  </rv>
  <rv s="1">
    <fb>18845</fb>
    <v>9</v>
  </rv>
  <rv s="7">
    <v>#VALUE!</v>
    <v>es-ES</v>
    <v>6ad4a957-4cf9-22d1-96b4-f95a27a5b531</v>
    <v>536870912</v>
    <v>1</v>
    <v>350</v>
    <v>2</v>
    <v>24</v>
    <v>Guachucal</v>
    <v>5</v>
    <v>6</v>
    <v>Map</v>
    <v>7</v>
    <v>8</v>
    <v>1154</v>
    <v>Guachucal es un municipio colombiano ubicado en el departamento colombiano de Nariño. Se sitúa a 99 kilómetros de San Juan de Pasto, la capital del departamento. Tiene una extensión de aproximadamente 15 020 ha.</v>
    <v>391</v>
    <v>1155</v>
    <v>1156</v>
    <v>1157</v>
    <v>1158</v>
    <v>Guachucal</v>
    <v>157</v>
    <v>1159</v>
    <v>Guachucal</v>
    <v>mdp/vdpid/5581424102310150145</v>
  </rv>
  <rv s="1">
    <fb>257</fb>
    <v>9</v>
  </rv>
  <rv s="2">
    <v>118</v>
    <v>7</v>
    <v>352</v>
    <v>7</v>
    <v>0</v>
    <v>Image of La Cruz</v>
  </rv>
  <rv s="1">
    <fb>1.6013888888889001</fb>
    <v>10</v>
  </rv>
  <rv s="3">
    <v>https://www.bing.com/search?q=La+Cruz+Nari%c3%b1o&amp;form=skydnc</v>
    <v>Aprenda más con Bing</v>
  </rv>
  <rv s="0">
    <v>805306368</v>
    <v>Marco Román Palacios (Alcalde)</v>
    <v>7f89fa7a-7398-f189-be4f-b4c701180399</v>
    <v>es-CO</v>
    <v>Generic</v>
  </rv>
  <rv s="4">
    <v>83</v>
  </rv>
  <rv s="1">
    <fb>-76.970555555556004</fb>
    <v>10</v>
  </rv>
  <rv s="1">
    <fb>16674</fb>
    <v>9</v>
  </rv>
  <rv s="5">
    <v>#VALUE!</v>
    <v>es-ES</v>
    <v>89088007-69de-1ae8-5ee9-0874789f5d86</v>
    <v>536870912</v>
    <v>1</v>
    <v>353</v>
    <v>2</v>
    <v>3</v>
    <v>La Cruz</v>
    <v>5</v>
    <v>6</v>
    <v>Map</v>
    <v>7</v>
    <v>8</v>
    <v>1161</v>
    <v>La Cruz es un municipio colombiano ubicado en el departamento de Nariño. Es una de las poblaciones más antiguas de la región como fundación española y la más antigua del actual departamento de Nariño.</v>
    <v>391</v>
    <v>1162</v>
    <v>1163</v>
    <v>1164</v>
    <v>1166</v>
    <v>1167</v>
    <v>La Cruz</v>
    <v>157</v>
    <v>1168</v>
    <v>La Cruz</v>
    <v>mdp/vdpid/5581325428104101889</v>
  </rv>
  <rv s="1">
    <fb>21658</fb>
    <v>9</v>
  </rv>
  <rv s="0">
    <v>536870912</v>
    <v>Cúcuta</v>
    <v>5a90774d-aeea-6f03-17a8-2126ffdffef3</v>
    <v>es-CO</v>
    <v>Map</v>
  </rv>
  <rv s="2">
    <v>119</v>
    <v>7</v>
    <v>354</v>
    <v>7</v>
    <v>0</v>
    <v>Image of Norte de Santander</v>
  </rv>
  <rv s="3">
    <v>https://www.bing.com/search?q=Norte+de+Santander&amp;form=skydnc</v>
    <v>Aprenda más con Bing</v>
  </rv>
  <rv s="0">
    <v>805306368</v>
    <v>William Villamizar Laguado (Gobernador)</v>
    <v>6d10af54-beb2-6729-1dfc-413dd41f2860</v>
    <v>es-CO</v>
    <v>Generic</v>
  </rv>
  <rv s="4">
    <v>84</v>
  </rv>
  <rv s="1">
    <fb>1620318</fb>
    <v>9</v>
  </rv>
  <rv s="1">
    <fb>295605</fb>
    <v>9</v>
  </rv>
  <rv s="6">
    <v>#VALUE!</v>
    <v>es-ES</v>
    <v>d44c8def-e6be-c3f1-ab4e-e27af99a2e0b</v>
    <v>536870912</v>
    <v>1</v>
    <v>356</v>
    <v>14</v>
    <v>15</v>
    <v>Norte de Santander</v>
    <v>5</v>
    <v>6</v>
    <v>Map</v>
    <v>7</v>
    <v>16</v>
    <v>CO-NSA</v>
    <v>1170</v>
    <v>1171</v>
    <v>1171</v>
    <v>Norte de Santander es uno de los treinta y dos departamentos que forman la República de Colombia. Su capital es la ciudad de Cúcuta. Es una entidad territorial que goza de autonomía para la administración de los asuntos seccionales y la ...</v>
    <v>1172</v>
    <v>1173</v>
    <v>1175</v>
    <v>Norte de Santander</v>
    <v>157</v>
    <v>1176</v>
    <v>1177</v>
    <v>Norte de Santander</v>
    <v>mdp/vdpid/9406503</v>
  </rv>
  <rv s="1">
    <fb>1176</fb>
    <v>9</v>
  </rv>
  <rv s="0">
    <v>536870912</v>
    <v>Norte de Santander</v>
    <v>d44c8def-e6be-c3f1-ab4e-e27af99a2e0b</v>
    <v>es-CO</v>
    <v>Map</v>
  </rv>
  <rv s="2">
    <v>120</v>
    <v>7</v>
    <v>357</v>
    <v>7</v>
    <v>0</v>
    <v>Image of Cúcuta</v>
  </rv>
  <rv s="1">
    <fb>7.9074999999999998</fb>
    <v>10</v>
  </rv>
  <rv s="3">
    <v>https://www.bing.com/search?q=C%c3%bacuta&amp;form=skydnc</v>
    <v>Aprenda más con Bing</v>
  </rv>
  <rv s="0">
    <v>805306368</v>
    <v>Jorge Acevedo Peñaloza (Alcalde)</v>
    <v>fd7df685-b356-0654-5738-5310c15eed1c</v>
    <v>es-CO</v>
    <v>Generic</v>
  </rv>
  <rv s="4">
    <v>85</v>
  </rv>
  <rv s="1">
    <fb>-72.504722222222</fb>
    <v>10</v>
  </rv>
  <rv s="1">
    <fb>806378</fb>
    <v>9</v>
  </rv>
  <rv s="5">
    <v>#VALUE!</v>
    <v>es-ES</v>
    <v>5a90774d-aeea-6f03-17a8-2126ffdffef3</v>
    <v>536870912</v>
    <v>1</v>
    <v>358</v>
    <v>2</v>
    <v>3</v>
    <v>Cúcuta</v>
    <v>5</v>
    <v>6</v>
    <v>Map</v>
    <v>7</v>
    <v>95</v>
    <v>1179</v>
    <v>Cúcuta, oficialmente San José de Cúcuta, es un municipio colombiano, capital del departamento de Norte de Santander y núcleo del Área Metropolitana de Cúcuta. La ciudad está situada en el valle homónimo, al pie de la Cordillera Oriental de los ...</v>
    <v>1180</v>
    <v>1181</v>
    <v>1182</v>
    <v>1183</v>
    <v>1185</v>
    <v>1186</v>
    <v>Cúcuta</v>
    <v>157</v>
    <v>1187</v>
    <v>Cúcuta</v>
    <v>mdp/vdpid/5578887360407404545</v>
  </rv>
  <rv s="0">
    <v>536870912</v>
    <v>Capaccio</v>
    <v>8cb7fe99-7ff4-cdfc-d5b7-954703d21f31</v>
    <v>es-CO</v>
    <v>Map</v>
  </rv>
  <rv s="0">
    <v>536870912</v>
    <v>Paestum</v>
    <v>ee66dba5-f3ad-c509-f0e5-db28a7f4829c</v>
    <v>es-CO</v>
    <v>Map</v>
  </rv>
  <rv s="2">
    <v>121</v>
    <v>7</v>
    <v>359</v>
    <v>7</v>
    <v>0</v>
    <v>Image of Paestum</v>
  </rv>
  <rv s="1">
    <fb>40.42</fb>
    <v>10</v>
  </rv>
  <rv s="3">
    <v>https://www.bing.com/search?q=Paestum&amp;form=skydnc</v>
    <v>Aprenda más con Bing</v>
  </rv>
  <rv s="1">
    <fb>15.005555555556001</fb>
    <v>10</v>
  </rv>
  <rv s="18">
    <v>#VALUE!</v>
    <v>es-ES</v>
    <v>4cdc32ff-6cf0-0c20-dc76-94b463ad28f0</v>
    <v>536870912</v>
    <v>1</v>
    <v>360</v>
    <v>361</v>
    <v>362</v>
    <v>Paestum</v>
    <v>363</v>
    <v>6</v>
    <v>Map</v>
    <v>7</v>
    <v>Paestum es el nombre romano clásico de una importante ciudad grecorromana en la región italiana de Campania. Está situada al sureste en la provincia de Salerno, a 40 km al sur de la capital provincial y 92 de Nápoles. Es uno de los barrios del ...</v>
    <v>1189</v>
    <v>1190</v>
    <v>1191</v>
    <v>1192</v>
    <v>1193</v>
    <v>1194</v>
    <v>Paestum</v>
    <v>649</v>
    <v>Paestum</v>
  </rv>
  <rv s="1">
    <fb>318</fb>
    <v>9</v>
  </rv>
  <rv s="2">
    <v>122</v>
    <v>7</v>
    <v>364</v>
    <v>7</v>
    <v>0</v>
    <v>Image of Pamplona</v>
  </rv>
  <rv s="1">
    <fb>7.3761111111110997</fb>
    <v>10</v>
  </rv>
  <rv s="3">
    <v>https://www.bing.com/search?q=Pamplona+Colombia&amp;form=skydnc</v>
    <v>Aprenda más con Bing</v>
  </rv>
  <rv s="0">
    <v>805306368</v>
    <v>Carlos Arturo Bustos Cortés (Alcalde)</v>
    <v>793ad259-ade5-4ba4-c010-0c28abd7e04a</v>
    <v>es-CO</v>
    <v>Generic</v>
  </rv>
  <rv s="4">
    <v>86</v>
  </rv>
  <rv s="1">
    <fb>-72.648333333332999</fb>
    <v>10</v>
  </rv>
  <rv s="1">
    <fb>50025</fb>
    <v>9</v>
  </rv>
  <rv s="5">
    <v>#VALUE!</v>
    <v>es-ES</v>
    <v>765727eb-18b2-f788-b322-04b90510c469</v>
    <v>536870912</v>
    <v>1</v>
    <v>365</v>
    <v>2</v>
    <v>3</v>
    <v>Pamplona</v>
    <v>5</v>
    <v>6</v>
    <v>Map</v>
    <v>7</v>
    <v>8</v>
    <v>1196</v>
    <v>Pamplona es un municipio colombiano, ubicado en el departamento de Norte de Santander. Fue la capital de la Provincia de Pamplona y su economía está basada en la gastronomía, la agricultura, el turismo y la educación. Se le conoce como la ...</v>
    <v>1180</v>
    <v>1197</v>
    <v>1198</v>
    <v>1199</v>
    <v>1201</v>
    <v>1202</v>
    <v>Pamplona</v>
    <v>157</v>
    <v>1203</v>
    <v>Pamplona</v>
    <v>mdp/vdpid/5578919646314102785</v>
  </rv>
  <rv s="1">
    <fb>672.27</fb>
    <v>9</v>
  </rv>
  <rv s="1">
    <fb>8.2334200000000006</fb>
    <v>10</v>
  </rv>
  <rv s="3">
    <v>https://www.bing.com/search?q=Oca%c3%b1a+Norte+de+Santander&amp;form=skydnc</v>
    <v>Aprenda más con Bing</v>
  </rv>
  <rv s="4">
    <v>87</v>
  </rv>
  <rv s="1">
    <fb>-73.353309999999993</fb>
    <v>10</v>
  </rv>
  <rv s="1">
    <fb>101158</fb>
    <v>9</v>
  </rv>
  <rv s="19">
    <v>#VALUE!</v>
    <v>es-ES</v>
    <v>a155f8fa-1267-58b9-16da-e58c8fed9a4e</v>
    <v>536870912</v>
    <v>1</v>
    <v>371</v>
    <v>372</v>
    <v>373</v>
    <v>Ocaña</v>
    <v>375</v>
    <v>376</v>
    <v>Map</v>
    <v>7</v>
    <v>213</v>
    <v>1205</v>
    <v>Ocaña es un municipio colombiano ubicado en el departamento de Norte de Santander. Es la capital de la provincia de Ocaña y su economía está basada en la gastronomía, la agricultura y el turismo. Se sitúa en la zona nordeste y está conectada por la Ruta Nacional 70 con ciudades como Bucaramanga, Cúcuta, Santa Marta, Aguachica, entre otras.</v>
    <v>1206</v>
    <v>1207</v>
    <v>1208</v>
    <v>1209</v>
    <v>Ocaña</v>
    <v>157</v>
    <v>1210</v>
    <v>Ocaña</v>
    <v>mdp/vdpid/5577334909766205441</v>
  </rv>
  <rv s="1">
    <fb>1845</fb>
    <v>9</v>
  </rv>
  <rv s="0">
    <v>536870912</v>
    <v>Armenia</v>
    <v>9f713bea-584e-bcb2-fad2-76734e840ef6</v>
    <v>es-CO</v>
    <v>Map</v>
  </rv>
  <rv s="2">
    <v>123</v>
    <v>7</v>
    <v>377</v>
    <v>7</v>
    <v>0</v>
    <v>Image of Quindío</v>
  </rv>
  <rv s="3">
    <v>https://www.bing.com/search?q=Quind%c3%ado&amp;form=skydnc</v>
    <v>Aprenda más con Bing</v>
  </rv>
  <rv s="0">
    <v>805306368</v>
    <v>Roberto Jairo Jaramillo Cardenas (Gobernador)</v>
    <v>e1e56920-2915-1461-a2d8-7bb4aaa600b3</v>
    <v>es-CO</v>
    <v>Generic</v>
  </rv>
  <rv s="4">
    <v>88</v>
  </rv>
  <rv s="1">
    <fb>555401</fb>
    <v>9</v>
  </rv>
  <rv s="1">
    <fb>145612</fb>
    <v>9</v>
  </rv>
  <rv s="6">
    <v>#VALUE!</v>
    <v>es-ES</v>
    <v>0bb62acd-b714-a5dd-dc49-6f69ddaba02c</v>
    <v>536870912</v>
    <v>1</v>
    <v>379</v>
    <v>14</v>
    <v>15</v>
    <v>Quindío</v>
    <v>5</v>
    <v>6</v>
    <v>Map</v>
    <v>7</v>
    <v>16</v>
    <v>CO-QUI</v>
    <v>1212</v>
    <v>1213</v>
    <v>1213</v>
    <v>Quindío, también llamado El Quindío, es uno de los treinta y dos departamentos que forman la República de Colombia. Su capital es Armenia. Está ubicado en el centro-oeste del país, en la región andina. Con 1845 km² es el segundo departamento ...</v>
    <v>1214</v>
    <v>1215</v>
    <v>1217</v>
    <v>Quindío</v>
    <v>157</v>
    <v>1218</v>
    <v>1219</v>
    <v>Quindío</v>
    <v>mdp/vdpid/10106922</v>
  </rv>
  <rv s="1">
    <fb>30537</fb>
    <v>9</v>
  </rv>
  <rv s="0">
    <v>536870912</v>
    <v>Bucaramanga</v>
    <v>b2b7d5d4-6e24-8927-87fe-0c327b2b2c86</v>
    <v>es-CO</v>
    <v>Map</v>
  </rv>
  <rv s="2">
    <v>126</v>
    <v>7</v>
    <v>380</v>
    <v>7</v>
    <v>0</v>
    <v>Image of Santander</v>
  </rv>
  <rv s="3">
    <v>https://www.bing.com/search?q=Santander+Colombia&amp;form=skydnc</v>
    <v>Aprenda más con Bing</v>
  </rv>
  <rv s="0">
    <v>805306368</v>
    <v>Didier Alberto Tavera Amado (Gobernador)</v>
    <v>2bbaaffb-dcd5-8f7f-c1e6-27ef781cd586</v>
    <v>es-CO</v>
    <v>Generic</v>
  </rv>
  <rv s="4">
    <v>89</v>
  </rv>
  <rv s="1">
    <fb>2280908</fb>
    <v>9</v>
  </rv>
  <rv s="1">
    <fb>495179</fb>
    <v>9</v>
  </rv>
  <rv s="6">
    <v>#VALUE!</v>
    <v>es-ES</v>
    <v>98fbfaa3-063d-4261-a806-2b84a0339e05</v>
    <v>536870912</v>
    <v>1</v>
    <v>382</v>
    <v>14</v>
    <v>15</v>
    <v>Santander</v>
    <v>5</v>
    <v>6</v>
    <v>Map</v>
    <v>7</v>
    <v>16</v>
    <v>CO-SAN</v>
    <v>1221</v>
    <v>1222</v>
    <v>1222</v>
    <v>Santander es uno de los treinta y dos departamentos que forman la República de Colombia. Su capital es Bucaramanga. Está ubicado al noreste del país, en la región andina. Con unos 2 280 908 habitantes en 2018 es el sexto departamento por ...</v>
    <v>1223</v>
    <v>1224</v>
    <v>1226</v>
    <v>Santander</v>
    <v>157</v>
    <v>1227</v>
    <v>1228</v>
    <v>Santander</v>
    <v>mdp/vdpid/10106936</v>
  </rv>
  <rv s="1">
    <fb>162</fb>
    <v>9</v>
  </rv>
  <rv s="2">
    <v>127</v>
    <v>7</v>
    <v>383</v>
    <v>7</v>
    <v>0</v>
    <v>Image of Bucaramanga</v>
  </rv>
  <rv s="1">
    <fb>7.1186111111111003</fb>
    <v>10</v>
  </rv>
  <rv s="3">
    <v>https://www.bing.com/search?q=Bucaramanga&amp;form=skydnc</v>
    <v>Aprenda más con Bing</v>
  </rv>
  <rv s="0">
    <v>805306368</v>
    <v>Juan Carlos Cárdenas Rey (Alcalde)</v>
    <v>f84abdcd-4ae3-7dbc-5190-faced35ed6e9</v>
    <v>es-CO</v>
    <v>Generic</v>
  </rv>
  <rv s="4">
    <v>90</v>
  </rv>
  <rv s="1">
    <fb>-73.116111111110996</fb>
    <v>10</v>
  </rv>
  <rv s="1">
    <fb>614860</fb>
    <v>9</v>
  </rv>
  <rv s="5">
    <v>#VALUE!</v>
    <v>es-ES</v>
    <v>b2b7d5d4-6e24-8927-87fe-0c327b2b2c86</v>
    <v>536870912</v>
    <v>1</v>
    <v>384</v>
    <v>2</v>
    <v>3</v>
    <v>Bucaramanga</v>
    <v>5</v>
    <v>6</v>
    <v>Map</v>
    <v>7</v>
    <v>95</v>
    <v>1230</v>
    <v>Bucaramanga es un municipio colombiano, capital del departamento de Santander. Está ubicada al nororiente del país sobre la Cordillera Oriental, rama de la cordillera de los Andes, a orillas del río de Oro. Bucaramanga cuenta con 625.114 ...</v>
    <v>1123</v>
    <v>1231</v>
    <v>1232</v>
    <v>1233</v>
    <v>1235</v>
    <v>1236</v>
    <v>Bucaramanga</v>
    <v>157</v>
    <v>1237</v>
    <v>Bucaramanga</v>
    <v>mdp/vdpid/5577425273059540993</v>
  </rv>
  <rv s="1">
    <fb>2028</fb>
    <v>9</v>
  </rv>
  <rv s="2">
    <v>128</v>
    <v>7</v>
    <v>385</v>
    <v>7</v>
    <v>0</v>
    <v>Image of San Vicente de Chucurí</v>
  </rv>
  <rv s="1">
    <fb>6.8819444444444002</fb>
    <v>10</v>
  </rv>
  <rv s="3">
    <v>https://www.bing.com/search?q=San+Vicente+de+Chucur%c3%ad&amp;form=skydnc</v>
    <v>Aprenda más con Bing</v>
  </rv>
  <rv s="1">
    <fb>-73.411944444444003</fb>
    <v>10</v>
  </rv>
  <rv s="1">
    <fb>33133</fb>
    <v>9</v>
  </rv>
  <rv s="7">
    <v>#VALUE!</v>
    <v>es-ES</v>
    <v>d9421e0e-03a0-c753-ed8e-c88b4359529c</v>
    <v>536870912</v>
    <v>1</v>
    <v>386</v>
    <v>2</v>
    <v>24</v>
    <v>San Vicente de Chucurí</v>
    <v>5</v>
    <v>6</v>
    <v>Map</v>
    <v>7</v>
    <v>8</v>
    <v>1239</v>
    <v>San Vicente de Chucurí es un municipio ubicado en el departamento de Santander en Colombia, a 87 kilómetros de distancia desde la intersección "La Renta" que lo comunica a Bucaramanga, capital del mismo departamento.</v>
    <v>1123</v>
    <v>1240</v>
    <v>1241</v>
    <v>1242</v>
    <v>1243</v>
    <v>San Vicente de Chucurí</v>
    <v>157</v>
    <v>1244</v>
    <v>San Vicente de Chucurí</v>
    <v>mdp/vdpid/5577612951956750337</v>
  </rv>
  <rv s="2">
    <v>129</v>
    <v>7</v>
    <v>387</v>
    <v>7</v>
    <v>0</v>
    <v>Image of Cimitarra</v>
  </rv>
  <rv s="1">
    <fb>6.3133333333332997</fb>
    <v>10</v>
  </rv>
  <rv s="3">
    <v>https://www.bing.com/search?q=Cimitarra+Santander&amp;form=skydnc</v>
    <v>Aprenda más con Bing</v>
  </rv>
  <rv s="1">
    <fb>-73.95</fb>
    <v>10</v>
  </rv>
  <rv s="1">
    <fb>50892</fb>
    <v>9</v>
  </rv>
  <rv s="12">
    <v>#VALUE!</v>
    <v>es-ES</v>
    <v>2c7850e1-06c5-50e8-bdee-deb045acef05</v>
    <v>536870912</v>
    <v>1</v>
    <v>389</v>
    <v>63</v>
    <v>64</v>
    <v>Cimitarra</v>
    <v>5</v>
    <v>6</v>
    <v>Map</v>
    <v>7</v>
    <v>65</v>
    <v>Cimitarra es un municipio de Colombia, situado en el norte del país, en el departamento de Santander. Se encuentra a 200 km de la capital departamental, Bucaramanga. La población fue fundada en 1536, convirtiéndose en municipio el 26 de ...</v>
    <v>1123</v>
    <v>1246</v>
    <v>1247</v>
    <v>1248</v>
    <v>1249</v>
    <v>Cimitarra</v>
    <v>157</v>
    <v>1250</v>
    <v>Cimitarra</v>
    <v>mdp/vdpid/5577648927106138113</v>
  </rv>
  <rv s="1">
    <fb>1456</fb>
    <v>9</v>
  </rv>
  <rv s="2">
    <v>130</v>
    <v>7</v>
    <v>390</v>
    <v>7</v>
    <v>0</v>
    <v>Image of Sabana de Torres</v>
  </rv>
  <rv s="1">
    <fb>7.3902777777777997</fb>
    <v>10</v>
  </rv>
  <rv s="3">
    <v>https://www.bing.com/search?q=Sabana+de+Torres&amp;form=skydnc</v>
    <v>Aprenda más con Bing</v>
  </rv>
  <rv s="1">
    <fb>-73.500277777777995</fb>
    <v>10</v>
  </rv>
  <rv s="1">
    <fb>27845</fb>
    <v>9</v>
  </rv>
  <rv s="7">
    <v>#VALUE!</v>
    <v>es-ES</v>
    <v>03cad8f1-2571-65ec-096a-ca95079b7eb5</v>
    <v>536870912</v>
    <v>1</v>
    <v>392</v>
    <v>2</v>
    <v>24</v>
    <v>Sabana de Torres</v>
    <v>5</v>
    <v>6</v>
    <v>Map</v>
    <v>7</v>
    <v>8</v>
    <v>1252</v>
    <v>Sabana de Torres es un municipio colombiano del departamento de Santander. Ubicado al noroccidente de la capital del departamento, Bucaramanga, se llega por carretera, aproximadamente 110 km desde Bucaramanga tomando la vía a Barrancabermeja, y ...</v>
    <v>1123</v>
    <v>1253</v>
    <v>1254</v>
    <v>1255</v>
    <v>1256</v>
    <v>Sabana de Torres</v>
    <v>157</v>
    <v>1257</v>
    <v>Sabana de Torres</v>
    <v>mdp/vdpid/5577406688568279041</v>
  </rv>
  <rv s="1">
    <fb>58</fb>
    <v>9</v>
  </rv>
  <rv s="2">
    <v>131</v>
    <v>7</v>
    <v>393</v>
    <v>7</v>
    <v>0</v>
    <v>Image of Málaga</v>
  </rv>
  <rv s="1">
    <fb>6.6994444444444001</fb>
    <v>10</v>
  </rv>
  <rv s="3">
    <v>https://www.bing.com/search?q=M%c3%a1laga+Santander&amp;form=skydnc</v>
    <v>Aprenda más con Bing</v>
  </rv>
  <rv s="1">
    <fb>-72.732777777777997</fb>
    <v>10</v>
  </rv>
  <rv s="1">
    <fb>19884</fb>
    <v>9</v>
  </rv>
  <rv s="7">
    <v>#VALUE!</v>
    <v>es-ES</v>
    <v>59403446-1b20-c02d-8252-069be6e117c7</v>
    <v>536870912</v>
    <v>1</v>
    <v>395</v>
    <v>2</v>
    <v>24</v>
    <v>Málaga</v>
    <v>5</v>
    <v>6</v>
    <v>Map</v>
    <v>7</v>
    <v>8</v>
    <v>1259</v>
    <v>Málaga es un municipio colombiano, capital de la provincia de García Rovira ubicada al sur oriente del departamento de Santander sobre la Troncal Central del Norte y a 124 km de distancia de la ciudad de Bucaramanga.</v>
    <v>1123</v>
    <v>1260</v>
    <v>1261</v>
    <v>1262</v>
    <v>1263</v>
    <v>Málaga</v>
    <v>157</v>
    <v>1264</v>
    <v>Málaga</v>
    <v>mdp/vdpid/5579130248810725377</v>
  </rv>
  <rv s="1">
    <fb>150</fb>
    <v>9</v>
  </rv>
  <rv s="2">
    <v>132</v>
    <v>7</v>
    <v>396</v>
    <v>7</v>
    <v>0</v>
    <v>Image of San Gil</v>
  </rv>
  <rv s="1">
    <fb>6.5549999999999997</fb>
    <v>10</v>
  </rv>
  <rv s="3">
    <v>https://www.bing.com/search?q=San+Gil+Santander&amp;form=skydnc</v>
    <v>Aprenda más con Bing</v>
  </rv>
  <rv s="1">
    <fb>-73.133611111110994</fb>
    <v>10</v>
  </rv>
  <rv s="1">
    <fb>46152</fb>
    <v>9</v>
  </rv>
  <rv s="7">
    <v>#VALUE!</v>
    <v>es-ES</v>
    <v>46984d9d-8c31-e8c3-cb0f-5019bb361ec9</v>
    <v>536870912</v>
    <v>1</v>
    <v>398</v>
    <v>2</v>
    <v>24</v>
    <v>San Gil</v>
    <v>5</v>
    <v>6</v>
    <v>Map</v>
    <v>7</v>
    <v>25</v>
    <v>1266</v>
    <v>San Gil es un municipio colombiano ubicado en el departamento de Santander. Se sitúa sobre el eje vial entre Bucaramanga y Bogotá, y constituye el núcleo urbano más importante del sur del departamento de Santander. En el 2004 fue designado como ...</v>
    <v>1123</v>
    <v>1267</v>
    <v>1268</v>
    <v>1269</v>
    <v>1270</v>
    <v>San Gil</v>
    <v>157</v>
    <v>1271</v>
    <v>San Gil</v>
    <v>mdp/vdpid/5577633091897262081</v>
  </rv>
  <rv s="2">
    <v>133</v>
    <v>7</v>
    <v>399</v>
    <v>7</v>
    <v>0</v>
    <v>Image of El Socorro</v>
  </rv>
  <rv s="1">
    <fb>6.4677777777778003</fb>
    <v>10</v>
  </rv>
  <rv s="3">
    <v>https://www.bing.com/search?q=El+Socorro+Santander&amp;form=skydnc</v>
    <v>Aprenda más con Bing</v>
  </rv>
  <rv s="0">
    <v>805306368</v>
    <v>Alfonso Lineros Rodríguez (Alcalde)</v>
    <v>35cdae96-14a2-150f-02c7-0da13fe4b5a7</v>
    <v>es-CO</v>
    <v>Generic</v>
  </rv>
  <rv s="4">
    <v>91</v>
  </rv>
  <rv s="1">
    <fb>29997</fb>
    <v>9</v>
  </rv>
  <rv s="5">
    <v>#VALUE!</v>
    <v>es-ES</v>
    <v>01e919be-ebf8-cee0-5582-2424304aecc0</v>
    <v>536870912</v>
    <v>1</v>
    <v>401</v>
    <v>2</v>
    <v>3</v>
    <v>El Socorro</v>
    <v>5</v>
    <v>6</v>
    <v>Map</v>
    <v>7</v>
    <v>8</v>
    <v>533</v>
    <v>El Socorro, fundado en 1683, es un municipio del departamento de Santander. Está localizado a 121 kilómetros de Bucaramanga. El municipio tiene una gran influencia en la historia de Colombia y en la constitución de su Estado, pues allí se llevó ...</v>
    <v>1123</v>
    <v>1273</v>
    <v>1274</v>
    <v>1275</v>
    <v>1277</v>
    <v>745</v>
    <v>El Socorro</v>
    <v>157</v>
    <v>1278</v>
    <v>El Socorro</v>
    <v>mdp/vdpid/5577635702465626114</v>
  </rv>
  <rv s="1">
    <fb>250</fb>
    <v>9</v>
  </rv>
  <rv s="2">
    <v>134</v>
    <v>7</v>
    <v>402</v>
    <v>7</v>
    <v>0</v>
    <v>Image of Vélez</v>
  </rv>
  <rv s="1">
    <fb>6.0130555555556002</fb>
    <v>10</v>
  </rv>
  <rv s="3">
    <v>https://www.bing.com/search?q=V%c3%a9lez+Santander&amp;form=skydnc</v>
    <v>Aprenda más con Bing</v>
  </rv>
  <rv s="1">
    <fb>-73.673611111111001</fb>
    <v>10</v>
  </rv>
  <rv s="1">
    <fb>19376</fb>
    <v>9</v>
  </rv>
  <rv s="7">
    <v>#VALUE!</v>
    <v>es-ES</v>
    <v>1bf43880-7a82-3484-d131-3a327e640153</v>
    <v>536870912</v>
    <v>1</v>
    <v>404</v>
    <v>2</v>
    <v>24</v>
    <v>Vélez</v>
    <v>5</v>
    <v>6</v>
    <v>Map</v>
    <v>7</v>
    <v>8</v>
    <v>1280</v>
    <v>Vélez es un municipio colombiano, capital de la provincia homónima, ubicado al sur del departamento Santander, distante unos 231 kilómetros de Bucaramanga, capital del departamento y aproximadamente a 200 kilómetros de Bogotá, y a solo 86 ...</v>
    <v>1123</v>
    <v>1281</v>
    <v>1282</v>
    <v>1283</v>
    <v>1284</v>
    <v>Vélez</v>
    <v>157</v>
    <v>1285</v>
    <v>Vélez</v>
    <v>mdp/vdpid/5577679472812883969</v>
  </rv>
  <rv s="1">
    <fb>10917</fb>
    <v>9</v>
  </rv>
  <rv s="0">
    <v>536870912</v>
    <v>Sincelejo</v>
    <v>21d0cd93-77e9-2ee0-a57e-1dbd351f1563</v>
    <v>es-CO</v>
    <v>Map</v>
  </rv>
  <rv s="2">
    <v>135</v>
    <v>7</v>
    <v>405</v>
    <v>7</v>
    <v>0</v>
    <v>Image of Sucre</v>
  </rv>
  <rv s="3">
    <v>https://www.bing.com/search?q=Sucre+Colombia&amp;form=skydnc</v>
    <v>Aprenda más con Bing</v>
  </rv>
  <rv s="0">
    <v>805306368</v>
    <v>Edgar Enrique Martinez Romero (Gobernador)</v>
    <v>aa77b9eb-94b4-ce74-3bb3-6a51d710f1d1</v>
    <v>es-CO</v>
    <v>Generic</v>
  </rv>
  <rv s="4">
    <v>92</v>
  </rv>
  <rv s="1">
    <fb>949252</fb>
    <v>9</v>
  </rv>
  <rv s="1">
    <fb>167769</fb>
    <v>9</v>
  </rv>
  <rv s="6">
    <v>#VALUE!</v>
    <v>es-ES</v>
    <v>771a5a65-ef7a-6112-a7e0-0a670038add2</v>
    <v>536870912</v>
    <v>1</v>
    <v>407</v>
    <v>14</v>
    <v>15</v>
    <v>Sucre</v>
    <v>5</v>
    <v>6</v>
    <v>Map</v>
    <v>7</v>
    <v>16</v>
    <v>CO-SUC</v>
    <v>1287</v>
    <v>1288</v>
    <v>1288</v>
    <v>Sucre es uno de los treinta y dos departamentos que forman la República de Colombia. Su capital es Sincelejo. Está ubicado al norte del país, en la región Caribe. Con 10 670 km² es el sexto departamento menos extenso —por delante de Caldas, ...</v>
    <v>1289</v>
    <v>1290</v>
    <v>1292</v>
    <v>Sucre</v>
    <v>157</v>
    <v>1293</v>
    <v>1294</v>
    <v>Sucre</v>
    <v>mdp/vdpid/10106941</v>
  </rv>
  <rv s="1">
    <fb>275</fb>
    <v>9</v>
  </rv>
  <rv s="0">
    <v>536870912</v>
    <v>Sucre</v>
    <v>771a5a65-ef7a-6112-a7e0-0a670038add2</v>
    <v>es-CO</v>
    <v>Map</v>
  </rv>
  <rv s="2">
    <v>136</v>
    <v>7</v>
    <v>408</v>
    <v>7</v>
    <v>0</v>
    <v>Image of Sincelejo</v>
  </rv>
  <rv s="1">
    <fb>9.2994444444444007</fb>
    <v>10</v>
  </rv>
  <rv s="3">
    <v>https://www.bing.com/search?q=Sincelejo&amp;form=skydnc</v>
    <v>Aprenda más con Bing</v>
  </rv>
  <rv s="0">
    <v>805306368</v>
    <v>Andrés Gómez Martínez (Alcalde)</v>
    <v>acdefa39-47cc-bca6-f2b3-07a983d74a19</v>
    <v>es-CO</v>
    <v>Generic</v>
  </rv>
  <rv s="4">
    <v>93</v>
  </rv>
  <rv s="1">
    <fb>-75.395833333333002</fb>
    <v>10</v>
  </rv>
  <rv s="1">
    <fb>286716</fb>
    <v>9</v>
  </rv>
  <rv s="5">
    <v>#VALUE!</v>
    <v>es-ES</v>
    <v>21d0cd93-77e9-2ee0-a57e-1dbd351f1563</v>
    <v>536870912</v>
    <v>1</v>
    <v>409</v>
    <v>2</v>
    <v>3</v>
    <v>Sincelejo</v>
    <v>5</v>
    <v>6</v>
    <v>Map</v>
    <v>7</v>
    <v>8</v>
    <v>1296</v>
    <v>Sincelejo es un municipio colombiano, capital del departamento de Sucre. Se encuentra ubicado al noroeste del país, en el Caribe Colombiano exactamente en la subregión Sabanas. El municipio es la capital de Sucre desde 1966, cuando este ...</v>
    <v>1297</v>
    <v>1298</v>
    <v>1299</v>
    <v>1300</v>
    <v>1302</v>
    <v>1303</v>
    <v>Sincelejo</v>
    <v>157</v>
    <v>1304</v>
    <v>Sincelejo</v>
    <v>mdp/vdpid/5576330823033946114</v>
  </rv>
  <rv s="1">
    <fb>264</fb>
    <v>9</v>
  </rv>
  <rv s="2">
    <v>137</v>
    <v>7</v>
    <v>410</v>
    <v>7</v>
    <v>0</v>
    <v>Image of Corozal</v>
  </rv>
  <rv s="1">
    <fb>9.3169444444444007</fb>
    <v>10</v>
  </rv>
  <rv s="3">
    <v>https://www.bing.com/search?q=Corozal+Sucre&amp;form=skydnc</v>
    <v>Aprenda más con Bing</v>
  </rv>
  <rv s="0">
    <v>805306368</v>
    <v>Anibal de la Ossa (Alcalde)</v>
    <v>1319bcc0-4de5-f946-d19f-4f1eff3d55fe</v>
    <v>es-CO</v>
    <v>Generic</v>
  </rv>
  <rv s="4">
    <v>94</v>
  </rv>
  <rv s="1">
    <fb>-75.293333333332995</fb>
    <v>10</v>
  </rv>
  <rv s="1">
    <fb>53291</fb>
    <v>9</v>
  </rv>
  <rv s="5">
    <v>#VALUE!</v>
    <v>es-ES</v>
    <v>6aad032c-97ae-7ca8-2271-c492c7342863</v>
    <v>536870912</v>
    <v>1</v>
    <v>412</v>
    <v>2</v>
    <v>3</v>
    <v>Corozal</v>
    <v>5</v>
    <v>6</v>
    <v>Map</v>
    <v>7</v>
    <v>85</v>
    <v>1306</v>
    <v>Corozal es un municipio de Colombia ubicado en el departamento de Sucre. Según el censo de 2018, tiene una población de 65. 848 habitantes. Forma parte de la región Caribe de Colombia y de la subregión geográfica Sabanas. Es conocida como "la ...</v>
    <v>1297</v>
    <v>1307</v>
    <v>1308</v>
    <v>1309</v>
    <v>1311</v>
    <v>1312</v>
    <v>Corozal</v>
    <v>157</v>
    <v>1313</v>
    <v>Corozal</v>
    <v>mdp/vdpid/5576331405169786881</v>
  </rv>
  <rv s="1">
    <fb>826</fb>
    <v>9</v>
  </rv>
  <rv s="2">
    <v>138</v>
    <v>7</v>
    <v>413</v>
    <v>7</v>
    <v>0</v>
    <v>Image of Majagual</v>
  </rv>
  <rv s="1">
    <fb>8.5408333333332997</fb>
    <v>10</v>
  </rv>
  <rv s="3">
    <v>https://www.bing.com/search?q=Majagual&amp;form=skydnc</v>
    <v>Aprenda más con Bing</v>
  </rv>
  <rv s="1">
    <fb>-74.629722222222</fb>
    <v>10</v>
  </rv>
  <rv s="1">
    <fb>33258</fb>
    <v>9</v>
  </rv>
  <rv s="7">
    <v>#VALUE!</v>
    <v>es-ES</v>
    <v>84493330-fea6-ad24-e65c-6d53ba129b54</v>
    <v>536870912</v>
    <v>1</v>
    <v>415</v>
    <v>2</v>
    <v>24</v>
    <v>Majagual</v>
    <v>5</v>
    <v>6</v>
    <v>Map</v>
    <v>7</v>
    <v>59</v>
    <v>1315</v>
    <v>Majagual, es un municipio colombiano del departamento de Sucre ubicado en la subregión de La Mojana. Es conocido como «El Corazón de La Mojana». Ubicado en el Caribe Colombiano, en el sur del departamento de Sucre, con una extensión de 876 km² ...</v>
    <v>1297</v>
    <v>1316</v>
    <v>1317</v>
    <v>1318</v>
    <v>1319</v>
    <v>Majagual</v>
    <v>157</v>
    <v>1320</v>
    <v>Majagual</v>
    <v>mdp/vdpid/5576439808231735298</v>
  </rv>
  <rv s="1">
    <fb>881</fb>
    <v>9</v>
  </rv>
  <rv s="2">
    <v>139</v>
    <v>7</v>
    <v>416</v>
    <v>7</v>
    <v>0</v>
    <v>Image of San Marcos</v>
  </rv>
  <rv s="1">
    <fb>8.6622222222221996</fb>
    <v>10</v>
  </rv>
  <rv s="3">
    <v>https://www.bing.com/search?q=San+Marcos+Sucre&amp;form=skydnc</v>
    <v>Aprenda más con Bing</v>
  </rv>
  <rv s="1">
    <fb>-75.128888888888994</fb>
    <v>10</v>
  </rv>
  <rv s="1">
    <fb>60735</fb>
    <v>9</v>
  </rv>
  <rv s="7">
    <v>#VALUE!</v>
    <v>es-ES</v>
    <v>08e723c2-cc67-5e64-7399-a5694c50e1e0</v>
    <v>536870912</v>
    <v>1</v>
    <v>418</v>
    <v>2</v>
    <v>24</v>
    <v>San Marcos</v>
    <v>5</v>
    <v>6</v>
    <v>Map</v>
    <v>7</v>
    <v>25</v>
    <v>1322</v>
    <v>San Marcos es un municipio colombiano ubicado en la región Caribe y al suroeste del departamento de Sucre, entre el río San Jorge y la sabana. Desde el siglo XIX es conocido como «La Perla del San Jorge» por ser la más importante población del ...</v>
    <v>1297</v>
    <v>1323</v>
    <v>1324</v>
    <v>1325</v>
    <v>1326</v>
    <v>San Marcos</v>
    <v>157</v>
    <v>1327</v>
    <v>San Marcos</v>
    <v>mdp/vdpid/5576425652153745410</v>
  </rv>
  <rv s="1">
    <fb>1049</fb>
    <v>9</v>
  </rv>
  <rv s="2">
    <v>140</v>
    <v>7</v>
    <v>419</v>
    <v>7</v>
    <v>0</v>
    <v>Image of San Onofre</v>
  </rv>
  <rv s="1">
    <fb>9.7372222222222007</fb>
    <v>10</v>
  </rv>
  <rv s="3">
    <v>https://www.bing.com/search?q=San+Onofre+Sucre&amp;form=skydnc</v>
    <v>Aprenda más con Bing</v>
  </rv>
  <rv s="1">
    <fb>-75.525555555555997</fb>
    <v>10</v>
  </rv>
  <rv s="1">
    <fb>46383</fb>
    <v>9</v>
  </rv>
  <rv s="7">
    <v>#VALUE!</v>
    <v>es-ES</v>
    <v>653e3506-6ada-c6f5-b403-d1b5d92ec5b8</v>
    <v>536870912</v>
    <v>1</v>
    <v>421</v>
    <v>2</v>
    <v>24</v>
    <v>San Onofre</v>
    <v>5</v>
    <v>6</v>
    <v>Map</v>
    <v>7</v>
    <v>123</v>
    <v>1329</v>
    <v>San Onofre es un municipio colombiano, siendo uno de los más antiguos del departamento de Sucre. El casco urbano se encuentra en cercanías al Golfo de Morrosquillo y a espaldas de las faldas de las Serranías de San Jacinto.</v>
    <v>1297</v>
    <v>1330</v>
    <v>1331</v>
    <v>1332</v>
    <v>1333</v>
    <v>San Onofre</v>
    <v>157</v>
    <v>1334</v>
    <v>San Onofre</v>
    <v>mdp/vdpid/5576304499229720577</v>
  </rv>
  <rv s="1">
    <fb>407</fb>
    <v>9</v>
  </rv>
  <rv s="2">
    <v>141</v>
    <v>7</v>
    <v>422</v>
    <v>7</v>
    <v>0</v>
    <v>Image of Sincé</v>
  </rv>
  <rv s="1">
    <fb>9.2447222222221992</fb>
    <v>10</v>
  </rv>
  <rv s="3">
    <v>https://www.bing.com/search?q=Sinc%c3%a9&amp;form=skydnc</v>
    <v>Aprenda más con Bing</v>
  </rv>
  <rv s="1">
    <fb>-75.145833333333002</fb>
    <v>10</v>
  </rv>
  <rv s="1">
    <fb>33688</fb>
    <v>9</v>
  </rv>
  <rv s="7">
    <v>#VALUE!</v>
    <v>es-ES</v>
    <v>1db07bd9-cf59-2889-a231-3e51bf83c754</v>
    <v>536870912</v>
    <v>1</v>
    <v>424</v>
    <v>2</v>
    <v>24</v>
    <v>Sincé</v>
    <v>5</v>
    <v>6</v>
    <v>Map</v>
    <v>7</v>
    <v>59</v>
    <v>1336</v>
    <v>San Luis de Sincé en un municipio colombiano ubicado en la subregión de La Sabana del departamento de Sucre, a 30 km al sureste de Sincelejo. Fue fundado el 10 de noviembre de 1775 por don Antonio de la Torre y Miranda. Entre los principales ...</v>
    <v>1297</v>
    <v>1337</v>
    <v>1338</v>
    <v>1339</v>
    <v>1340</v>
    <v>Sincé</v>
    <v>157</v>
    <v>1341</v>
    <v>Sincé</v>
    <v>mdp/vdpid/5576358863818457089</v>
  </rv>
  <rv s="1">
    <fb>277</fb>
    <v>9</v>
  </rv>
  <rv s="2">
    <v>142</v>
    <v>7</v>
    <v>425</v>
    <v>7</v>
    <v>0</v>
    <v>Image of Toluviejo</v>
  </rv>
  <rv s="1">
    <fb>9.4519444444444005</fb>
    <v>10</v>
  </rv>
  <rv s="3">
    <v>https://www.bing.com/search?q=Tol%c3%ba+Viejo&amp;form=skydnc</v>
    <v>Aprenda más con Bing</v>
  </rv>
  <rv s="1">
    <fb>-75.439444444444007</fb>
    <v>10</v>
  </rv>
  <rv s="1">
    <fb>20033</fb>
    <v>9</v>
  </rv>
  <rv s="7">
    <v>#VALUE!</v>
    <v>es-ES</v>
    <v>899f526e-a73a-c3eb-f247-3e6d61f734a3</v>
    <v>536870912</v>
    <v>1</v>
    <v>427</v>
    <v>2</v>
    <v>24</v>
    <v>Toluviejo</v>
    <v>5</v>
    <v>6</v>
    <v>Map</v>
    <v>7</v>
    <v>8</v>
    <v>1343</v>
    <v>Toluviejo es un municipio colombiano ubicado al norte del departamento de Sucre en la Región Caribe. Se sitúa a 18 km de Sincelejo, la capital departamental.</v>
    <v>1297</v>
    <v>1344</v>
    <v>1345</v>
    <v>1346</v>
    <v>1347</v>
    <v>Toluviejo</v>
    <v>157</v>
    <v>1348</v>
    <v>Toluviejo</v>
    <v>mdp/vdpid/5576327925944287233</v>
  </rv>
  <rv s="1">
    <fb>23562</fb>
    <v>9</v>
  </rv>
  <rv s="0">
    <v>536870912</v>
    <v>Ibagué</v>
    <v>43cc9ce9-0faf-3537-c0bc-350b79430d14</v>
    <v>es-CO</v>
    <v>Map</v>
  </rv>
  <rv s="2">
    <v>143</v>
    <v>7</v>
    <v>428</v>
    <v>7</v>
    <v>0</v>
    <v>Image of Tolima</v>
  </rv>
  <rv s="3">
    <v>https://www.bing.com/search?q=Tolima&amp;form=skydnc</v>
    <v>Aprenda más con Bing</v>
  </rv>
  <rv s="0">
    <v>805306368</v>
    <v>Adriana Magali Matiz (Gobernador)</v>
    <v>77e2cd15-998e-4891-712d-11d002318a3d</v>
    <v>es-CO</v>
    <v>Generic</v>
  </rv>
  <rv s="4">
    <v>95</v>
  </rv>
  <rv s="1">
    <fb>1339998</fb>
    <v>9</v>
  </rv>
  <rv s="1">
    <fb>363637</fb>
    <v>9</v>
  </rv>
  <rv s="6">
    <v>#VALUE!</v>
    <v>es-ES</v>
    <v>9f5d3f6f-e4de-1042-2cb7-b84911d028d4</v>
    <v>536870912</v>
    <v>1</v>
    <v>430</v>
    <v>14</v>
    <v>15</v>
    <v>Tolima</v>
    <v>5</v>
    <v>6</v>
    <v>Map</v>
    <v>7</v>
    <v>16</v>
    <v>CO-TOL</v>
    <v>1350</v>
    <v>1351</v>
    <v>1351</v>
    <v>Tolima es uno de los treinta y dos departamentos que forman la República de Colombia. Su capital es Ibagué. Está ubicado en el centro-oeste del país, en la región andina. El río Magdalena atraviesa el territorio de sur a norte.</v>
    <v>1352</v>
    <v>1353</v>
    <v>1355</v>
    <v>Tolima</v>
    <v>157</v>
    <v>1356</v>
    <v>1357</v>
    <v>Tolima</v>
    <v>mdp/vdpid/33584</v>
  </rv>
  <rv s="1">
    <fb>1498</fb>
    <v>9</v>
  </rv>
  <rv s="0">
    <v>536870912</v>
    <v>Tolima</v>
    <v>9f5d3f6f-e4de-1042-2cb7-b84911d028d4</v>
    <v>es-CO</v>
    <v>Map</v>
  </rv>
  <rv s="2">
    <v>144</v>
    <v>7</v>
    <v>431</v>
    <v>7</v>
    <v>0</v>
    <v>Image of Ibagué</v>
  </rv>
  <rv s="1">
    <fb>4.4377777777778</fb>
    <v>10</v>
  </rv>
  <rv s="3">
    <v>https://www.bing.com/search?q=Ibagu%c3%a9&amp;form=skydnc</v>
    <v>Aprenda más con Bing</v>
  </rv>
  <rv s="0">
    <v>805306368</v>
    <v>Johana Aranda (Alcalde)</v>
    <v>50c9619c-a3d7-cd9a-1e6f-0d9d3beddf5b</v>
    <v>es-CO</v>
    <v>Generic</v>
  </rv>
  <rv s="4">
    <v>96</v>
  </rv>
  <rv s="1">
    <fb>-75.200555555555994</fb>
    <v>10</v>
  </rv>
  <rv s="1">
    <fb>541101</fb>
    <v>9</v>
  </rv>
  <rv s="5">
    <v>#VALUE!</v>
    <v>es-ES</v>
    <v>43cc9ce9-0faf-3537-c0bc-350b79430d14</v>
    <v>536870912</v>
    <v>1</v>
    <v>432</v>
    <v>2</v>
    <v>3</v>
    <v>Ibagué</v>
    <v>5</v>
    <v>6</v>
    <v>Map</v>
    <v>7</v>
    <v>25</v>
    <v>1359</v>
    <v>Ibagué es un municipio colombiano ubicado en el centro-occidente de Colombia, sobre la Cordillera Central de los Andes entre el Cañón del Combeima y el Valle del Magdalena, en cercanías del Nevado del Tolima. Es la capital del departamento de ...</v>
    <v>1360</v>
    <v>1361</v>
    <v>1362</v>
    <v>1363</v>
    <v>1365</v>
    <v>1366</v>
    <v>Ibagué</v>
    <v>157</v>
    <v>1367</v>
    <v>Ibagué</v>
    <v>mdp/vdpid/5580647428828168196</v>
  </rv>
  <rv s="1">
    <fb>22140</fb>
    <v>9</v>
  </rv>
  <rv s="0">
    <v>536870912</v>
    <v>Cali</v>
    <v>42b755d2-073a-e717-a09f-2c2eca96b851</v>
    <v>es-CO</v>
    <v>Map</v>
  </rv>
  <rv s="2">
    <v>145</v>
    <v>7</v>
    <v>433</v>
    <v>7</v>
    <v>0</v>
    <v>Image of Valle del Cauca</v>
  </rv>
  <rv s="3">
    <v>https://www.bing.com/search?q=Valle+del+Cauca&amp;form=skydnc</v>
    <v>Aprenda más con Bing</v>
  </rv>
  <rv s="0">
    <v>805306368</v>
    <v>Clara Luz Roldán (Gobernador)</v>
    <v>26671826-82ea-fde1-f07d-b2c8ce0b4e33</v>
    <v>es-CO</v>
    <v>Generic</v>
  </rv>
  <rv s="4">
    <v>97</v>
  </rv>
  <rv s="1">
    <fb>4532152</fb>
    <v>9</v>
  </rv>
  <rv s="1">
    <fb>1030633</fb>
    <v>9</v>
  </rv>
  <rv s="6">
    <v>#VALUE!</v>
    <v>es-ES</v>
    <v>ce6e3742-88ee-970c-b7e9-de685afbebe8</v>
    <v>536870912</v>
    <v>1</v>
    <v>435</v>
    <v>14</v>
    <v>15</v>
    <v>Valle del Cauca</v>
    <v>5</v>
    <v>6</v>
    <v>Map</v>
    <v>7</v>
    <v>16</v>
    <v>CO-VAC</v>
    <v>1369</v>
    <v>1370</v>
    <v>1370</v>
    <v>Valle del Cauca es uno de los treinta y dos departamentos que forman la República de Colombia. Su capital es Santiago de Cali. Está ubicado en las regiones Andina y del Pacífico. Con 4 622 132 habitantes en 2023, es el segundo departamento más ...</v>
    <v>1371</v>
    <v>1372</v>
    <v>1374</v>
    <v>Valle del Cauca</v>
    <v>157</v>
    <v>1375</v>
    <v>1376</v>
    <v>Valle del Cauca</v>
    <v>mdp/vdpid/34749</v>
  </rv>
  <rv s="1">
    <fb>1123</fb>
    <v>9</v>
  </rv>
  <rv s="0">
    <v>536870912</v>
    <v>Valle del Cauca</v>
    <v>ce6e3742-88ee-970c-b7e9-de685afbebe8</v>
    <v>es-CO</v>
    <v>Map</v>
  </rv>
  <rv s="2">
    <v>146</v>
    <v>7</v>
    <v>436</v>
    <v>7</v>
    <v>0</v>
    <v>Image of Palmira</v>
  </rv>
  <rv s="1">
    <fb>3.5347222222222001</fb>
    <v>10</v>
  </rv>
  <rv s="3">
    <v>https://www.bing.com/search?q=Palmira+Valle+del+Cauca&amp;form=skydnc</v>
    <v>Aprenda más con Bing</v>
  </rv>
  <rv s="0">
    <v>805306368</v>
    <v>Oscar Escobar (Alcalde)</v>
    <v>7eab9014-7db3-afd4-2de7-ce2a54f8d727</v>
    <v>es-CO</v>
    <v>Generic</v>
  </rv>
  <rv s="4">
    <v>98</v>
  </rv>
  <rv s="1">
    <fb>-76.295555555556007</fb>
    <v>10</v>
  </rv>
  <rv s="1">
    <fb>358895</fb>
    <v>9</v>
  </rv>
  <rv s="5">
    <v>#VALUE!</v>
    <v>es-ES</v>
    <v>f63350da-fa34-4acc-cb23-e1073b952d9f</v>
    <v>536870912</v>
    <v>1</v>
    <v>437</v>
    <v>2</v>
    <v>3</v>
    <v>Palmira</v>
    <v>5</v>
    <v>6</v>
    <v>Map</v>
    <v>7</v>
    <v>95</v>
    <v>1378</v>
    <v>Palmira es un municipio colombiano del departamento del Valle del Cauca en Colombia; localizado en la región sur del departamento. Es conocido como La Villa de las Palmas. Se encuentra ubicado en la ribera oriental del río Cauca, hace parte del ...</v>
    <v>1379</v>
    <v>1380</v>
    <v>1381</v>
    <v>1382</v>
    <v>1384</v>
    <v>1385</v>
    <v>Palmira</v>
    <v>157</v>
    <v>1386</v>
    <v>Palmira</v>
    <v>mdp/vdpid/5580449516701614081</v>
  </rv>
  <rv s="1">
    <fb>910.55</fb>
    <v>9</v>
  </rv>
  <rv s="2">
    <v>147</v>
    <v>7</v>
    <v>438</v>
    <v>7</v>
    <v>0</v>
    <v>Image of Tuluá</v>
  </rv>
  <rv s="1">
    <fb>4.0847222222221999</fb>
    <v>10</v>
  </rv>
  <rv s="3">
    <v>https://www.bing.com/search?q=Tulu%c3%a1&amp;form=skydnc</v>
    <v>Aprenda más con Bing</v>
  </rv>
  <rv s="0">
    <v>805306368</v>
    <v>John Jairo Gomez Aguirre (Alcalde)</v>
    <v>7b58c670-7e41-325b-c053-95b4aac8a4ed</v>
    <v>es-CO</v>
    <v>Generic</v>
  </rv>
  <rv s="4">
    <v>99</v>
  </rv>
  <rv s="1">
    <fb>-76.198611111111006</fb>
    <v>10</v>
  </rv>
  <rv s="1">
    <fb>219138</fb>
    <v>9</v>
  </rv>
  <rv s="5">
    <v>#VALUE!</v>
    <v>es-ES</v>
    <v>b8ca6c04-5a33-791a-899a-9e92079c5bd7</v>
    <v>536870912</v>
    <v>1</v>
    <v>439</v>
    <v>2</v>
    <v>3</v>
    <v>Tuluá</v>
    <v>5</v>
    <v>6</v>
    <v>Map</v>
    <v>7</v>
    <v>8</v>
    <v>1388</v>
    <v>Tuluá es un municipio colombiano ubicado en la región central del departamento del Valle del Cauca. Es un motor comercial, demográfico, cultural, industrial, financiero y agropecuario del centro del departamento. Posee una cámara de comercio, es ...</v>
    <v>1379</v>
    <v>1389</v>
    <v>1390</v>
    <v>1391</v>
    <v>1393</v>
    <v>1394</v>
    <v>Tuluá</v>
    <v>157</v>
    <v>1395</v>
    <v>Tuluá</v>
    <v>mdp/vdpid/5580427498568548356</v>
  </rv>
</rvData>
</file>

<file path=xl/richData/rdrichvaluestructure.xml><?xml version="1.0" encoding="utf-8"?>
<rvStructures xmlns="http://schemas.microsoft.com/office/spreadsheetml/2017/richdata" count="20">
  <s t="_linkedentity2">
    <k n="%EntityServiceId" t="i"/>
    <k n="_DisplayString" t="s"/>
    <k n="%EntityId" t="s"/>
    <k n="%EntityCulture" t="s"/>
    <k n="_Icon" t="s"/>
  </s>
  <s t="_formattednumber">
    <k n="_Format" t="spb"/>
  </s>
  <s t="_webimage">
    <k n="WebImageIdentifier" t="i"/>
    <k n="_Provider" t="spb"/>
    <k n="Attribution" t="spb"/>
    <k n="CalcOrigin" t="i"/>
    <k n="ComputedImage" t="b"/>
    <k n="Text" t="s"/>
  </s>
  <s t="_hyperlink">
    <k n="Address" t="s"/>
    <k n="Text" t="s"/>
  </s>
  <s t="_array">
    <k n="array" t="a"/>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Imagen" t="r"/>
    <k n="Latitud" t="r"/>
    <k n="LearnMoreOnLink" t="r"/>
    <k n="Líder(es)"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Abreviatura" t="s"/>
    <k n="`Área" t="r"/>
    <k n="Capital/ciudad principal" t="r"/>
    <k n="Ciudad más grande" t="r"/>
    <k n="Descripción" t="s"/>
    <k n="Imagen" t="r"/>
    <k n="LearnMoreOnLink" t="r"/>
    <k n="Líder(es)" t="r"/>
    <k n="Nombre" t="s"/>
    <k n="País o región" t="r"/>
    <k n="Población" t="r"/>
    <k n="Unidades de vivienda"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Imagen" t="r"/>
    <k n="Latitud" t="r"/>
    <k n="LearnMoreOnLink"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Abreviatura" t="s"/>
    <k n="`Área" t="r"/>
    <k n="Capital/ciudad principal" t="r"/>
    <k n="Ciudad más grande" t="r"/>
    <k n="Descripción" t="s"/>
    <k n="Idioma oficial" t="r"/>
    <k n="Imagen" t="r"/>
    <k n="LearnMoreOnLink" t="r"/>
    <k n="Líder(es)" t="r"/>
    <k n="Nombre" t="s"/>
    <k n="País o región" t="r"/>
    <k n="Población" t="r"/>
    <k n="Unidades de vivienda"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División de administración 2 (condado/distrito/otro)" t="r"/>
    <k n="Imagen" t="r"/>
    <k n="Latitud" t="r"/>
    <k n="LearnMoreOnLink"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División de administración 2 (condado/distrito/otro)" t="r"/>
    <k n="Imagen" t="r"/>
    <k n="Latitud" t="r"/>
    <k n="LearnMoreOnLink" t="r"/>
    <k n="Longitud" t="r"/>
    <k n="Nombre" t="s"/>
    <k n="País o reg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División de administración 2 (condado/distrito/otro)" t="r"/>
    <k n="Imagen" t="r"/>
    <k n="Latitud" t="r"/>
    <k n="LearnMoreOnLink" t="r"/>
    <k n="Líder(es)"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Descripción" t="s"/>
    <k n="División de administración 1 (estado/provincia/otro)" t="r"/>
    <k n="Imagen" t="r"/>
    <k n="Latitud" t="r"/>
    <k n="LearnMoreOnLink"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Imagen" t="r"/>
    <k n="Latitud" t="r"/>
    <k n="LearnMoreOnLink" t="r"/>
    <k n="Longitud" t="r"/>
    <k n="Nombre" t="s"/>
    <k n="País o reg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División de administración 1 (estado/provincia/otro)" t="r"/>
    <k n="Imagen" t="r"/>
    <k n="Latitud" t="r"/>
    <k n="LearnMoreOnLink" t="r"/>
    <k n="Líder(es)" t="r"/>
    <k n="Longitud" t="r"/>
    <k n="Nombre" t="s"/>
    <k n="País o región" t="r"/>
    <k n="Población" t="r"/>
    <k n="UniqueName" t="s"/>
    <k n="VDPID/VSID" t="s"/>
    <k n="Zona(s) horaria(s)" t="r"/>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Descripción" t="s"/>
    <k n="División de administración 1 (estado/provincia/otro)" t="r"/>
    <k n="División de administración 2 (condado/distrito/otro)" t="r"/>
    <k n="Imagen" t="r"/>
    <k n="Latitud" t="r"/>
    <k n="LearnMoreOnLink" t="r"/>
    <k n="Líder(es)"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Descripción" t="s"/>
    <k n="Imagen" t="r"/>
    <k n="Latitud" t="r"/>
    <k n="LearnMoreOnLink" t="r"/>
    <k n="Longitud" t="r"/>
    <k n="Nombre" t="s"/>
    <k n="País o reg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Descripción" t="s"/>
    <k n="División de administración 1 (estado/provincia/otro)" t="r"/>
    <k n="Imagen" t="r"/>
    <k n="Latitud" t="r"/>
    <k n="LearnMoreOnLink" t="r"/>
    <k n="Líder(es)" t="r"/>
    <k n="Longitud" t="r"/>
    <k n="Nombre" t="s"/>
    <k n="País o región" t="r"/>
    <k n="Población"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Descripción" t="s"/>
    <k n="División de administración 1 (estado/provincia/otro)" t="r"/>
    <k n="División de administración 2 (condado/distrito/otro)" t="r"/>
    <k n="Imagen" t="r"/>
    <k n="Latitud" t="r"/>
    <k n="LearnMoreOnLink" t="r"/>
    <k n="Longitud" t="r"/>
    <k n="Nombre" t="s"/>
    <k n="País o región" t="r"/>
    <k n="UniqueName"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Área" t="r"/>
    <k n="Descripción" t="s"/>
    <k n="Latitud" t="r"/>
    <k n="LearnMoreOnLink" t="r"/>
    <k n="Líder(es)" t="r"/>
    <k n="Longitud" t="r"/>
    <k n="Nombre" t="s"/>
    <k n="País o región" t="r"/>
    <k n="Población" t="r"/>
    <k n="UniqueName" t="s"/>
    <k n="VDPID/VSID" t="s"/>
  </s>
</rvStructures>
</file>

<file path=xl/richData/rdsupportingpropertybag.xml><?xml version="1.0" encoding="utf-8"?>
<supportingPropertyBags xmlns="http://schemas.microsoft.com/office/spreadsheetml/2017/richdata2">
  <spbArrays count="15">
    <a count="26">
      <v t="s">%EntityServiceId</v>
      <v t="s">%IsRefreshable</v>
      <v t="s">_CanonicalPropertyNames</v>
      <v t="s">%EntityCulture</v>
      <v t="s">%EntityId</v>
      <v t="s">_Icon</v>
      <v t="s">_Provider</v>
      <v t="s">_Attribution</v>
      <v t="s">_Display</v>
      <v t="s">Nombre</v>
      <v t="s">_Format</v>
      <v t="s">División de administración 1 (estado/provincia/otro)</v>
      <v t="s">País o región</v>
      <v t="s">Líder(es)</v>
      <v t="s">_SubLabel</v>
      <v t="s">Población</v>
      <v t="s">`Área</v>
      <v t="s">Latitud</v>
      <v t="s">Longitud</v>
      <v t="s">_Flags</v>
      <v t="s">VDPID/VSID</v>
      <v t="s">UniqueName</v>
      <v t="s">_DisplayString</v>
      <v t="s">LearnMoreOnLink</v>
      <v t="s">Imagen</v>
      <v t="s">Descripción</v>
    </a>
    <a count="27">
      <v t="s">%EntityServiceId</v>
      <v t="s">%IsRefreshable</v>
      <v t="s">_CanonicalPropertyNames</v>
      <v t="s">%EntityCulture</v>
      <v t="s">%EntityId</v>
      <v t="s">_Icon</v>
      <v t="s">_Provider</v>
      <v t="s">_Attribution</v>
      <v t="s">_Display</v>
      <v t="s">Nombre</v>
      <v t="s">_Format</v>
      <v t="s">Capital/ciudad principal</v>
      <v t="s">Líder(es)</v>
      <v t="s">País o región</v>
      <v t="s">_SubLabel</v>
      <v t="s">Población</v>
      <v t="s">`Área</v>
      <v t="s">Abreviatura</v>
      <v t="s">Ciudad más grande</v>
      <v t="s">Unidades de vivienda</v>
      <v t="s">_Flags</v>
      <v t="s">VDPID/VSID</v>
      <v t="s">UniqueName</v>
      <v t="s">_DisplayString</v>
      <v t="s">LearnMoreOnLink</v>
      <v t="s">Imagen</v>
      <v t="s">Descripción</v>
    </a>
    <a count="25">
      <v t="s">%EntityServiceId</v>
      <v t="s">%IsRefreshable</v>
      <v t="s">_CanonicalPropertyNames</v>
      <v t="s">%EntityCulture</v>
      <v t="s">%EntityId</v>
      <v t="s">_Icon</v>
      <v t="s">_Provider</v>
      <v t="s">_Attribution</v>
      <v t="s">_Display</v>
      <v t="s">Nombre</v>
      <v t="s">_Format</v>
      <v t="s">División de administración 1 (estado/provincia/otro)</v>
      <v t="s">País o región</v>
      <v t="s">_SubLabel</v>
      <v t="s">Población</v>
      <v t="s">`Área</v>
      <v t="s">Latitud</v>
      <v t="s">Longitud</v>
      <v t="s">_Flags</v>
      <v t="s">VDPID/VSID</v>
      <v t="s">UniqueName</v>
      <v t="s">_DisplayString</v>
      <v t="s">LearnMoreOnLink</v>
      <v t="s">Imagen</v>
      <v t="s">Descripción</v>
    </a>
    <a count="28">
      <v t="s">%EntityServiceId</v>
      <v t="s">%IsRefreshable</v>
      <v t="s">_CanonicalPropertyNames</v>
      <v t="s">%EntityCulture</v>
      <v t="s">%EntityId</v>
      <v t="s">_Icon</v>
      <v t="s">_Provider</v>
      <v t="s">_Attribution</v>
      <v t="s">_Display</v>
      <v t="s">Nombre</v>
      <v t="s">_Format</v>
      <v t="s">Capital/ciudad principal</v>
      <v t="s">Líder(es)</v>
      <v t="s">País o región</v>
      <v t="s">_SubLabel</v>
      <v t="s">Población</v>
      <v t="s">`Área</v>
      <v t="s">Abreviatura</v>
      <v t="s">Ciudad más grande</v>
      <v t="s">Idioma oficial</v>
      <v t="s">Unidades de vivienda</v>
      <v t="s">_Flags</v>
      <v t="s">VDPID/VSID</v>
      <v t="s">UniqueName</v>
      <v t="s">_DisplayString</v>
      <v t="s">LearnMoreOnLink</v>
      <v t="s">Imagen</v>
      <v t="s">Descripción</v>
    </a>
    <a count="26">
      <v t="s">%EntityServiceId</v>
      <v t="s">%IsRefreshable</v>
      <v t="s">_CanonicalPropertyNames</v>
      <v t="s">%EntityCulture</v>
      <v t="s">%EntityId</v>
      <v t="s">_Icon</v>
      <v t="s">_Provider</v>
      <v t="s">_Attribution</v>
      <v t="s">_Display</v>
      <v t="s">Nombre</v>
      <v t="s">_Format</v>
      <v t="s">División de administración 2 (condado/distrito/otro)</v>
      <v t="s">División de administración 1 (estado/provincia/otro)</v>
      <v t="s">País o región</v>
      <v t="s">_SubLabel</v>
      <v t="s">Población</v>
      <v t="s">`Área</v>
      <v t="s">Latitud</v>
      <v t="s">Longitud</v>
      <v t="s">_Flags</v>
      <v t="s">VDPID/VSID</v>
      <v t="s">UniqueName</v>
      <v t="s">_DisplayString</v>
      <v t="s">LearnMoreOnLink</v>
      <v t="s">Imagen</v>
      <v t="s">Descripción</v>
    </a>
    <a count="25">
      <v t="s">%EntityServiceId</v>
      <v t="s">%IsRefreshable</v>
      <v t="s">_CanonicalPropertyNames</v>
      <v t="s">%EntityCulture</v>
      <v t="s">%EntityId</v>
      <v t="s">_Icon</v>
      <v t="s">_Provider</v>
      <v t="s">_Attribution</v>
      <v t="s">_Display</v>
      <v t="s">Nombre</v>
      <v t="s">_Format</v>
      <v t="s">División de administración 2 (condado/distrito/otro)</v>
      <v t="s">División de administración 1 (estado/provincia/otro)</v>
      <v t="s">País o región</v>
      <v t="s">_SubLabel</v>
      <v t="s">`Área</v>
      <v t="s">Latitud</v>
      <v t="s">Longitud</v>
      <v t="s">_Flags</v>
      <v t="s">VDPID/VSID</v>
      <v t="s">UniqueName</v>
      <v t="s">_DisplayString</v>
      <v t="s">LearnMoreOnLink</v>
      <v t="s">Imagen</v>
      <v t="s">Descripción</v>
    </a>
    <a count="27">
      <v t="s">%EntityServiceId</v>
      <v t="s">%IsRefreshable</v>
      <v t="s">_CanonicalPropertyNames</v>
      <v t="s">%EntityCulture</v>
      <v t="s">%EntityId</v>
      <v t="s">_Icon</v>
      <v t="s">_Provider</v>
      <v t="s">_Attribution</v>
      <v t="s">_Display</v>
      <v t="s">Nombre</v>
      <v t="s">_Format</v>
      <v t="s">División de administración 2 (condado/distrito/otro)</v>
      <v t="s">División de administración 1 (estado/provincia/otro)</v>
      <v t="s">País o región</v>
      <v t="s">Líder(es)</v>
      <v t="s">_SubLabel</v>
      <v t="s">Población</v>
      <v t="s">`Área</v>
      <v t="s">Latitud</v>
      <v t="s">Longitud</v>
      <v t="s">_Flags</v>
      <v t="s">VDPID/VSID</v>
      <v t="s">UniqueName</v>
      <v t="s">_DisplayString</v>
      <v t="s">LearnMoreOnLink</v>
      <v t="s">Imagen</v>
      <v t="s">Descripción</v>
    </a>
    <a count="24">
      <v t="s">%EntityServiceId</v>
      <v t="s">%IsRefreshable</v>
      <v t="s">_CanonicalPropertyNames</v>
      <v t="s">%EntityCulture</v>
      <v t="s">%EntityId</v>
      <v t="s">_Icon</v>
      <v t="s">_Provider</v>
      <v t="s">_Attribution</v>
      <v t="s">_Display</v>
      <v t="s">Nombre</v>
      <v t="s">_Format</v>
      <v t="s">División de administración 1 (estado/provincia/otro)</v>
      <v t="s">País o región</v>
      <v t="s">_SubLabel</v>
      <v t="s">Población</v>
      <v t="s">Latitud</v>
      <v t="s">Longitud</v>
      <v t="s">_Flags</v>
      <v t="s">VDPID/VSID</v>
      <v t="s">UniqueName</v>
      <v t="s">_DisplayString</v>
      <v t="s">LearnMoreOnLink</v>
      <v t="s">Imagen</v>
      <v t="s">Descripción</v>
    </a>
    <a count="24">
      <v t="s">%EntityServiceId</v>
      <v t="s">%IsRefreshable</v>
      <v t="s">_CanonicalPropertyNames</v>
      <v t="s">%EntityCulture</v>
      <v t="s">%EntityId</v>
      <v t="s">_Icon</v>
      <v t="s">_Provider</v>
      <v t="s">_Attribution</v>
      <v t="s">_Display</v>
      <v t="s">Nombre</v>
      <v t="s">_Format</v>
      <v t="s">División de administración 1 (estado/provincia/otro)</v>
      <v t="s">País o región</v>
      <v t="s">_SubLabel</v>
      <v t="s">`Área</v>
      <v t="s">Latitud</v>
      <v t="s">Longitud</v>
      <v t="s">_Flags</v>
      <v t="s">VDPID/VSID</v>
      <v t="s">UniqueName</v>
      <v t="s">_DisplayString</v>
      <v t="s">LearnMoreOnLink</v>
      <v t="s">Imagen</v>
      <v t="s">Descripción</v>
    </a>
    <a count="27">
      <v t="s">%EntityServiceId</v>
      <v t="s">%IsRefreshable</v>
      <v t="s">_CanonicalPropertyNames</v>
      <v t="s">%EntityCulture</v>
      <v t="s">%EntityId</v>
      <v t="s">_Icon</v>
      <v t="s">_Provider</v>
      <v t="s">_Attribution</v>
      <v t="s">_Display</v>
      <v t="s">Nombre</v>
      <v t="s">_Format</v>
      <v t="s">División de administración 1 (estado/provincia/otro)</v>
      <v t="s">País o región</v>
      <v t="s">Líder(es)</v>
      <v t="s">_SubLabel</v>
      <v t="s">Población</v>
      <v t="s">`Área</v>
      <v t="s">Latitud</v>
      <v t="s">Longitud</v>
      <v t="s">Zona(s) horaria(s)</v>
      <v t="s">_Flags</v>
      <v t="s">VDPID/VSID</v>
      <v t="s">UniqueName</v>
      <v t="s">_DisplayString</v>
      <v t="s">LearnMoreOnLink</v>
      <v t="s">Imagen</v>
      <v t="s">Descripción</v>
    </a>
    <a count="26">
      <v t="s">%EntityServiceId</v>
      <v t="s">%IsRefreshable</v>
      <v t="s">_CanonicalPropertyNames</v>
      <v t="s">%EntityCulture</v>
      <v t="s">%EntityId</v>
      <v t="s">_Icon</v>
      <v t="s">_Provider</v>
      <v t="s">_Attribution</v>
      <v t="s">_Display</v>
      <v t="s">Nombre</v>
      <v t="s">_Format</v>
      <v t="s">División de administración 2 (condado/distrito/otro)</v>
      <v t="s">División de administración 1 (estado/provincia/otro)</v>
      <v t="s">País o región</v>
      <v t="s">Líder(es)</v>
      <v t="s">_SubLabel</v>
      <v t="s">Población</v>
      <v t="s">Latitud</v>
      <v t="s">Longitud</v>
      <v t="s">_Flags</v>
      <v t="s">VDPID/VSID</v>
      <v t="s">UniqueName</v>
      <v t="s">_DisplayString</v>
      <v t="s">LearnMoreOnLink</v>
      <v t="s">Imagen</v>
      <v t="s">Descripción</v>
    </a>
    <a count="21">
      <v t="s">%EntityServiceId</v>
      <v t="s">%IsRefreshable</v>
      <v t="s">_CanonicalPropertyNames</v>
      <v t="s">%EntityCulture</v>
      <v t="s">%EntityId</v>
      <v t="s">_Icon</v>
      <v t="s">_Provider</v>
      <v t="s">_Attribution</v>
      <v t="s">_Display</v>
      <v t="s">Nombre</v>
      <v t="s">_Format</v>
      <v t="s">País o región</v>
      <v t="s">Latitud</v>
      <v t="s">Longitud</v>
      <v t="s">_Flags</v>
      <v t="s">VDPID/VSID</v>
      <v t="s">UniqueName</v>
      <v t="s">_DisplayString</v>
      <v t="s">LearnMoreOnLink</v>
      <v t="s">Imagen</v>
      <v t="s">Descripción</v>
    </a>
    <a count="25">
      <v t="s">%EntityServiceId</v>
      <v t="s">%IsRefreshable</v>
      <v t="s">_CanonicalPropertyNames</v>
      <v t="s">%EntityCulture</v>
      <v t="s">%EntityId</v>
      <v t="s">_Icon</v>
      <v t="s">_Provider</v>
      <v t="s">_Attribution</v>
      <v t="s">_Display</v>
      <v t="s">Nombre</v>
      <v t="s">_Format</v>
      <v t="s">División de administración 1 (estado/provincia/otro)</v>
      <v t="s">País o región</v>
      <v t="s">Líder(es)</v>
      <v t="s">_SubLabel</v>
      <v t="s">Población</v>
      <v t="s">Latitud</v>
      <v t="s">Longitud</v>
      <v t="s">_Flags</v>
      <v t="s">VDPID/VSID</v>
      <v t="s">UniqueName</v>
      <v t="s">_DisplayString</v>
      <v t="s">LearnMoreOnLink</v>
      <v t="s">Imagen</v>
      <v t="s">Descripción</v>
    </a>
    <a count="22">
      <v t="s">%EntityServiceId</v>
      <v t="s">%IsRefreshable</v>
      <v t="s">_CanonicalPropertyNames</v>
      <v t="s">%EntityCulture</v>
      <v t="s">%EntityId</v>
      <v t="s">_Icon</v>
      <v t="s">_Provider</v>
      <v t="s">_Attribution</v>
      <v t="s">_Display</v>
      <v t="s">Nombre</v>
      <v t="s">_Format</v>
      <v t="s">División de administración 2 (condado/distrito/otro)</v>
      <v t="s">División de administración 1 (estado/provincia/otro)</v>
      <v t="s">País o región</v>
      <v t="s">Latitud</v>
      <v t="s">Longitud</v>
      <v t="s">_Flags</v>
      <v t="s">UniqueName</v>
      <v t="s">_DisplayString</v>
      <v t="s">LearnMoreOnLink</v>
      <v t="s">Imagen</v>
      <v t="s">Descripción</v>
    </a>
    <a count="24">
      <v t="s">%EntityServiceId</v>
      <v t="s">%IsRefreshable</v>
      <v t="s">_CanonicalPropertyNames</v>
      <v t="s">%EntityCulture</v>
      <v t="s">%EntityId</v>
      <v t="s">_Icon</v>
      <v t="s">_Provider</v>
      <v t="s">_Attribution</v>
      <v t="s">_Display</v>
      <v t="s">Nombre</v>
      <v t="s">_Format</v>
      <v t="s">País o región</v>
      <v t="s">Líder(es)</v>
      <v t="s">_SubLabel</v>
      <v t="s">Población</v>
      <v t="s">`Área</v>
      <v t="s">Latitud</v>
      <v t="s">Longitud</v>
      <v t="s">_Flags</v>
      <v t="s">VDPID/VSID</v>
      <v t="s">UniqueName</v>
      <v t="s">_DisplayString</v>
      <v t="s">LearnMoreOnLink</v>
      <v t="s">Descripción</v>
    </a>
  </spbArrays>
  <spbData count="440">
    <spb s="0">
      <v xml:space="preserve">Wikipedia	</v>
      <v xml:space="preserve">CC BY-SA 3.0	</v>
      <v xml:space="preserve">https://es.wikipedia.org/wiki/Armenia_(Quind%C3%ADo)	</v>
      <v xml:space="preserve">https://creativecommons.org/licenses/by-sa/3.0	</v>
    </spb>
    <spb s="1">
      <v>0</v>
      <v>0</v>
      <v>0</v>
      <v>0</v>
      <v>0</v>
      <v>0</v>
      <v>0</v>
      <v>0</v>
      <v>0</v>
    </spb>
    <spb s="2">
      <v>Area</v>
      <v>Image</v>
      <v>Name</v>
      <v>Latitude</v>
      <v>Longitude</v>
      <v>Population</v>
      <v>UniqueName</v>
      <v>VDPID/VSID</v>
      <v>Description</v>
      <v>Country/region</v>
      <v>LearnMoreOnLink</v>
      <v>Admin Division 1 (State/province/other)</v>
    </spb>
    <spb s="3">
      <v>0</v>
      <v>Name</v>
      <v>LearnMoreOnLink</v>
    </spb>
    <spb s="4">
      <v>0</v>
      <v>0</v>
      <v>0</v>
    </spb>
    <spb s="5">
      <v>4</v>
      <v>4</v>
      <v>4</v>
    </spb>
    <spb s="6">
      <v>1</v>
      <v>2</v>
    </spb>
    <spb s="7">
      <v>https://www.bing.com</v>
      <v>https://www.bing.com/th?id=Ga%5Cbing_yt.png&amp;w=100&amp;h=40&amp;c=0&amp;pid=0.1</v>
      <v>Con tecnología de Bing</v>
    </spb>
    <spb s="8">
      <v>kilómetro cuadrado</v>
      <v>2018</v>
    </spb>
    <spb s="9">
      <v>3</v>
    </spb>
    <spb s="9">
      <v>4</v>
    </spb>
    <spb s="0">
      <v xml:space="preserve">Wikipedia	</v>
      <v xml:space="preserve">CC BY-SA 3.0	</v>
      <v xml:space="preserve">https://es.wikipedia.org/wiki/C%C3%B3rdoba_(Colombia)	</v>
      <v xml:space="preserve">https://creativecommons.org/licenses/by-sa/3.0	</v>
    </spb>
    <spb s="0">
      <v xml:space="preserve">Wikipedia	</v>
      <v xml:space="preserve">CC-BY-SA	</v>
      <v xml:space="preserve">http://en.wikipedia.org/wiki/Córdoba_Department	</v>
      <v xml:space="preserve">http://creativecommons.org/licenses/by-sa/3.0/	</v>
    </spb>
    <spb s="10">
      <v>11</v>
      <v>11</v>
      <v>11</v>
      <v>11</v>
      <v>12</v>
      <v>11</v>
      <v>11</v>
      <v>11</v>
      <v>11</v>
    </spb>
    <spb s="11">
      <v>Area</v>
      <v>Image</v>
      <v>Name</v>
      <v>Population</v>
      <v>UniqueName</v>
      <v>VDPID/VSID</v>
      <v>Abbreviation</v>
      <v>Description</v>
      <v>Country/region</v>
      <v>LearnMoreOnLink</v>
      <v>Largest city</v>
      <v>Housing units</v>
      <v>Capital/Major City</v>
    </spb>
    <spb s="3">
      <v>1</v>
      <v>Name</v>
      <v>LearnMoreOnLink</v>
    </spb>
    <spb s="12">
      <v>kilómetro cuadrado</v>
      <v>2020</v>
      <v>2005</v>
    </spb>
    <spb s="0">
      <v xml:space="preserve">Wikipedia	</v>
      <v xml:space="preserve">CC BY-SA 3.0	</v>
      <v xml:space="preserve">https://es.wikipedia.org/wiki/Rionegro_(Antioquia)	</v>
      <v xml:space="preserve">https://creativecommons.org/licenses/by-sa/3.0	</v>
    </spb>
    <spb s="1">
      <v>17</v>
      <v>17</v>
      <v>17</v>
      <v>17</v>
      <v>17</v>
      <v>17</v>
      <v>17</v>
      <v>17</v>
      <v>17</v>
    </spb>
    <spb s="0">
      <v xml:space="preserve">Wikipedia	</v>
      <v xml:space="preserve">CC BY-SA 3.0	</v>
      <v xml:space="preserve">https://es.wikipedia.org/wiki/Magangu%C3%A9	</v>
      <v xml:space="preserve">https://creativecommons.org/licenses/by-sa/3.0	</v>
    </spb>
    <spb s="1">
      <v>19</v>
      <v>19</v>
      <v>19</v>
      <v>19</v>
      <v>19</v>
      <v>19</v>
      <v>19</v>
      <v>19</v>
      <v>19</v>
    </spb>
    <spb s="8">
      <v>kilómetro cuadrado</v>
      <v>2017</v>
    </spb>
    <spb s="0">
      <v xml:space="preserve">Wikipedia	</v>
      <v xml:space="preserve">CC BY-SA 3.0	</v>
      <v xml:space="preserve">https://es.wikipedia.org/wiki/Turbo_(Antioquia)	</v>
      <v xml:space="preserve">https://creativecommons.org/licenses/by-sa/3.0	</v>
    </spb>
    <spb s="1">
      <v>22</v>
      <v>22</v>
      <v>22</v>
      <v>22</v>
      <v>22</v>
      <v>22</v>
      <v>22</v>
      <v>22</v>
      <v>22</v>
    </spb>
    <spb s="3">
      <v>2</v>
      <v>Name</v>
      <v>LearnMoreOnLink</v>
    </spb>
    <spb s="8">
      <v>kilómetro cuadrado</v>
      <v>2020</v>
    </spb>
    <spb s="0">
      <v xml:space="preserve">Wikipedia	</v>
      <v xml:space="preserve">CC BY-SA 3.0	</v>
      <v xml:space="preserve">https://es.wikipedia.org/wiki/Antioquia	</v>
      <v xml:space="preserve">https://creativecommons.org/licenses/by-sa/3.0	</v>
    </spb>
    <spb s="0">
      <v xml:space="preserve">Wikipedia	</v>
      <v xml:space="preserve">CC-BY-SA	</v>
      <v xml:space="preserve">http://en.wikipedia.org/wiki/Antioquia_Department	</v>
      <v xml:space="preserve">http://creativecommons.org/licenses/by-sa/3.0/	</v>
    </spb>
    <spb s="10">
      <v>26</v>
      <v>26</v>
      <v>26</v>
      <v>26</v>
      <v>27</v>
      <v>26</v>
      <v>26</v>
      <v>26</v>
      <v>26</v>
    </spb>
    <spb s="3">
      <v>3</v>
      <v>Name</v>
      <v>LearnMoreOnLink</v>
    </spb>
    <spb s="0">
      <v xml:space="preserve">Wikipedia	</v>
      <v xml:space="preserve">CC-BY-SA	</v>
      <v xml:space="preserve">http://zh.wikipedia.org/zh-tw/index.html?curid=2871748	</v>
      <v xml:space="preserve">http://creativecommons.org/licenses/by-sa/3.0/	</v>
    </spb>
    <spb s="0">
      <v xml:space="preserve">Wikipedia	</v>
      <v xml:space="preserve">CC BY-SA 3.0	</v>
      <v xml:space="preserve">https://es.wikipedia.org/wiki/Necocl%C3%AD	</v>
      <v xml:space="preserve">https://creativecommons.org/licenses/by-sa/3.0	</v>
    </spb>
    <spb s="0">
      <v xml:space="preserve">Wikipedia	</v>
      <v xml:space="preserve">CC-BY-SA	</v>
      <v xml:space="preserve">http://en.wikipedia.org/wiki/Necoclí	</v>
      <v xml:space="preserve">http://creativecommons.org/licenses/by-sa/3.0/	</v>
    </spb>
    <spb s="1">
      <v>30</v>
      <v>31</v>
      <v>31</v>
      <v>31</v>
      <v>32</v>
      <v>31</v>
      <v>31</v>
      <v>31</v>
      <v>31</v>
    </spb>
    <spb s="0">
      <v xml:space="preserve">Wikipedia	</v>
      <v xml:space="preserve">CC BY-SA 3.0	</v>
      <v xml:space="preserve">https://es.wikipedia.org/wiki/Atl%C3%A1ntico_(Colombia)	</v>
      <v xml:space="preserve">https://creativecommons.org/licenses/by-sa/3.0	</v>
    </spb>
    <spb s="0">
      <v xml:space="preserve">Wikipedia	</v>
      <v xml:space="preserve">CC-BY-SA	</v>
      <v xml:space="preserve">http://en.wikipedia.org/wiki/Atlántico_Department	</v>
      <v xml:space="preserve">http://creativecommons.org/licenses/by-sa/3.0/	</v>
    </spb>
    <spb s="10">
      <v>34</v>
      <v>34</v>
      <v>34</v>
      <v>34</v>
      <v>35</v>
      <v>34</v>
      <v>34</v>
      <v>34</v>
      <v>34</v>
    </spb>
    <spb s="0">
      <v xml:space="preserve">Wikipedia	</v>
      <v xml:space="preserve">CC BY-SA 3.0	</v>
      <v xml:space="preserve">https://es.wikipedia.org/wiki/Yopal	</v>
      <v xml:space="preserve">https://creativecommons.org/licenses/by-sa/3.0	</v>
    </spb>
    <spb s="1">
      <v>37</v>
      <v>37</v>
      <v>37</v>
      <v>37</v>
      <v>37</v>
      <v>37</v>
      <v>37</v>
      <v>37</v>
      <v>37</v>
    </spb>
    <spb s="8">
      <v>kilómetro cuadrado</v>
      <v>2021</v>
    </spb>
    <spb s="0">
      <v xml:space="preserve">Wikipedia	</v>
      <v xml:space="preserve">CC-BY-SA	</v>
      <v xml:space="preserve">http://en.wikipedia.org/wiki/Carepa	</v>
      <v xml:space="preserve">http://creativecommons.org/licenses/by-sa/3.0/	</v>
    </spb>
    <spb s="0">
      <v xml:space="preserve">Wikipedia	</v>
      <v xml:space="preserve">CC BY-SA 3.0	</v>
      <v xml:space="preserve">https://es.wikipedia.org/wiki/Carepa	</v>
      <v xml:space="preserve">https://creativecommons.org/licenses/by-sa/3.0	</v>
    </spb>
    <spb s="1">
      <v>40</v>
      <v>41</v>
      <v>41</v>
      <v>41</v>
      <v>41</v>
      <v>41</v>
      <v>41</v>
      <v>41</v>
      <v>41</v>
    </spb>
    <spb s="0">
      <v xml:space="preserve">Wikipedia	</v>
      <v xml:space="preserve">CC BY-SA 3.0	</v>
      <v xml:space="preserve">https://es.wikipedia.org/wiki/Santa_Rosa_de_Osos	</v>
      <v xml:space="preserve">https://creativecommons.org/licenses/by-sa/3.0	</v>
    </spb>
    <spb s="0">
      <v xml:space="preserve">Wikipedia	</v>
      <v xml:space="preserve">CC-BY-SA	</v>
      <v xml:space="preserve">http://en.wikipedia.org/wiki/Santa_Rosa_de_Osos	</v>
      <v xml:space="preserve">http://creativecommons.org/licenses/by-sa/3.0/	</v>
    </spb>
    <spb s="13">
      <v>43</v>
      <v>43</v>
      <v>43</v>
      <v>43</v>
      <v>44</v>
      <v>43</v>
      <v>43</v>
      <v>43</v>
      <v>43</v>
      <v>43</v>
    </spb>
    <spb s="14">
      <v>Area</v>
      <v>Image</v>
      <v>Name</v>
      <v>Latitude</v>
      <v>Longitude</v>
      <v>Population</v>
      <v>UniqueName</v>
      <v>VDPID/VSID</v>
      <v>Description</v>
      <v>Country/region</v>
      <v>LearnMoreOnLink</v>
      <v>Admin Division 1 (State/province/other)</v>
      <v>Admin Division 2 (County/district/other)</v>
    </spb>
    <spb s="3">
      <v>4</v>
      <v>Name</v>
      <v>LearnMoreOnLink</v>
    </spb>
    <spb s="0">
      <v xml:space="preserve">Wikipedia	</v>
      <v xml:space="preserve">CC BY-SA 3.0	</v>
      <v xml:space="preserve">https://es.wikipedia.org/wiki/La_Pintada_(Antioquia)	</v>
      <v xml:space="preserve">https://creativecommons.org/licenses/by-sa/3.0	</v>
    </spb>
    <spb s="15">
      <v>48</v>
      <v>48</v>
      <v>48</v>
      <v>48</v>
      <v>48</v>
      <v>48</v>
      <v>48</v>
      <v>48</v>
      <v>48</v>
    </spb>
    <spb s="16">
      <v>Area</v>
      <v>Image</v>
      <v>Name</v>
      <v>Latitude</v>
      <v>Longitude</v>
      <v>UniqueName</v>
      <v>VDPID/VSID</v>
      <v>Description</v>
      <v>Country/region</v>
      <v>LearnMoreOnLink</v>
      <v>Admin Division 1 (State/province/other)</v>
      <v>Admin Division 2 (County/district/other)</v>
    </spb>
    <spb s="3">
      <v>5</v>
      <v>Name</v>
      <v>LearnMoreOnLink</v>
    </spb>
    <spb s="17">
      <v>kilómetro cuadrado</v>
    </spb>
    <spb s="0">
      <v xml:space="preserve">Wikipedia	</v>
      <v xml:space="preserve">CC BY-SA 3.0	</v>
      <v xml:space="preserve">https://es.wikipedia.org/wiki/Caucasia	</v>
      <v xml:space="preserve">https://creativecommons.org/licenses/by-sa/3.0	</v>
    </spb>
    <spb s="13">
      <v>53</v>
      <v>53</v>
      <v>53</v>
      <v>53</v>
      <v>53</v>
      <v>53</v>
      <v>53</v>
      <v>53</v>
      <v>53</v>
      <v>53</v>
    </spb>
    <spb s="3">
      <v>6</v>
      <v>Name</v>
      <v>LearnMoreOnLink</v>
    </spb>
    <spb s="0">
      <v xml:space="preserve">Wikipedia	</v>
      <v xml:space="preserve">CC BY-SA 3.0	</v>
      <v xml:space="preserve">https://es.wikipedia.org/wiki/Tame_(Arauca)	</v>
      <v xml:space="preserve">https://creativecommons.org/licenses/by-sa/3.0	</v>
    </spb>
    <spb s="0">
      <v xml:space="preserve">Wikipedia	</v>
      <v xml:space="preserve">CC-BY-SA	</v>
      <v xml:space="preserve">http://en.wikipedia.org/wiki/Tame,_Arauca	</v>
      <v xml:space="preserve">http://creativecommons.org/licenses/by-sa/3.0/	</v>
    </spb>
    <spb s="1">
      <v>56</v>
      <v>56</v>
      <v>56</v>
      <v>56</v>
      <v>57</v>
      <v>56</v>
      <v>56</v>
      <v>56</v>
      <v>56</v>
    </spb>
    <spb s="8">
      <v>kilómetro cuadrado</v>
      <v>2015</v>
    </spb>
    <spb s="0">
      <v xml:space="preserve">Wikipedia	</v>
      <v xml:space="preserve">CC BY-SA 3.0	</v>
      <v xml:space="preserve">https://es.wikipedia.org/wiki/Cartagena_del_Chair%C3%A1	</v>
      <v xml:space="preserve">https://creativecommons.org/licenses/by-sa/3.0	</v>
    </spb>
    <spb s="0">
      <v xml:space="preserve">Wikipedia	</v>
      <v xml:space="preserve">CC-BY-SA	</v>
      <v xml:space="preserve">http://en.wikipedia.org/wiki/Cartagena_del_Chairá	</v>
      <v xml:space="preserve">http://creativecommons.org/licenses/by-sa/3.0/	</v>
    </spb>
    <spb s="18">
      <v>60</v>
      <v>60</v>
      <v>60</v>
      <v>61</v>
      <v>60</v>
      <v>60</v>
      <v>60</v>
      <v>60</v>
    </spb>
    <spb s="19">
      <v>Image</v>
      <v>Name</v>
      <v>Latitude</v>
      <v>Longitude</v>
      <v>Population</v>
      <v>UniqueName</v>
      <v>VDPID/VSID</v>
      <v>Description</v>
      <v>Country/region</v>
      <v>LearnMoreOnLink</v>
      <v>Admin Division 1 (State/province/other)</v>
    </spb>
    <spb s="3">
      <v>7</v>
      <v>Name</v>
      <v>LearnMoreOnLink</v>
    </spb>
    <spb s="20">
      <v>2020</v>
    </spb>
    <spb s="0">
      <v xml:space="preserve">Wikipedia	</v>
      <v xml:space="preserve">CC-BY-SA	</v>
      <v xml:space="preserve">http://zh.wikipedia.org/zh-tw/index.html?curid=2871894	</v>
      <v xml:space="preserve">http://creativecommons.org/licenses/by-sa/3.0/	</v>
    </spb>
    <spb s="0">
      <v xml:space="preserve">Wikipedia	</v>
      <v xml:space="preserve">CC BY-SA 3.0	</v>
      <v xml:space="preserve">https://es.wikipedia.org/wiki/Puerto_Berr%C3%ADo	</v>
      <v xml:space="preserve">https://creativecommons.org/licenses/by-sa/3.0	</v>
    </spb>
    <spb s="1">
      <v>66</v>
      <v>67</v>
      <v>67</v>
      <v>67</v>
      <v>67</v>
      <v>67</v>
      <v>67</v>
      <v>67</v>
      <v>67</v>
    </spb>
    <spb s="0">
      <v xml:space="preserve">Wikipedia	</v>
      <v xml:space="preserve">CC BY-SA 3.0	</v>
      <v xml:space="preserve">https://es.wikipedia.org/wiki/Arauca_(Colombia)	</v>
      <v xml:space="preserve">https://creativecommons.org/licenses/by-sa/3.0	</v>
    </spb>
    <spb s="0">
      <v xml:space="preserve">Wikipedia	</v>
      <v xml:space="preserve">CC-BY-SA	</v>
      <v xml:space="preserve">http://en.wikipedia.org/wiki/Arauca_Department	</v>
      <v xml:space="preserve">http://creativecommons.org/licenses/by-sa/3.0/	</v>
    </spb>
    <spb s="10">
      <v>69</v>
      <v>69</v>
      <v>69</v>
      <v>69</v>
      <v>70</v>
      <v>69</v>
      <v>69</v>
      <v>69</v>
      <v>69</v>
    </spb>
    <spb s="0">
      <v xml:space="preserve">Wikipedia	</v>
      <v xml:space="preserve">CC BY-SA 3.0	</v>
      <v xml:space="preserve">https://es.wikipedia.org/wiki/Montel%C3%ADbano	</v>
      <v xml:space="preserve">https://creativecommons.org/licenses/by-sa/3.0	</v>
    </spb>
    <spb s="0">
      <v xml:space="preserve">Wikipedia	</v>
      <v xml:space="preserve">CC-BY-SA	</v>
      <v xml:space="preserve">http://en.wikipedia.org/wiki/Montelíbano	</v>
      <v xml:space="preserve">http://creativecommons.org/licenses/by-sa/3.0/	</v>
    </spb>
    <spb s="1">
      <v>72</v>
      <v>72</v>
      <v>72</v>
      <v>72</v>
      <v>73</v>
      <v>72</v>
      <v>72</v>
      <v>72</v>
      <v>72</v>
    </spb>
    <spb s="0">
      <v xml:space="preserve">Wikipedia	</v>
      <v xml:space="preserve">CC BY-SA 3.0	</v>
      <v xml:space="preserve">https://es.wikipedia.org/wiki/Caldas	</v>
      <v xml:space="preserve">https://creativecommons.org/licenses/by-sa/3.0	</v>
    </spb>
    <spb s="0">
      <v xml:space="preserve">Wikipedia	</v>
      <v xml:space="preserve">CC-BY-SA	</v>
      <v xml:space="preserve">http://en.wikipedia.org/wiki/Caldas_Department	</v>
      <v xml:space="preserve">http://creativecommons.org/licenses/by-sa/3.0/	</v>
    </spb>
    <spb s="10">
      <v>75</v>
      <v>75</v>
      <v>75</v>
      <v>75</v>
      <v>76</v>
      <v>75</v>
      <v>75</v>
      <v>75</v>
      <v>75</v>
    </spb>
    <spb s="0">
      <v xml:space="preserve">Wikipedia	</v>
      <v xml:space="preserve">CC BY-SA 3.0	</v>
      <v xml:space="preserve">https://es.wikipedia.org/wiki/Arauquita	</v>
      <v xml:space="preserve">https://creativecommons.org/licenses/by-sa/3.0	</v>
    </spb>
    <spb s="1">
      <v>78</v>
      <v>78</v>
      <v>78</v>
      <v>78</v>
      <v>78</v>
      <v>78</v>
      <v>78</v>
      <v>78</v>
      <v>78</v>
    </spb>
    <spb s="0">
      <v xml:space="preserve">Wikipedia	</v>
      <v xml:space="preserve">CC-BY-SA	</v>
      <v xml:space="preserve">http://en.wikipedia.org/wiki/Bosconia	</v>
      <v xml:space="preserve">http://creativecommons.org/licenses/by-sa/3.0/	</v>
    </spb>
    <spb s="0">
      <v xml:space="preserve">Wikipedia	</v>
      <v xml:space="preserve">CC BY-SA 3.0	</v>
      <v xml:space="preserve">https://es.wikipedia.org/wiki/Bosconia	</v>
      <v xml:space="preserve">https://creativecommons.org/licenses/by-sa/3.0	</v>
    </spb>
    <spb s="1">
      <v>80</v>
      <v>81</v>
      <v>81</v>
      <v>81</v>
      <v>80</v>
      <v>81</v>
      <v>81</v>
      <v>81</v>
      <v>81</v>
    </spb>
    <spb s="0">
      <v xml:space="preserve">Wikipedia	</v>
      <v xml:space="preserve">CC BY-SA 3.0	</v>
      <v xml:space="preserve">https://es.wikipedia.org/wiki/Facatativ%C3%A1	</v>
      <v xml:space="preserve">https://creativecommons.org/licenses/by-sa/3.0	</v>
    </spb>
    <spb s="13">
      <v>83</v>
      <v>83</v>
      <v>83</v>
      <v>83</v>
      <v>83</v>
      <v>83</v>
      <v>83</v>
      <v>83</v>
      <v>83</v>
      <v>83</v>
    </spb>
    <spb s="8">
      <v>kilómetro cuadrado</v>
      <v>2012</v>
    </spb>
    <spb s="0">
      <v xml:space="preserve">Wikipedia	</v>
      <v xml:space="preserve">CC BY-SA 3.0	</v>
      <v xml:space="preserve">https://es.wikipedia.org/wiki/Saravena	</v>
      <v xml:space="preserve">https://creativecommons.org/licenses/by-sa/3.0	</v>
    </spb>
    <spb s="0">
      <v xml:space="preserve">Wikipedia	</v>
      <v xml:space="preserve">CC-BY-SA	</v>
      <v xml:space="preserve">http://en.wikipedia.org/wiki/Saravena	</v>
      <v xml:space="preserve">http://creativecommons.org/licenses/by-sa/3.0/	</v>
    </spb>
    <spb s="1">
      <v>86</v>
      <v>86</v>
      <v>86</v>
      <v>86</v>
      <v>87</v>
      <v>86</v>
      <v>86</v>
      <v>86</v>
      <v>86</v>
    </spb>
    <spb s="0">
      <v xml:space="preserve">Wikipedia	</v>
      <v xml:space="preserve">CC BY-SA 3.0	</v>
      <v xml:space="preserve">https://es.wikipedia.org/wiki/San_Juan_de_Arama	</v>
      <v xml:space="preserve">https://creativecommons.org/licenses/by-sa/3.0	</v>
    </spb>
    <spb s="21">
      <v>89</v>
      <v>89</v>
      <v>89</v>
      <v>89</v>
      <v>89</v>
      <v>89</v>
      <v>89</v>
      <v>89</v>
    </spb>
    <spb s="22">
      <v>Area</v>
      <v>Image</v>
      <v>Name</v>
      <v>Latitude</v>
      <v>Longitude</v>
      <v>UniqueName</v>
      <v>VDPID/VSID</v>
      <v>Description</v>
      <v>Country/region</v>
      <v>LearnMoreOnLink</v>
      <v>Admin Division 1 (State/province/other)</v>
    </spb>
    <spb s="3">
      <v>8</v>
      <v>Name</v>
      <v>LearnMoreOnLink</v>
    </spb>
    <spb s="0">
      <v xml:space="preserve">Wikipedia	</v>
      <v xml:space="preserve">CC BY-SA 3.0	</v>
      <v xml:space="preserve">https://es.wikipedia.org/wiki/Soledad_(Atl%C3%A1ntico)	</v>
      <v xml:space="preserve">https://creativecommons.org/licenses/by-sa/3.0	</v>
    </spb>
    <spb s="1">
      <v>93</v>
      <v>93</v>
      <v>93</v>
      <v>93</v>
      <v>93</v>
      <v>93</v>
      <v>93</v>
      <v>93</v>
      <v>93</v>
    </spb>
    <spb s="8">
      <v>kilómetro cuadrado</v>
      <v>2023</v>
    </spb>
    <spb s="0">
      <v xml:space="preserve">Wikipedia	</v>
      <v xml:space="preserve">CC BY-SA 3.0	</v>
      <v xml:space="preserve">https://es.wikipedia.org/wiki/San_Alberto_(Cesar)	</v>
      <v xml:space="preserve">https://creativecommons.org/licenses/by-sa/3.0	</v>
    </spb>
    <spb s="0">
      <v xml:space="preserve">Wikipedia	</v>
      <v xml:space="preserve">CC-BY-SA	</v>
      <v xml:space="preserve">http://en.wikipedia.org/wiki/San_Alberto,_Cesar	</v>
      <v xml:space="preserve">http://creativecommons.org/licenses/by-sa/3.0/	</v>
    </spb>
    <spb s="1">
      <v>96</v>
      <v>96</v>
      <v>96</v>
      <v>96</v>
      <v>97</v>
      <v>96</v>
      <v>96</v>
      <v>96</v>
      <v>96</v>
    </spb>
    <spb s="0">
      <v xml:space="preserve">Wikipedia	</v>
      <v xml:space="preserve">CC BY-SA 3.0	</v>
      <v xml:space="preserve">https://es.wikipedia.org/wiki/Popay%C3%A1n	</v>
      <v xml:space="preserve">https://creativecommons.org/licenses/by-sa/3.0	</v>
    </spb>
    <spb s="1">
      <v>99</v>
      <v>99</v>
      <v>99</v>
      <v>99</v>
      <v>99</v>
      <v>99</v>
      <v>99</v>
      <v>99</v>
      <v>99</v>
    </spb>
    <spb s="0">
      <v xml:space="preserve">Wikipedia	</v>
      <v xml:space="preserve">CC BY-SA 3.0	</v>
      <v xml:space="preserve">https://es.wikipedia.org/wiki/Bol%C3%ADvar_(Colombia)	</v>
      <v xml:space="preserve">https://creativecommons.org/licenses/by-sa/3.0	</v>
    </spb>
    <spb s="0">
      <v xml:space="preserve">Wikipedia	</v>
      <v xml:space="preserve">CC-BY-SA	</v>
      <v xml:space="preserve">http://en.wikipedia.org/wiki/Bolívar_Department	</v>
      <v xml:space="preserve">http://creativecommons.org/licenses/by-sa/3.0/	</v>
    </spb>
    <spb s="10">
      <v>101</v>
      <v>101</v>
      <v>101</v>
      <v>101</v>
      <v>102</v>
      <v>101</v>
      <v>101</v>
      <v>101</v>
      <v>101</v>
    </spb>
    <spb s="0">
      <v xml:space="preserve">Wikipedia	</v>
      <v xml:space="preserve">CC BY-SA 3.0	</v>
      <v xml:space="preserve">https://es.wikipedia.org/wiki/Pasto_(Colombia)	</v>
      <v xml:space="preserve">https://creativecommons.org/licenses/by-sa/3.0	</v>
    </spb>
    <spb s="1">
      <v>104</v>
      <v>104</v>
      <v>104</v>
      <v>104</v>
      <v>104</v>
      <v>104</v>
      <v>104</v>
      <v>104</v>
      <v>104</v>
    </spb>
    <spb s="3">
      <v>9</v>
      <v>Name</v>
      <v>LearnMoreOnLink</v>
    </spb>
    <spb s="0">
      <v xml:space="preserve">Wikipedia	</v>
      <v xml:space="preserve">CC BY-SA 3.0	</v>
      <v xml:space="preserve">https://es.wikipedia.org/wiki/Cartagena_de_Indias	</v>
      <v xml:space="preserve">https://creativecommons.org/licenses/by-sa/3.0	</v>
    </spb>
    <spb s="1">
      <v>107</v>
      <v>107</v>
      <v>107</v>
      <v>107</v>
      <v>107</v>
      <v>107</v>
      <v>107</v>
      <v>107</v>
      <v>107</v>
    </spb>
    <spb s="0">
      <v xml:space="preserve">Wikipedia	</v>
      <v xml:space="preserve">CC BY-SA 3.0	</v>
      <v xml:space="preserve">https://es.wikipedia.org/wiki/Santa_Cruz_de_Mompox	</v>
      <v xml:space="preserve">https://creativecommons.org/licenses/by-sa/3.0	</v>
    </spb>
    <spb s="0">
      <v xml:space="preserve">Wikipedia	</v>
      <v xml:space="preserve">CC-BY-SA	</v>
      <v xml:space="preserve">http://en.wikipedia.org/wiki/Santa_Cruz_de_Mompox	</v>
      <v xml:space="preserve">http://creativecommons.org/licenses/by-sa/3.0/	</v>
    </spb>
    <spb s="1">
      <v>109</v>
      <v>109</v>
      <v>109</v>
      <v>109</v>
      <v>110</v>
      <v>109</v>
      <v>109</v>
      <v>109</v>
      <v>109</v>
    </spb>
    <spb s="0">
      <v xml:space="preserve">Wikipedia	</v>
      <v xml:space="preserve">CC BY-SA 3.0	</v>
      <v xml:space="preserve">https://es.wikipedia.org/wiki/San_Juan_Nepomuceno_(Colombia)	</v>
      <v xml:space="preserve">https://creativecommons.org/licenses/by-sa/3.0	</v>
    </spb>
    <spb s="0">
      <v xml:space="preserve">Wikipedia	</v>
      <v xml:space="preserve">CC-BY-SA	</v>
      <v xml:space="preserve">http://en.wikipedia.org/wiki/San_Juan_Nepomuceno,_Bolívar	</v>
      <v xml:space="preserve">http://creativecommons.org/licenses/by-sa/3.0/	</v>
    </spb>
    <spb s="1">
      <v>112</v>
      <v>112</v>
      <v>112</v>
      <v>112</v>
      <v>113</v>
      <v>112</v>
      <v>112</v>
      <v>112</v>
      <v>112</v>
    </spb>
    <spb s="0">
      <v xml:space="preserve">Wikipedia	</v>
      <v xml:space="preserve">CC BY-SA 3.0	</v>
      <v xml:space="preserve">https://es.wikipedia.org/wiki/San_Juan_del_Cesar	</v>
      <v xml:space="preserve">https://creativecommons.org/licenses/by-sa/3.0	</v>
    </spb>
    <spb s="0">
      <v xml:space="preserve">Wikipedia	</v>
      <v xml:space="preserve">CC-BY-SA	</v>
      <v xml:space="preserve">http://en.wikipedia.org/wiki/San_Juan_del_Cesar	</v>
      <v xml:space="preserve">http://creativecommons.org/licenses/by-sa/3.0/	</v>
    </spb>
    <spb s="1">
      <v>115</v>
      <v>115</v>
      <v>115</v>
      <v>115</v>
      <v>116</v>
      <v>115</v>
      <v>115</v>
      <v>115</v>
      <v>115</v>
    </spb>
    <spb s="0">
      <v xml:space="preserve">Wikipedia	</v>
      <v xml:space="preserve">CC BY-SA 3.0	</v>
      <v xml:space="preserve">https://es.wikipedia.org/wiki/Agust%C3%ADn_Codazzi_(Cesar)	</v>
      <v xml:space="preserve">https://creativecommons.org/licenses/by-sa/3.0	</v>
    </spb>
    <spb s="0">
      <v xml:space="preserve">Wikipedia	</v>
      <v xml:space="preserve">CC-BY-SA	</v>
      <v xml:space="preserve">http://en.wikipedia.org/wiki/Agustín_Codazzi,_Cesar	</v>
      <v xml:space="preserve">http://creativecommons.org/licenses/by-sa/3.0/	</v>
    </spb>
    <spb s="1">
      <v>118</v>
      <v>118</v>
      <v>118</v>
      <v>118</v>
      <v>119</v>
      <v>118</v>
      <v>118</v>
      <v>118</v>
      <v>118</v>
    </spb>
    <spb s="0">
      <v xml:space="preserve">Wikipedia	</v>
      <v xml:space="preserve">CC BY-SA 3.0	</v>
      <v xml:space="preserve">https://es.wikipedia.org/wiki/El_Carmen_de_Bol%C3%ADvar	</v>
      <v xml:space="preserve">https://creativecommons.org/licenses/by-sa/3.0	</v>
    </spb>
    <spb s="1">
      <v>121</v>
      <v>121</v>
      <v>121</v>
      <v>121</v>
      <v>121</v>
      <v>121</v>
      <v>121</v>
      <v>121</v>
      <v>121</v>
    </spb>
    <spb s="8">
      <v>kilómetro cuadrado</v>
      <v>2005</v>
    </spb>
    <spb s="0">
      <v xml:space="preserve">Wikipedia	</v>
      <v xml:space="preserve">CC BY-SA 3.0	</v>
      <v xml:space="preserve">https://es.wikipedia.org/wiki/Boyac%C3%A1	</v>
      <v xml:space="preserve">https://creativecommons.org/licenses/by-sa/3.0	</v>
    </spb>
    <spb s="0">
      <v xml:space="preserve">Wikipedia	</v>
      <v xml:space="preserve">CC-BY-SA	</v>
      <v xml:space="preserve">http://en.wikipedia.org/wiki/Boyacá_Department	</v>
      <v xml:space="preserve">http://creativecommons.org/licenses/by-sa/3.0/	</v>
    </spb>
    <spb s="10">
      <v>124</v>
      <v>124</v>
      <v>124</v>
      <v>124</v>
      <v>125</v>
      <v>124</v>
      <v>124</v>
      <v>124</v>
      <v>124</v>
    </spb>
    <spb s="0">
      <v xml:space="preserve">Wikipedia	</v>
      <v xml:space="preserve">CC BY-SA 3.0	</v>
      <v xml:space="preserve">https://es.wikipedia.org/wiki/Garagoa	</v>
      <v xml:space="preserve">https://creativecommons.org/licenses/by-sa/3.0	</v>
    </spb>
    <spb s="0">
      <v xml:space="preserve">Wikipedia	</v>
      <v xml:space="preserve">CC-BY-SA	</v>
      <v xml:space="preserve">http://en.wikipedia.org/wiki/Garagoa	</v>
      <v xml:space="preserve">http://creativecommons.org/licenses/by-sa/3.0/	</v>
    </spb>
    <spb s="1">
      <v>127</v>
      <v>127</v>
      <v>127</v>
      <v>127</v>
      <v>128</v>
      <v>127</v>
      <v>127</v>
      <v>127</v>
      <v>127</v>
    </spb>
    <spb s="0">
      <v xml:space="preserve">Wikipedia	</v>
      <v xml:space="preserve">CC BY-SA 3.0	</v>
      <v xml:space="preserve">https://es.wikipedia.org/wiki/Sogamoso	</v>
      <v xml:space="preserve">https://creativecommons.org/licenses/by-sa/3.0	</v>
    </spb>
    <spb s="1">
      <v>130</v>
      <v>130</v>
      <v>130</v>
      <v>130</v>
      <v>130</v>
      <v>130</v>
      <v>130</v>
      <v>130</v>
      <v>130</v>
    </spb>
    <spb s="8">
      <v>kilómetro cuadrado</v>
      <v>2022</v>
    </spb>
    <spb s="0">
      <v xml:space="preserve">Wikipedia	</v>
      <v xml:space="preserve">CC BY-SA 3.0	</v>
      <v xml:space="preserve">https://es.wikipedia.org/wiki/Manizales	</v>
      <v xml:space="preserve">https://creativecommons.org/licenses/by-sa/3.0	</v>
    </spb>
    <spb s="1">
      <v>133</v>
      <v>133</v>
      <v>133</v>
      <v>133</v>
      <v>133</v>
      <v>133</v>
      <v>133</v>
      <v>133</v>
      <v>133</v>
    </spb>
    <spb s="0">
      <v xml:space="preserve">Wikipedia	</v>
      <v xml:space="preserve">CC BY-SA 3.0	</v>
      <v xml:space="preserve">https://es.wikipedia.org/wiki/Duitama	</v>
      <v xml:space="preserve">https://creativecommons.org/licenses/by-sa/3.0	</v>
    </spb>
    <spb s="13">
      <v>135</v>
      <v>135</v>
      <v>135</v>
      <v>135</v>
      <v>135</v>
      <v>135</v>
      <v>135</v>
      <v>135</v>
      <v>135</v>
      <v>135</v>
    </spb>
    <spb s="0">
      <v xml:space="preserve">Wikipedia	</v>
      <v xml:space="preserve">CC BY-SA 3.0	</v>
      <v xml:space="preserve">https://es.wikipedia.org/wiki/Tunja	</v>
      <v xml:space="preserve">https://creativecommons.org/licenses/by-sa/3.0	</v>
    </spb>
    <spb s="1">
      <v>137</v>
      <v>137</v>
      <v>137</v>
      <v>137</v>
      <v>137</v>
      <v>137</v>
      <v>137</v>
      <v>137</v>
      <v>137</v>
    </spb>
    <spb s="0">
      <v xml:space="preserve">Wikipedia	</v>
      <v xml:space="preserve">CC BY-SA 3.0	</v>
      <v xml:space="preserve">https://es.wikipedia.org/wiki/Ceret%C3%A9	</v>
      <v xml:space="preserve">https://creativecommons.org/licenses/by-sa/3.0	</v>
    </spb>
    <spb s="1">
      <v>139</v>
      <v>139</v>
      <v>139</v>
      <v>139</v>
      <v>139</v>
      <v>139</v>
      <v>139</v>
      <v>139</v>
      <v>139</v>
    </spb>
    <spb s="0">
      <v xml:space="preserve">Wikipedia	</v>
      <v xml:space="preserve">CC BY-SA 3.0	</v>
      <v xml:space="preserve">https://es.wikipedia.org/wiki/Trinidad_(Casanare)	</v>
      <v xml:space="preserve">https://creativecommons.org/licenses/by-sa/3.0	</v>
    </spb>
    <spb s="0">
      <v xml:space="preserve">Wikipedia	</v>
      <v xml:space="preserve">CC-BY-SA	</v>
      <v xml:space="preserve">http://en.wikipedia.org/wiki/Trinidad,_Casanare	</v>
      <v xml:space="preserve">http://creativecommons.org/licenses/by-sa/3.0/	</v>
    </spb>
    <spb s="1">
      <v>141</v>
      <v>141</v>
      <v>141</v>
      <v>141</v>
      <v>142</v>
      <v>141</v>
      <v>141</v>
      <v>141</v>
      <v>141</v>
    </spb>
    <spb s="0">
      <v xml:space="preserve">Wikipedia	</v>
      <v xml:space="preserve">CC BY-SA 3.0	</v>
      <v xml:space="preserve">https://es.wikipedia.org/wiki/Miraflores_(Boyac%C3%A1)	</v>
      <v xml:space="preserve">https://creativecommons.org/licenses/by-sa/3.0	</v>
    </spb>
    <spb s="0">
      <v xml:space="preserve">Wikipedia	</v>
      <v xml:space="preserve">CC-BY-SA	</v>
      <v xml:space="preserve">http://en.wikipedia.org/wiki/Miraflores,_Boyacá	</v>
      <v xml:space="preserve">http://creativecommons.org/licenses/by-sa/3.0/	</v>
    </spb>
    <spb s="23">
      <v>144</v>
      <v>144</v>
      <v>144</v>
      <v>145</v>
      <v>144</v>
      <v>144</v>
      <v>144</v>
      <v>144</v>
      <v>144</v>
    </spb>
    <spb s="24">
      <v>Image</v>
      <v>Name</v>
      <v>Latitude</v>
      <v>Longitude</v>
      <v>Population</v>
      <v>UniqueName</v>
      <v>VDPID/VSID</v>
      <v>Description</v>
      <v>Country/region</v>
      <v>LearnMoreOnLink</v>
      <v>Admin Division 1 (State/province/other)</v>
      <v>Admin Division 2 (County/district/other)</v>
    </spb>
    <spb s="3">
      <v>10</v>
      <v>Name</v>
      <v>LearnMoreOnLink</v>
    </spb>
    <spb s="20">
      <v>2018</v>
    </spb>
    <spb s="0">
      <v xml:space="preserve">Wikipedia	</v>
      <v xml:space="preserve">CC BY-SA 3.0	</v>
      <v xml:space="preserve">https://es.wikipedia.org/wiki/Soat%C3%A1	</v>
      <v xml:space="preserve">https://creativecommons.org/licenses/by-sa/3.0	</v>
    </spb>
    <spb s="13">
      <v>150</v>
      <v>150</v>
      <v>150</v>
      <v>150</v>
      <v>150</v>
      <v>150</v>
      <v>150</v>
      <v>150</v>
      <v>150</v>
      <v>150</v>
    </spb>
    <spb s="0">
      <v xml:space="preserve">Wikipedia	</v>
      <v xml:space="preserve">CC BY-SA 3.0	</v>
      <v xml:space="preserve">https://es.wikipedia.org/wiki/Moniquir%C3%A1	</v>
      <v xml:space="preserve">https://creativecommons.org/licenses/by-sa/3.0	</v>
    </spb>
    <spb s="13">
      <v>152</v>
      <v>152</v>
      <v>152</v>
      <v>152</v>
      <v>152</v>
      <v>152</v>
      <v>152</v>
      <v>152</v>
      <v>152</v>
      <v>152</v>
    </spb>
    <spb s="0">
      <v xml:space="preserve">Wikipedia	</v>
      <v xml:space="preserve">CC BY-SA 3.0	</v>
      <v xml:space="preserve">https://es.wikipedia.org/wiki/Puerto_Boyac%C3%A1	</v>
      <v xml:space="preserve">https://creativecommons.org/licenses/by-sa/3.0	</v>
    </spb>
    <spb s="0">
      <v xml:space="preserve">Wikipedia	</v>
      <v xml:space="preserve">CC-BY-SA	</v>
      <v xml:space="preserve">http://en.wikipedia.org/wiki/Puerto_Boyacá	</v>
      <v xml:space="preserve">http://creativecommons.org/licenses/by-sa/3.0/	</v>
    </spb>
    <spb s="1">
      <v>154</v>
      <v>154</v>
      <v>154</v>
      <v>154</v>
      <v>155</v>
      <v>154</v>
      <v>154</v>
      <v>154</v>
      <v>154</v>
    </spb>
    <spb s="0">
      <v xml:space="preserve">Wikipedia	</v>
      <v xml:space="preserve">CC BY-SA 3.0	</v>
      <v xml:space="preserve">https://es.wikipedia.org/wiki/Chiquinquir%C3%A1	</v>
      <v xml:space="preserve">https://creativecommons.org/licenses/by-sa/3.0	</v>
    </spb>
    <spb s="1">
      <v>157</v>
      <v>157</v>
      <v>157</v>
      <v>157</v>
      <v>157</v>
      <v>157</v>
      <v>157</v>
      <v>157</v>
      <v>157</v>
    </spb>
    <spb s="0">
      <v xml:space="preserve">Wikipedia	</v>
      <v xml:space="preserve">CC BY-SA 3.0	</v>
      <v xml:space="preserve">https://es.wikipedia.org/wiki/Cubar%C3%A1	</v>
      <v xml:space="preserve">https://creativecommons.org/licenses/by-sa/3.0	</v>
    </spb>
    <spb s="1">
      <v>159</v>
      <v>159</v>
      <v>159</v>
      <v>159</v>
      <v>159</v>
      <v>159</v>
      <v>159</v>
      <v>159</v>
      <v>159</v>
    </spb>
    <spb s="0">
      <v xml:space="preserve">Wikipedia	</v>
      <v xml:space="preserve">CC-BY-SA	</v>
      <v xml:space="preserve">http://en.wikipedia.org/wiki/Hato_Corozal	</v>
      <v xml:space="preserve">http://creativecommons.org/licenses/by-sa/3.0/	</v>
    </spb>
    <spb s="0">
      <v xml:space="preserve">Wikipedia	</v>
      <v xml:space="preserve">CC BY-SA 3.0	</v>
      <v xml:space="preserve">https://es.wikipedia.org/wiki/Hato_Corozal	</v>
      <v xml:space="preserve">https://creativecommons.org/licenses/by-sa/3.0	</v>
    </spb>
    <spb s="1">
      <v>161</v>
      <v>162</v>
      <v>162</v>
      <v>162</v>
      <v>161</v>
      <v>162</v>
      <v>162</v>
      <v>162</v>
      <v>162</v>
    </spb>
    <spb s="0">
      <v xml:space="preserve">Wikipedia	</v>
      <v xml:space="preserve">CC BY-SA 3.0	</v>
      <v xml:space="preserve">https://es.wikipedia.org/wiki/La_Dorada_(Caldas)	</v>
      <v xml:space="preserve">https://creativecommons.org/licenses/by-sa/3.0	</v>
    </spb>
    <spb s="0">
      <v xml:space="preserve">Wikipedia	</v>
      <v xml:space="preserve">CC-BY-SA	</v>
      <v xml:space="preserve">http://en.wikipedia.org/wiki/La_Dorada,_Caldas	</v>
      <v xml:space="preserve">http://creativecommons.org/licenses/by-sa/3.0/	</v>
    </spb>
    <spb s="1">
      <v>164</v>
      <v>164</v>
      <v>164</v>
      <v>164</v>
      <v>165</v>
      <v>164</v>
      <v>164</v>
      <v>164</v>
      <v>164</v>
    </spb>
    <spb s="0">
      <v xml:space="preserve">Wikipedia	</v>
      <v xml:space="preserve">CC BY-SA 3.0	</v>
      <v xml:space="preserve">https://es.wikipedia.org/wiki/Caquet%C3%A1	</v>
      <v xml:space="preserve">https://creativecommons.org/licenses/by-sa/3.0	</v>
    </spb>
    <spb s="0">
      <v xml:space="preserve">Wikipedia	</v>
      <v xml:space="preserve">CC-BY-SA	</v>
      <v xml:space="preserve">http://en.wikipedia.org/wiki/Caquetá_Department	</v>
      <v xml:space="preserve">http://creativecommons.org/licenses/by-sa/3.0/	</v>
    </spb>
    <spb s="10">
      <v>167</v>
      <v>167</v>
      <v>167</v>
      <v>167</v>
      <v>168</v>
      <v>167</v>
      <v>167</v>
      <v>167</v>
      <v>167</v>
    </spb>
    <spb s="0">
      <v xml:space="preserve">Wikipedia	</v>
      <v xml:space="preserve">CC BY-SA 3.0	</v>
      <v xml:space="preserve">https://es.wikipedia.org/wiki/Florencia_(Caquet%C3%A1)	</v>
      <v xml:space="preserve">https://creativecommons.org/licenses/by-sa/3.0	</v>
    </spb>
    <spb s="1">
      <v>170</v>
      <v>170</v>
      <v>170</v>
      <v>170</v>
      <v>170</v>
      <v>170</v>
      <v>170</v>
      <v>170</v>
      <v>170</v>
    </spb>
    <spb s="0">
      <v xml:space="preserve">Wikipedia	</v>
      <v xml:space="preserve">CC BY-SA 3.0	</v>
      <v xml:space="preserve">https://es.wikipedia.org/wiki/San_Vicente_del_Cagu%C3%A1n	</v>
      <v xml:space="preserve">https://creativecommons.org/licenses/by-sa/3.0	</v>
    </spb>
    <spb s="0">
      <v xml:space="preserve">Wikipedia	</v>
      <v xml:space="preserve">CC-BY-SA	</v>
      <v xml:space="preserve">http://en.wikipedia.org/wiki/San_Vicente_del_Caguán	</v>
      <v xml:space="preserve">http://creativecommons.org/licenses/by-sa/3.0/	</v>
    </spb>
    <spb s="1">
      <v>172</v>
      <v>172</v>
      <v>172</v>
      <v>172</v>
      <v>173</v>
      <v>172</v>
      <v>172</v>
      <v>172</v>
      <v>172</v>
    </spb>
    <spb s="0">
      <v xml:space="preserve">Wikipedia	</v>
      <v xml:space="preserve">CC BY-SA 3.0	</v>
      <v xml:space="preserve">https://es.wikipedia.org/wiki/Puerto_Rico_(Caquet%C3%A1)	</v>
      <v xml:space="preserve">https://creativecommons.org/licenses/by-sa/3.0	</v>
    </spb>
    <spb s="0">
      <v xml:space="preserve">Wikipedia	</v>
      <v xml:space="preserve">CC-BY-SA	</v>
      <v xml:space="preserve">http://en.wikipedia.org/wiki/Puerto_Rico,_Caquetá	</v>
      <v xml:space="preserve">http://creativecommons.org/licenses/by-sa/3.0/	</v>
    </spb>
    <spb s="18">
      <v>175</v>
      <v>175</v>
      <v>175</v>
      <v>176</v>
      <v>175</v>
      <v>175</v>
      <v>175</v>
      <v>175</v>
    </spb>
    <spb s="0">
      <v xml:space="preserve">Wikipedia	</v>
      <v xml:space="preserve">CC BY-SA 3.0	</v>
      <v xml:space="preserve">https://es.wikipedia.org/wiki/Tauramena	</v>
      <v xml:space="preserve">https://creativecommons.org/licenses/by-sa/3.0	</v>
    </spb>
    <spb s="0">
      <v xml:space="preserve">Wikipedia	</v>
      <v xml:space="preserve">CC-BY-SA	</v>
      <v xml:space="preserve">http://en.wikipedia.org/wiki/Tauramena	</v>
      <v xml:space="preserve">http://creativecommons.org/licenses/by-sa/3.0/	</v>
    </spb>
    <spb s="1">
      <v>178</v>
      <v>178</v>
      <v>178</v>
      <v>178</v>
      <v>179</v>
      <v>178</v>
      <v>178</v>
      <v>178</v>
      <v>178</v>
    </spb>
    <spb s="0">
      <v xml:space="preserve">Wikipedia	</v>
      <v xml:space="preserve">CC BY-SA 3.0	</v>
      <v xml:space="preserve">https://es.wikipedia.org/wiki/Santander_de_Quilichao	</v>
      <v xml:space="preserve">https://creativecommons.org/licenses/by-sa/3.0	</v>
    </spb>
    <spb s="1">
      <v>181</v>
      <v>181</v>
      <v>181</v>
      <v>181</v>
      <v>181</v>
      <v>181</v>
      <v>181</v>
      <v>181</v>
      <v>181</v>
    </spb>
    <spb s="0">
      <v xml:space="preserve">Wikipedia	</v>
      <v xml:space="preserve">CC BY-SA 3.0	</v>
      <v xml:space="preserve">https://es.wikipedia.org/wiki/Roncello	</v>
      <v xml:space="preserve">https://creativecommons.org/licenses/by-sa/3.0	</v>
    </spb>
    <spb s="1">
      <v>183</v>
      <v>183</v>
      <v>183</v>
      <v>183</v>
      <v>183</v>
      <v>183</v>
      <v>183</v>
      <v>183</v>
      <v>183</v>
    </spb>
    <spb s="0">
      <v xml:space="preserve">Wikipedia	</v>
      <v xml:space="preserve">CC BY-SA 3.0	</v>
      <v xml:space="preserve">https://es.wikipedia.org/wiki/Albania_(Caquet%C3%A1)	</v>
      <v xml:space="preserve">https://creativecommons.org/licenses/by-sa/3.0	</v>
    </spb>
    <spb s="1">
      <v>185</v>
      <v>185</v>
      <v>185</v>
      <v>185</v>
      <v>185</v>
      <v>185</v>
      <v>185</v>
      <v>185</v>
      <v>185</v>
    </spb>
    <spb s="0">
      <v xml:space="preserve">Wikipedia	</v>
      <v xml:space="preserve">CC BY-SA 3.0	</v>
      <v xml:space="preserve">https://es.wikipedia.org/wiki/Casanare	</v>
      <v xml:space="preserve">https://creativecommons.org/licenses/by-sa/3.0	</v>
    </spb>
    <spb s="0">
      <v xml:space="preserve">Wikipedia	</v>
      <v xml:space="preserve">CC-BY-SA	</v>
      <v xml:space="preserve">http://en.wikipedia.org/wiki/Casanare_Department	</v>
      <v xml:space="preserve">http://creativecommons.org/licenses/by-sa/3.0/	</v>
    </spb>
    <spb s="10">
      <v>187</v>
      <v>187</v>
      <v>187</v>
      <v>187</v>
      <v>188</v>
      <v>187</v>
      <v>187</v>
      <v>187</v>
      <v>187</v>
    </spb>
    <spb s="0">
      <v xml:space="preserve">Wikipedia	</v>
      <v xml:space="preserve">CC BY-SA 3.0	</v>
      <v xml:space="preserve">https://es.wikipedia.org/wiki/Villanueva_(Casanare)	</v>
      <v xml:space="preserve">https://creativecommons.org/licenses/by-sa/3.0	</v>
    </spb>
    <spb s="0">
      <v xml:space="preserve">Wikipedia	</v>
      <v xml:space="preserve">CC-BY-SA	</v>
      <v xml:space="preserve">http://en.wikipedia.org/wiki/Villanueva,_Casanare	</v>
      <v xml:space="preserve">http://creativecommons.org/licenses/by-sa/3.0/	</v>
    </spb>
    <spb s="1">
      <v>190</v>
      <v>190</v>
      <v>190</v>
      <v>190</v>
      <v>191</v>
      <v>190</v>
      <v>190</v>
      <v>190</v>
      <v>190</v>
    </spb>
    <spb s="0">
      <v xml:space="preserve">Wikipedia	</v>
      <v xml:space="preserve">CC BY-SA 3.0	</v>
      <v xml:space="preserve">https://es.wikipedia.org/wiki/Paz_de_Ariporo	</v>
      <v xml:space="preserve">https://creativecommons.org/licenses/by-sa/3.0	</v>
    </spb>
    <spb s="0">
      <v xml:space="preserve">Wikipedia	</v>
      <v xml:space="preserve">CC-BY-SA	</v>
      <v xml:space="preserve">http://en.wikipedia.org/wiki/Paz_de_Ariporo	</v>
      <v xml:space="preserve">http://creativecommons.org/licenses/by-sa/3.0/	</v>
    </spb>
    <spb s="18">
      <v>193</v>
      <v>193</v>
      <v>193</v>
      <v>194</v>
      <v>193</v>
      <v>193</v>
      <v>193</v>
      <v>193</v>
    </spb>
    <spb s="0">
      <v xml:space="preserve">Wikipedia	</v>
      <v xml:space="preserve">CC BY-SA 3.0	</v>
      <v xml:space="preserve">https://es.wikipedia.org/wiki/Orocu%C3%A9	</v>
      <v xml:space="preserve">https://creativecommons.org/licenses/by-sa/3.0	</v>
    </spb>
    <spb s="0">
      <v xml:space="preserve">Wikipedia	</v>
      <v xml:space="preserve">CC-BY-SA	</v>
      <v xml:space="preserve">http://en.wikipedia.org/wiki/Orocué	</v>
      <v xml:space="preserve">http://creativecommons.org/licenses/by-sa/3.0/	</v>
    </spb>
    <spb s="1">
      <v>196</v>
      <v>196</v>
      <v>196</v>
      <v>196</v>
      <v>197</v>
      <v>196</v>
      <v>196</v>
      <v>196</v>
      <v>196</v>
    </spb>
    <spb s="0">
      <v xml:space="preserve">Wikipedia	</v>
      <v xml:space="preserve">CC BY-SA 3.0	</v>
      <v xml:space="preserve">https://es.wikipedia.org/wiki/Ch%C3%ADa_(Colombia)	</v>
      <v xml:space="preserve">https://creativecommons.org/licenses/by-sa/3.0	</v>
    </spb>
    <spb s="1">
      <v>199</v>
      <v>199</v>
      <v>199</v>
      <v>199</v>
      <v>199</v>
      <v>199</v>
      <v>199</v>
      <v>199</v>
      <v>199</v>
    </spb>
    <spb s="0">
      <v xml:space="preserve">Wikipedia	</v>
      <v xml:space="preserve">CC BY-SA 3.0	</v>
      <v xml:space="preserve">https://es.wikipedia.org/wiki/Cauca_(Colombia)	</v>
      <v xml:space="preserve">https://creativecommons.org/licenses/by-sa/3.0	</v>
    </spb>
    <spb s="0">
      <v xml:space="preserve">Wikipedia	</v>
      <v xml:space="preserve">CC-BY-SA	</v>
      <v xml:space="preserve">http://en.wikipedia.org/wiki/Cauca_Department	</v>
      <v xml:space="preserve">http://creativecommons.org/licenses/by-sa/3.0/	</v>
    </spb>
    <spb s="10">
      <v>201</v>
      <v>201</v>
      <v>201</v>
      <v>201</v>
      <v>202</v>
      <v>201</v>
      <v>201</v>
      <v>201</v>
      <v>201</v>
    </spb>
    <spb s="0">
      <v xml:space="preserve">Wikipedia	</v>
      <v xml:space="preserve">CC BY-SA 3.0	</v>
      <v xml:space="preserve">https://es.wikipedia.org/wiki/El_Bordo_(Cauca)	</v>
      <v xml:space="preserve">https://creativecommons.org/licenses/by-sa/3.0	</v>
    </spb>
    <spb s="25">
      <v>204</v>
      <v>204</v>
      <v>204</v>
      <v>204</v>
      <v>204</v>
      <v>204</v>
    </spb>
    <spb s="26">
      <v>Image</v>
      <v>Name</v>
      <v>Latitude</v>
      <v>Longitude</v>
      <v>UniqueName</v>
      <v>VDPID/VSID</v>
      <v>Description</v>
      <v>Country/region</v>
      <v>LearnMoreOnLink</v>
    </spb>
    <spb s="3">
      <v>11</v>
      <v>Name</v>
      <v>LearnMoreOnLink</v>
    </spb>
    <spb s="0">
      <v xml:space="preserve">Wikipedia	</v>
      <v xml:space="preserve">CC BY-SA 3.0	</v>
      <v xml:space="preserve">https://es.wikipedia.org/wiki/Cesar	</v>
      <v xml:space="preserve">https://creativecommons.org/licenses/by-sa/3.0	</v>
    </spb>
    <spb s="0">
      <v xml:space="preserve">Wikipedia	</v>
      <v xml:space="preserve">CC-BY-SA	</v>
      <v xml:space="preserve">http://en.wikipedia.org/wiki/Cesar_Department	</v>
      <v xml:space="preserve">http://creativecommons.org/licenses/by-sa/3.0/	</v>
    </spb>
    <spb s="10">
      <v>208</v>
      <v>208</v>
      <v>208</v>
      <v>208</v>
      <v>209</v>
      <v>208</v>
      <v>208</v>
      <v>208</v>
      <v>208</v>
    </spb>
    <spb s="0">
      <v xml:space="preserve">Wikipedia	</v>
      <v xml:space="preserve">CC BY-SA 3.0	</v>
      <v xml:space="preserve">https://es.wikipedia.org/wiki/Aguachica	</v>
      <v xml:space="preserve">https://creativecommons.org/licenses/by-sa/3.0	</v>
    </spb>
    <spb s="1">
      <v>211</v>
      <v>211</v>
      <v>211</v>
      <v>211</v>
      <v>211</v>
      <v>211</v>
      <v>211</v>
      <v>211</v>
      <v>211</v>
    </spb>
    <spb s="8">
      <v>kilómetro cuadrado</v>
      <v>2019</v>
    </spb>
    <spb s="0">
      <v xml:space="preserve">Wikipedia	</v>
      <v xml:space="preserve">CC BY-SA 3.0	</v>
      <v xml:space="preserve">https://es.wikipedia.org/wiki/Pailitas	</v>
      <v xml:space="preserve">https://creativecommons.org/licenses/by-sa/3.0	</v>
    </spb>
    <spb s="1">
      <v>214</v>
      <v>214</v>
      <v>214</v>
      <v>214</v>
      <v>214</v>
      <v>214</v>
      <v>214</v>
      <v>214</v>
      <v>214</v>
    </spb>
    <spb s="0">
      <v xml:space="preserve">Wikipedia	</v>
      <v xml:space="preserve">CC BY-SA 3.0	</v>
      <v xml:space="preserve">https://es.wikipedia.org/wiki/Valledupar	</v>
      <v xml:space="preserve">https://creativecommons.org/licenses/by-sa/3.0	</v>
    </spb>
    <spb s="1">
      <v>216</v>
      <v>216</v>
      <v>216</v>
      <v>216</v>
      <v>216</v>
      <v>216</v>
      <v>216</v>
      <v>216</v>
      <v>216</v>
    </spb>
    <spb s="0">
      <v xml:space="preserve">Wikipedia	</v>
      <v xml:space="preserve">CC-BY-SA	</v>
      <v xml:space="preserve">http://en.wikipedia.org/wiki/Chiriguaná	</v>
      <v xml:space="preserve">http://creativecommons.org/licenses/by-sa/3.0/	</v>
    </spb>
    <spb s="0">
      <v xml:space="preserve">Wikipedia	</v>
      <v xml:space="preserve">CC BY-SA 3.0	</v>
      <v xml:space="preserve">https://es.wikipedia.org/wiki/Chiriguan%C3%A1	</v>
      <v xml:space="preserve">https://creativecommons.org/licenses/by-sa/3.0	</v>
    </spb>
    <spb s="1">
      <v>218</v>
      <v>219</v>
      <v>219</v>
      <v>219</v>
      <v>218</v>
      <v>219</v>
      <v>219</v>
      <v>219</v>
      <v>219</v>
    </spb>
    <spb s="0">
      <v xml:space="preserve">Wikipedia	</v>
      <v xml:space="preserve">CC BY-SA 3.0	</v>
      <v xml:space="preserve">https://es.wikipedia.org/wiki/Monter%C3%ADa	</v>
      <v xml:space="preserve">https://creativecommons.org/licenses/by-sa/3.0	</v>
    </spb>
    <spb s="1">
      <v>221</v>
      <v>221</v>
      <v>221</v>
      <v>221</v>
      <v>221</v>
      <v>221</v>
      <v>221</v>
      <v>221</v>
      <v>221</v>
    </spb>
    <spb s="0">
      <v xml:space="preserve">Wikipedia	</v>
      <v xml:space="preserve">CC BY-SA 3.0	</v>
      <v xml:space="preserve">https://es.wikipedia.org/wiki/Santa_Cruz_de_Lorica	</v>
      <v xml:space="preserve">https://creativecommons.org/licenses/by-sa/3.0	</v>
    </spb>
    <spb s="1">
      <v>223</v>
      <v>223</v>
      <v>223</v>
      <v>223</v>
      <v>223</v>
      <v>223</v>
      <v>223</v>
      <v>223</v>
      <v>223</v>
    </spb>
    <spb s="0">
      <v xml:space="preserve">Wikipedia	</v>
      <v xml:space="preserve">CC BY-SA 3.0	</v>
      <v xml:space="preserve">https://es.wikipedia.org/wiki/Sahag%C3%BAn_(Colombia)	</v>
      <v xml:space="preserve">https://creativecommons.org/licenses/by-sa/3.0	</v>
    </spb>
    <spb s="0">
      <v xml:space="preserve">Wikipedia	</v>
      <v xml:space="preserve">CC-BY-SA	</v>
      <v xml:space="preserve">http://en.wikipedia.org/wiki/Sahagún,_Córdoba	</v>
      <v xml:space="preserve">http://creativecommons.org/licenses/by-sa/3.0/	</v>
    </spb>
    <spb s="1">
      <v>225</v>
      <v>225</v>
      <v>225</v>
      <v>225</v>
      <v>226</v>
      <v>225</v>
      <v>225</v>
      <v>225</v>
      <v>225</v>
    </spb>
    <spb s="0">
      <v xml:space="preserve">Wikipedia	</v>
      <v xml:space="preserve">CC BY-SA 3.0	</v>
      <v xml:space="preserve">https://es.wikipedia.org/wiki/Planeta_Rica	</v>
      <v xml:space="preserve">https://creativecommons.org/licenses/by-sa/3.0	</v>
    </spb>
    <spb s="0">
      <v xml:space="preserve">Wikipedia	</v>
      <v xml:space="preserve">CC-BY-SA	</v>
      <v xml:space="preserve">http://en.wikipedia.org/wiki/Planeta_Rica	</v>
      <v xml:space="preserve">http://creativecommons.org/licenses/by-sa/3.0/	</v>
    </spb>
    <spb s="18">
      <v>228</v>
      <v>228</v>
      <v>228</v>
      <v>229</v>
      <v>228</v>
      <v>228</v>
      <v>228</v>
      <v>228</v>
    </spb>
    <spb s="0">
      <v xml:space="preserve">Wikipedia	</v>
      <v xml:space="preserve">CC BY-SA 3.0	</v>
      <v xml:space="preserve">https://es.wikipedia.org/wiki/El_Banco	</v>
      <v xml:space="preserve">https://creativecommons.org/licenses/by-sa/3.0	</v>
    </spb>
    <spb s="1">
      <v>231</v>
      <v>231</v>
      <v>231</v>
      <v>231</v>
      <v>231</v>
      <v>231</v>
      <v>231</v>
      <v>231</v>
      <v>231</v>
    </spb>
    <spb s="0">
      <v xml:space="preserve">Wikipedia	</v>
      <v xml:space="preserve">CC BY-SA 3.0	</v>
      <v xml:space="preserve">https://es.wikipedia.org/wiki/Zona_Bananera	</v>
      <v xml:space="preserve">https://creativecommons.org/licenses/by-sa/3.0	</v>
    </spb>
    <spb s="0">
      <v xml:space="preserve">Wikipedia	</v>
      <v xml:space="preserve">CC-BY-SA	</v>
      <v xml:space="preserve">http://en.wikipedia.org/wiki/Zona_Bananera,_Magdalena	</v>
      <v xml:space="preserve">http://creativecommons.org/licenses/by-sa/3.0/	</v>
    </spb>
    <spb s="18">
      <v>233</v>
      <v>233</v>
      <v>233</v>
      <v>234</v>
      <v>233</v>
      <v>233</v>
      <v>233</v>
      <v>233</v>
    </spb>
    <spb s="20">
      <v>2005</v>
    </spb>
    <spb s="0">
      <v xml:space="preserve">Wikipedia	</v>
      <v xml:space="preserve">CC BY-SA 3.0	</v>
      <v xml:space="preserve">https://es.wikipedia.org/wiki/Valencia	</v>
      <v xml:space="preserve">https://creativecommons.org/licenses/by-sa/3.0	</v>
    </spb>
    <spb s="1">
      <v>237</v>
      <v>237</v>
      <v>237</v>
      <v>237</v>
      <v>237</v>
      <v>237</v>
      <v>237</v>
      <v>237</v>
      <v>237</v>
    </spb>
    <spb s="0">
      <v xml:space="preserve">Wikipedia	</v>
      <v xml:space="preserve">CC BY-SA 3.0	</v>
      <v xml:space="preserve">https://es.wikipedia.org/wiki/Tierralta	</v>
      <v xml:space="preserve">https://creativecommons.org/licenses/by-sa/3.0	</v>
    </spb>
    <spb s="1">
      <v>239</v>
      <v>239</v>
      <v>239</v>
      <v>239</v>
      <v>239</v>
      <v>239</v>
      <v>239</v>
      <v>239</v>
      <v>239</v>
    </spb>
    <spb s="0">
      <v xml:space="preserve">Wikipedia	</v>
      <v xml:space="preserve">CC BY-SA 3.0	</v>
      <v xml:space="preserve">https://es.wikipedia.org/wiki/Ayapel	</v>
      <v xml:space="preserve">https://creativecommons.org/licenses/by-sa/3.0	</v>
    </spb>
    <spb s="18">
      <v>241</v>
      <v>241</v>
      <v>241</v>
      <v>241</v>
      <v>241</v>
      <v>241</v>
      <v>241</v>
      <v>241</v>
    </spb>
    <spb s="0">
      <v xml:space="preserve">Wikipedia	</v>
      <v xml:space="preserve">CC BY-SA 3.0	</v>
      <v xml:space="preserve">https://es.wikipedia.org/wiki/Cundinamarca	</v>
      <v xml:space="preserve">https://creativecommons.org/licenses/by-sa/3.0	</v>
    </spb>
    <spb s="0">
      <v xml:space="preserve">Wikipedia	</v>
      <v xml:space="preserve">CC-BY-SA	</v>
      <v xml:space="preserve">http://en.wikipedia.org/wiki/Cundinamarca_Department	</v>
      <v xml:space="preserve">http://creativecommons.org/licenses/by-sa/3.0/	</v>
    </spb>
    <spb s="10">
      <v>243</v>
      <v>243</v>
      <v>243</v>
      <v>243</v>
      <v>244</v>
      <v>243</v>
      <v>243</v>
      <v>243</v>
      <v>243</v>
    </spb>
    <spb s="0">
      <v xml:space="preserve">Wikipedia	</v>
      <v xml:space="preserve">CC BY-SA 3.0	</v>
      <v xml:space="preserve">https://es.wikipedia.org/wiki/Soacha	</v>
      <v xml:space="preserve">https://creativecommons.org/licenses/by-sa/3.0	</v>
    </spb>
    <spb s="1">
      <v>246</v>
      <v>246</v>
      <v>246</v>
      <v>246</v>
      <v>246</v>
      <v>246</v>
      <v>246</v>
      <v>246</v>
      <v>246</v>
    </spb>
    <spb s="0">
      <v xml:space="preserve">Wikipedia	</v>
      <v xml:space="preserve">CC BY-SA 3.0	</v>
      <v xml:space="preserve">https://es.wikipedia.org/wiki/Tabio	</v>
      <v xml:space="preserve">https://creativecommons.org/licenses/by-sa/3.0	</v>
    </spb>
    <spb s="0">
      <v xml:space="preserve">Wikipedia	</v>
      <v xml:space="preserve">CC-BY-SA	</v>
      <v xml:space="preserve">http://en.wikipedia.org/wiki/Tabio	</v>
      <v xml:space="preserve">http://creativecommons.org/licenses/by-sa/3.0/	</v>
    </spb>
    <spb s="1">
      <v>248</v>
      <v>248</v>
      <v>248</v>
      <v>248</v>
      <v>249</v>
      <v>248</v>
      <v>248</v>
      <v>248</v>
      <v>248</v>
    </spb>
    <spb s="0">
      <v xml:space="preserve">Wikipedia	</v>
      <v xml:space="preserve">CC BY-SA 3.0	</v>
      <v xml:space="preserve">https://es.wikipedia.org/wiki/Ubat%C3%A9	</v>
      <v xml:space="preserve">https://creativecommons.org/licenses/by-sa/3.0	</v>
    </spb>
    <spb s="0">
      <v xml:space="preserve">Wikipedia	</v>
      <v xml:space="preserve">CC-BY-SA	</v>
      <v xml:space="preserve">http://en.wikipedia.org/wiki/Ubaté	</v>
      <v xml:space="preserve">http://creativecommons.org/licenses/by-sa/3.0/	</v>
    </spb>
    <spb s="1">
      <v>251</v>
      <v>251</v>
      <v>251</v>
      <v>251</v>
      <v>252</v>
      <v>251</v>
      <v>251</v>
      <v>251</v>
      <v>251</v>
    </spb>
    <spb s="0">
      <v xml:space="preserve">Wikipedia	</v>
      <v xml:space="preserve">CC BY-SA 3.0	</v>
      <v xml:space="preserve">https://es.wikipedia.org/wiki/C%C3%A1queza	</v>
      <v xml:space="preserve">https://creativecommons.org/licenses/by-sa/3.0	</v>
    </spb>
    <spb s="0">
      <v xml:space="preserve">Wikipedia	</v>
      <v xml:space="preserve">CC-BY-SA	</v>
      <v xml:space="preserve">http://en.wikipedia.org/wiki/Cáqueza	</v>
      <v xml:space="preserve">http://creativecommons.org/licenses/by-sa/3.0/	</v>
    </spb>
    <spb s="1">
      <v>254</v>
      <v>254</v>
      <v>254</v>
      <v>254</v>
      <v>255</v>
      <v>254</v>
      <v>254</v>
      <v>254</v>
      <v>254</v>
    </spb>
    <spb s="0">
      <v xml:space="preserve">Wikipedia	</v>
      <v xml:space="preserve">CC BY-SA 3.0	</v>
      <v xml:space="preserve">https://es.wikipedia.org/wiki/Fusagasug%C3%A1	</v>
      <v xml:space="preserve">https://creativecommons.org/licenses/by-sa/3.0	</v>
    </spb>
    <spb s="13">
      <v>257</v>
      <v>257</v>
      <v>257</v>
      <v>257</v>
      <v>257</v>
      <v>257</v>
      <v>257</v>
      <v>257</v>
      <v>257</v>
      <v>257</v>
    </spb>
    <spb s="0">
      <v xml:space="preserve">Wikipedia	</v>
      <v xml:space="preserve">CC BY-SA 3.0	</v>
      <v xml:space="preserve">https://es.wikipedia.org/wiki/Zipaquir%C3%A1	</v>
      <v xml:space="preserve">https://creativecommons.org/licenses/by-sa/3.0	</v>
    </spb>
    <spb s="1">
      <v>259</v>
      <v>259</v>
      <v>259</v>
      <v>259</v>
      <v>259</v>
      <v>259</v>
      <v>259</v>
      <v>259</v>
      <v>259</v>
    </spb>
    <spb s="0">
      <v xml:space="preserve">Wikipedia	</v>
      <v xml:space="preserve">CC BY-SA 3.0	</v>
      <v xml:space="preserve">https://es.wikipedia.org/wiki/Yacop%C3%AD	</v>
      <v xml:space="preserve">https://creativecommons.org/licenses/by-sa/3.0	</v>
    </spb>
    <spb s="0">
      <v xml:space="preserve">Wikipedia	</v>
      <v xml:space="preserve">CC-BY-SA	</v>
      <v xml:space="preserve">http://en.wikipedia.org/wiki/Yacopí	</v>
      <v xml:space="preserve">http://creativecommons.org/licenses/by-sa/3.0/	</v>
    </spb>
    <spb s="1">
      <v>261</v>
      <v>261</v>
      <v>261</v>
      <v>261</v>
      <v>262</v>
      <v>261</v>
      <v>261</v>
      <v>261</v>
      <v>261</v>
    </spb>
    <spb s="0">
      <v xml:space="preserve">Wikipedia	</v>
      <v xml:space="preserve">CC BY-SA 3.0	</v>
      <v xml:space="preserve">https://es.wikipedia.org/wiki/Pacho	</v>
      <v xml:space="preserve">https://creativecommons.org/licenses/by-sa/3.0	</v>
    </spb>
    <spb s="0">
      <v xml:space="preserve">Wikipedia	</v>
      <v xml:space="preserve">CC-BY-SA	</v>
      <v xml:space="preserve">http://en.wikipedia.org/wiki/Pacho	</v>
      <v xml:space="preserve">http://creativecommons.org/licenses/by-sa/3.0/	</v>
    </spb>
    <spb s="1">
      <v>264</v>
      <v>264</v>
      <v>264</v>
      <v>264</v>
      <v>265</v>
      <v>264</v>
      <v>264</v>
      <v>264</v>
      <v>264</v>
    </spb>
    <spb s="0">
      <v xml:space="preserve">Wikipedia	</v>
      <v xml:space="preserve">CC BY-SA 3.0	</v>
      <v xml:space="preserve">https://es.wikipedia.org/wiki/Medina_(Cundinamarca)	</v>
      <v xml:space="preserve">https://creativecommons.org/licenses/by-sa/3.0	</v>
    </spb>
    <spb s="0">
      <v xml:space="preserve">Wikipedia	</v>
      <v xml:space="preserve">CC-BY-SA	</v>
      <v xml:space="preserve">http://en.wikipedia.org/wiki/Medina,_Cundinamarca	</v>
      <v xml:space="preserve">http://creativecommons.org/licenses/by-sa/3.0/	</v>
    </spb>
    <spb s="18">
      <v>267</v>
      <v>267</v>
      <v>267</v>
      <v>268</v>
      <v>267</v>
      <v>267</v>
      <v>267</v>
      <v>267</v>
    </spb>
    <spb s="0">
      <v xml:space="preserve">Wikipedia	</v>
      <v xml:space="preserve">CC BY-SA 3.0	</v>
      <v xml:space="preserve">https://es.wikipedia.org/wiki/Chocont%C3%A1	</v>
      <v xml:space="preserve">https://creativecommons.org/licenses/by-sa/3.0	</v>
    </spb>
    <spb s="1">
      <v>270</v>
      <v>270</v>
      <v>270</v>
      <v>270</v>
      <v>270</v>
      <v>270</v>
      <v>270</v>
      <v>270</v>
      <v>270</v>
    </spb>
    <spb s="0">
      <v xml:space="preserve">Wikipedia	</v>
      <v xml:space="preserve">CC BY-SA 3.0	</v>
      <v xml:space="preserve">https://es.wikipedia.org/wiki/Villeta_(Cundinamarca)	</v>
      <v xml:space="preserve">https://creativecommons.org/licenses/by-sa/3.0	</v>
    </spb>
    <spb s="1">
      <v>272</v>
      <v>272</v>
      <v>272</v>
      <v>272</v>
      <v>272</v>
      <v>272</v>
      <v>272</v>
      <v>272</v>
      <v>272</v>
    </spb>
    <spb s="0">
      <v xml:space="preserve">Wikipedia	</v>
      <v xml:space="preserve">CC BY-SA 3.0	</v>
      <v xml:space="preserve">https://es.wikipedia.org/wiki/Gachet%C3%A1	</v>
      <v xml:space="preserve">https://creativecommons.org/licenses/by-sa/3.0	</v>
    </spb>
    <spb s="0">
      <v xml:space="preserve">Wikipedia	</v>
      <v xml:space="preserve">CC-BY-SA	</v>
      <v xml:space="preserve">http://en.wikipedia.org/wiki/Gachetá	</v>
      <v xml:space="preserve">http://creativecommons.org/licenses/by-sa/3.0/	</v>
    </spb>
    <spb s="1">
      <v>274</v>
      <v>274</v>
      <v>274</v>
      <v>274</v>
      <v>275</v>
      <v>274</v>
      <v>274</v>
      <v>274</v>
      <v>274</v>
    </spb>
    <spb s="0">
      <v xml:space="preserve">Wikipedia	</v>
      <v xml:space="preserve">CC BY-SA 3.0	</v>
      <v xml:space="preserve">https://es.wikipedia.org/wiki/La_Mesa_(Cundinamarca)	</v>
      <v xml:space="preserve">https://creativecommons.org/licenses/by-sa/3.0	</v>
    </spb>
    <spb s="0">
      <v xml:space="preserve">Wikipedia	</v>
      <v xml:space="preserve">CC-BY-SA	</v>
      <v xml:space="preserve">http://en.wikipedia.org/wiki/La_Mesa,_Cundinamarca	</v>
      <v xml:space="preserve">http://creativecommons.org/licenses/by-sa/3.0/	</v>
    </spb>
    <spb s="1">
      <v>277</v>
      <v>277</v>
      <v>277</v>
      <v>277</v>
      <v>278</v>
      <v>277</v>
      <v>277</v>
      <v>277</v>
      <v>277</v>
    </spb>
    <spb s="0">
      <v xml:space="preserve">Wikipedia	</v>
      <v xml:space="preserve">CC BY-SA 3.0	</v>
      <v xml:space="preserve">https://es.wikipedia.org/wiki/Girardot	</v>
      <v xml:space="preserve">https://creativecommons.org/licenses/by-sa/3.0	</v>
    </spb>
    <spb s="13">
      <v>280</v>
      <v>280</v>
      <v>280</v>
      <v>280</v>
      <v>280</v>
      <v>280</v>
      <v>280</v>
      <v>280</v>
      <v>280</v>
      <v>280</v>
    </spb>
    <spb s="0">
      <v xml:space="preserve">Wikipedia	</v>
      <v xml:space="preserve">CC BY-SA 3.0	</v>
      <v xml:space="preserve">https://es.wikipedia.org/wiki/Huila	</v>
      <v xml:space="preserve">https://creativecommons.org/licenses/by-sa/3.0	</v>
    </spb>
    <spb s="0">
      <v xml:space="preserve">Wikipedia	</v>
      <v xml:space="preserve">CC-BY-SA	</v>
      <v xml:space="preserve">http://en.wikipedia.org/wiki/Huila_Department	</v>
      <v xml:space="preserve">http://creativecommons.org/licenses/by-sa/3.0/	</v>
    </spb>
    <spb s="10">
      <v>282</v>
      <v>282</v>
      <v>282</v>
      <v>282</v>
      <v>283</v>
      <v>282</v>
      <v>282</v>
      <v>282</v>
      <v>282</v>
    </spb>
    <spb s="0">
      <v xml:space="preserve">Wikipedia	</v>
      <v xml:space="preserve">CC BY-SA 3.0	</v>
      <v xml:space="preserve">https://es.wikipedia.org/wiki/Neiva	</v>
      <v xml:space="preserve">https://creativecommons.org/licenses/by-sa/3.0	</v>
    </spb>
    <spb s="1">
      <v>285</v>
      <v>285</v>
      <v>285</v>
      <v>285</v>
      <v>285</v>
      <v>285</v>
      <v>285</v>
      <v>285</v>
      <v>285</v>
    </spb>
    <spb s="0">
      <v xml:space="preserve">Wikipedia	</v>
      <v xml:space="preserve">CC BY-SA 3.0	</v>
      <v xml:space="preserve">https://es.wikipedia.org/wiki/Pitalito	</v>
      <v xml:space="preserve">https://creativecommons.org/licenses/by-sa/3.0	</v>
    </spb>
    <spb s="1">
      <v>287</v>
      <v>287</v>
      <v>287</v>
      <v>287</v>
      <v>287</v>
      <v>287</v>
      <v>287</v>
      <v>287</v>
      <v>287</v>
    </spb>
    <spb s="0">
      <v xml:space="preserve">Wikipedia	</v>
      <v xml:space="preserve">CC BY-SA 3.0	</v>
      <v xml:space="preserve">https://es.wikipedia.org/wiki/La_Plata_(Huila)	</v>
      <v xml:space="preserve">https://creativecommons.org/licenses/by-sa/3.0	</v>
    </spb>
    <spb s="0">
      <v xml:space="preserve">Wikipedia	</v>
      <v xml:space="preserve">CC-BY-SA	</v>
      <v xml:space="preserve">http://en.wikipedia.org/wiki/La_Plata,_Huila	</v>
      <v xml:space="preserve">http://creativecommons.org/licenses/by-sa/3.0/	</v>
    </spb>
    <spb s="1">
      <v>289</v>
      <v>289</v>
      <v>289</v>
      <v>289</v>
      <v>290</v>
      <v>289</v>
      <v>289</v>
      <v>289</v>
      <v>289</v>
    </spb>
    <spb s="8">
      <v>kilómetro cuadrado</v>
      <v>2010</v>
    </spb>
    <spb s="0">
      <v xml:space="preserve">Wikipedia	</v>
      <v xml:space="preserve">CC BY-SA 3.0	</v>
      <v xml:space="preserve">https://es.wikipedia.org/wiki/Garz%C3%B3n_(Huila)	</v>
      <v xml:space="preserve">https://creativecommons.org/licenses/by-sa/3.0	</v>
    </spb>
    <spb s="1">
      <v>293</v>
      <v>293</v>
      <v>293</v>
      <v>293</v>
      <v>293</v>
      <v>293</v>
      <v>293</v>
      <v>293</v>
      <v>293</v>
    </spb>
    <spb s="0">
      <v xml:space="preserve">Wikipedia	</v>
      <v xml:space="preserve">CC BY-SA 3.0	</v>
      <v xml:space="preserve">https://es.wikipedia.org/wiki/Magdalena_(Colombia)	</v>
      <v xml:space="preserve">https://creativecommons.org/licenses/by-sa/3.0	</v>
    </spb>
    <spb s="0">
      <v xml:space="preserve">Wikipedia	</v>
      <v xml:space="preserve">CC-BY-SA	</v>
      <v xml:space="preserve">http://en.wikipedia.org/wiki/Magdalena_Department	</v>
      <v xml:space="preserve">http://creativecommons.org/licenses/by-sa/3.0/	</v>
    </spb>
    <spb s="10">
      <v>295</v>
      <v>295</v>
      <v>295</v>
      <v>295</v>
      <v>296</v>
      <v>295</v>
      <v>295</v>
      <v>295</v>
      <v>295</v>
    </spb>
    <spb s="0">
      <v xml:space="preserve">Wikipedia	</v>
      <v xml:space="preserve">CC BY-SA 3.0	</v>
      <v xml:space="preserve">https://es.wikipedia.org/wiki/Fundaci%C3%B3n_(Magdalena)	</v>
      <v xml:space="preserve">https://creativecommons.org/licenses/by-sa/3.0	</v>
    </spb>
    <spb s="1">
      <v>298</v>
      <v>298</v>
      <v>298</v>
      <v>298</v>
      <v>298</v>
      <v>298</v>
      <v>298</v>
      <v>298</v>
      <v>298</v>
    </spb>
    <spb s="0">
      <v xml:space="preserve">Wikipedia	</v>
      <v xml:space="preserve">CC BY-SA 3.0	</v>
      <v xml:space="preserve">https://es.wikipedia.org/wiki/Santa_Marta_(Colombia)	</v>
      <v xml:space="preserve">https://creativecommons.org/licenses/by-sa/3.0	</v>
    </spb>
    <spb s="1">
      <v>300</v>
      <v>300</v>
      <v>300</v>
      <v>300</v>
      <v>300</v>
      <v>300</v>
      <v>300</v>
      <v>300</v>
      <v>300</v>
    </spb>
    <spb s="0">
      <v xml:space="preserve">Wikipedia	</v>
      <v xml:space="preserve">CC BY-SA 3.0	</v>
      <v xml:space="preserve">https://es.wikipedia.org/wiki/Ariguan%C3%AD	</v>
      <v xml:space="preserve">https://creativecommons.org/licenses/by-sa/3.0	</v>
    </spb>
    <spb s="0">
      <v xml:space="preserve">Wikipedia	</v>
      <v xml:space="preserve">CC-BY-SA	</v>
      <v xml:space="preserve">http://en.wikipedia.org/wiki/Ariguaní	</v>
      <v xml:space="preserve">http://creativecommons.org/licenses/by-sa/3.0/	</v>
    </spb>
    <spb s="18">
      <v>302</v>
      <v>302</v>
      <v>302</v>
      <v>303</v>
      <v>302</v>
      <v>302</v>
      <v>302</v>
      <v>302</v>
    </spb>
    <spb s="3">
      <v>12</v>
      <v>Name</v>
      <v>LearnMoreOnLink</v>
    </spb>
    <spb s="0">
      <v xml:space="preserve">Wikipedia	</v>
      <v xml:space="preserve">CC BY-SA 3.0	</v>
      <v xml:space="preserve">https://es.wikipedia.org/wiki/Plato_(Magdalena)	</v>
      <v xml:space="preserve">https://creativecommons.org/licenses/by-sa/3.0	</v>
    </spb>
    <spb s="0">
      <v xml:space="preserve">Wikipedia	</v>
      <v xml:space="preserve">CC-BY-SA	</v>
      <v xml:space="preserve">http://en.wikipedia.org/wiki/Plato,_Magdalena	</v>
      <v xml:space="preserve">http://creativecommons.org/licenses/by-sa/3.0/	</v>
    </spb>
    <spb s="1">
      <v>306</v>
      <v>306</v>
      <v>306</v>
      <v>306</v>
      <v>307</v>
      <v>306</v>
      <v>306</v>
      <v>306</v>
      <v>306</v>
    </spb>
    <spb s="0">
      <v xml:space="preserve">Wikipedia	</v>
      <v xml:space="preserve">CC BY-SA 3.0	</v>
      <v xml:space="preserve">https://es.wikipedia.org/wiki/Meta_(Colombia)	</v>
      <v xml:space="preserve">https://creativecommons.org/licenses/by-sa/3.0	</v>
    </spb>
    <spb s="0">
      <v xml:space="preserve">Wikipedia	</v>
      <v xml:space="preserve">CC-BY-SA	</v>
      <v xml:space="preserve">http://en.wikipedia.org/wiki/Meta_Department	</v>
      <v xml:space="preserve">http://creativecommons.org/licenses/by-sa/3.0/	</v>
    </spb>
    <spb s="10">
      <v>309</v>
      <v>309</v>
      <v>309</v>
      <v>309</v>
      <v>310</v>
      <v>309</v>
      <v>309</v>
      <v>309</v>
      <v>309</v>
    </spb>
    <spb s="0">
      <v xml:space="preserve">Wikipedia	</v>
      <v xml:space="preserve">CC BY-SA 3.0	</v>
      <v xml:space="preserve">https://es.wikipedia.org/wiki/Villavicencio	</v>
      <v xml:space="preserve">https://creativecommons.org/licenses/by-sa/3.0	</v>
    </spb>
    <spb s="1">
      <v>312</v>
      <v>312</v>
      <v>312</v>
      <v>312</v>
      <v>312</v>
      <v>312</v>
      <v>312</v>
      <v>312</v>
      <v>312</v>
    </spb>
    <spb s="0">
      <v xml:space="preserve">Wikipedia	</v>
      <v xml:space="preserve">CC BY-SA 3.0	</v>
      <v xml:space="preserve">https://es.wikipedia.org/wiki/Restrepo_(Meta)	</v>
      <v xml:space="preserve">https://creativecommons.org/licenses/by-sa/3.0	</v>
    </spb>
    <spb s="0">
      <v xml:space="preserve">Wikipedia	</v>
      <v xml:space="preserve">CC-BY-SA	</v>
      <v xml:space="preserve">http://en.wikipedia.org/wiki/Restrepo,_Meta	</v>
      <v xml:space="preserve">http://creativecommons.org/licenses/by-sa/3.0/	</v>
    </spb>
    <spb s="1">
      <v>314</v>
      <v>314</v>
      <v>314</v>
      <v>314</v>
      <v>315</v>
      <v>314</v>
      <v>314</v>
      <v>314</v>
      <v>314</v>
    </spb>
    <spb s="0">
      <v xml:space="preserve">Wikipedia	</v>
      <v xml:space="preserve">CC BY-SA 3.0	</v>
      <v xml:space="preserve">https://es.wikipedia.org/wiki/Cumaral	</v>
      <v xml:space="preserve">https://creativecommons.org/licenses/by-sa/3.0	</v>
    </spb>
    <spb s="0">
      <v xml:space="preserve">Wikipedia	</v>
      <v xml:space="preserve">CC-BY-SA	</v>
      <v xml:space="preserve">http://en.wikipedia.org/wiki/Cumaral	</v>
      <v xml:space="preserve">http://creativecommons.org/licenses/by-sa/3.0/	</v>
    </spb>
    <spb s="1">
      <v>317</v>
      <v>317</v>
      <v>317</v>
      <v>317</v>
      <v>318</v>
      <v>317</v>
      <v>317</v>
      <v>317</v>
      <v>317</v>
    </spb>
    <spb s="0">
      <v xml:space="preserve">Wikipedia	</v>
      <v xml:space="preserve">CC BY-SA 3.0	</v>
      <v xml:space="preserve">https://es.wikipedia.org/wiki/Acac%C3%ADas	</v>
      <v xml:space="preserve">https://creativecommons.org/licenses/by-sa/3.0	</v>
    </spb>
    <spb s="0">
      <v xml:space="preserve">Wikipedia	</v>
      <v xml:space="preserve">CC-BY-SA	</v>
      <v xml:space="preserve">http://en.wikipedia.org/wiki/Acacías	</v>
      <v xml:space="preserve">http://creativecommons.org/licenses/by-sa/3.0/	</v>
    </spb>
    <spb s="1">
      <v>320</v>
      <v>320</v>
      <v>320</v>
      <v>320</v>
      <v>321</v>
      <v>320</v>
      <v>320</v>
      <v>320</v>
      <v>320</v>
    </spb>
    <spb s="0">
      <v xml:space="preserve">Wikipedia	</v>
      <v xml:space="preserve">CC BY-SA 3.0	</v>
      <v xml:space="preserve">https://es.wikipedia.org/wiki/Guamal_(Magdalena)	</v>
      <v xml:space="preserve">https://creativecommons.org/licenses/by-sa/3.0	</v>
    </spb>
    <spb s="0">
      <v xml:space="preserve">Wikipedia	</v>
      <v xml:space="preserve">CC-BY-SA	</v>
      <v xml:space="preserve">http://en.wikipedia.org/wiki/Guamal	</v>
      <v xml:space="preserve">http://creativecommons.org/licenses/by-sa/3.0/	</v>
    </spb>
    <spb s="18">
      <v>323</v>
      <v>323</v>
      <v>323</v>
      <v>324</v>
      <v>323</v>
      <v>323</v>
      <v>323</v>
      <v>323</v>
    </spb>
    <spb s="0">
      <v xml:space="preserve">Wikipedia	</v>
      <v xml:space="preserve">CC BY-SA 3.0	</v>
      <v xml:space="preserve">https://es.wikipedia.org/wiki/San_Mart%C3%ADn_(Meta)	</v>
      <v xml:space="preserve">https://creativecommons.org/licenses/by-sa/3.0	</v>
    </spb>
    <spb s="0">
      <v xml:space="preserve">Wikipedia	</v>
      <v xml:space="preserve">CC-BY-SA	</v>
      <v xml:space="preserve">http://en.wikipedia.org/wiki/San_Martín,_Meta	</v>
      <v xml:space="preserve">http://creativecommons.org/licenses/by-sa/3.0/	</v>
    </spb>
    <spb s="1">
      <v>326</v>
      <v>326</v>
      <v>326</v>
      <v>326</v>
      <v>327</v>
      <v>326</v>
      <v>326</v>
      <v>326</v>
      <v>326</v>
    </spb>
    <spb s="0">
      <v xml:space="preserve">Wikipedia	</v>
      <v xml:space="preserve">CC BY-SA 3.0	</v>
      <v xml:space="preserve">https://es.wikipedia.org/wiki/Granada_(Meta)	</v>
      <v xml:space="preserve">https://creativecommons.org/licenses/by-sa/3.0	</v>
    </spb>
    <spb s="1">
      <v>329</v>
      <v>329</v>
      <v>329</v>
      <v>329</v>
      <v>329</v>
      <v>329</v>
      <v>329</v>
      <v>329</v>
      <v>329</v>
    </spb>
    <spb s="0">
      <v xml:space="preserve">Wikipedia	Wikipedia	</v>
      <v xml:space="preserve">CC-BY-SA	CC-BY-SA	</v>
      <v xml:space="preserve">http://en.wikipedia.org/wiki/Puerto_López,_Meta	http://es.wikipedia.org/wiki/Puerto_López_(Colombia)	</v>
      <v xml:space="preserve">http://creativecommons.org/licenses/by-sa/3.0/	http://creativecommons.org/licenses/by-sa/3.0/	</v>
    </spb>
    <spb s="0">
      <v xml:space="preserve">Wikipedia	</v>
      <v xml:space="preserve">CC BY-SA 3.0	</v>
      <v xml:space="preserve">https://es.wikipedia.org/wiki/Puerto_L%C3%B3pez_(Colombia)	</v>
      <v xml:space="preserve">https://creativecommons.org/licenses/by-sa/3.0	</v>
    </spb>
    <spb s="0">
      <v xml:space="preserve">Wikipedia	</v>
      <v xml:space="preserve">CC-BY-SA	</v>
      <v xml:space="preserve">http://en.wikipedia.org/wiki/Puerto_López,_Meta	</v>
      <v xml:space="preserve">http://creativecommons.org/licenses/by-sa/3.0/	</v>
    </spb>
    <spb s="1">
      <v>331</v>
      <v>332</v>
      <v>332</v>
      <v>332</v>
      <v>333</v>
      <v>332</v>
      <v>332</v>
      <v>332</v>
      <v>332</v>
    </spb>
    <spb s="0">
      <v xml:space="preserve">Wikipedia	</v>
      <v xml:space="preserve">CC-BY-SA	</v>
      <v xml:space="preserve">http://en.wikipedia.org/wiki/Puerto_Gaitán	</v>
      <v xml:space="preserve">http://creativecommons.org/licenses/by-sa/3.0/	</v>
    </spb>
    <spb s="0">
      <v xml:space="preserve">Wikipedia	</v>
      <v xml:space="preserve">CC BY-SA 3.0	</v>
      <v xml:space="preserve">https://es.wikipedia.org/wiki/Puerto_Gait%C3%A1n	</v>
      <v xml:space="preserve">https://creativecommons.org/licenses/by-sa/3.0	</v>
    </spb>
    <spb s="1">
      <v>335</v>
      <v>336</v>
      <v>336</v>
      <v>336</v>
      <v>335</v>
      <v>336</v>
      <v>336</v>
      <v>336</v>
      <v>336</v>
    </spb>
    <spb s="0">
      <v xml:space="preserve">Wikipedia	</v>
      <v xml:space="preserve">CC BY-SA 3.0	</v>
      <v xml:space="preserve">https://es.wikipedia.org/wiki/Barrancabermeja	</v>
      <v xml:space="preserve">https://creativecommons.org/licenses/by-sa/3.0	</v>
    </spb>
    <spb s="1">
      <v>338</v>
      <v>338</v>
      <v>338</v>
      <v>338</v>
      <v>338</v>
      <v>338</v>
      <v>338</v>
      <v>338</v>
      <v>338</v>
    </spb>
    <spb s="0">
      <v xml:space="preserve">Wikipedia	</v>
      <v xml:space="preserve">CC BY-SA 3.0	</v>
      <v xml:space="preserve">https://es.wikipedia.org/wiki/Nari%C3%B1o_(Colombia)	</v>
      <v xml:space="preserve">https://creativecommons.org/licenses/by-sa/3.0	</v>
    </spb>
    <spb s="0">
      <v xml:space="preserve">Wikipedia	</v>
      <v xml:space="preserve">CC-BY-SA	</v>
      <v xml:space="preserve">http://en.wikipedia.org/wiki/Nariño_Department	</v>
      <v xml:space="preserve">http://creativecommons.org/licenses/by-sa/3.0/	</v>
    </spb>
    <spb s="10">
      <v>340</v>
      <v>340</v>
      <v>341</v>
      <v>340</v>
      <v>341</v>
      <v>340</v>
      <v>340</v>
      <v>340</v>
      <v>340</v>
    </spb>
    <spb s="12">
      <v>kilómetro cuadrado</v>
      <v>2018</v>
      <v>2005</v>
    </spb>
    <spb s="0">
      <v xml:space="preserve">Wikipedia	</v>
      <v xml:space="preserve">CC BY-SA 3.0	</v>
      <v xml:space="preserve">https://es.wikipedia.org/wiki/Ipiales	</v>
      <v xml:space="preserve">https://creativecommons.org/licenses/by-sa/3.0	</v>
    </spb>
    <spb s="1">
      <v>344</v>
      <v>344</v>
      <v>344</v>
      <v>344</v>
      <v>344</v>
      <v>344</v>
      <v>344</v>
      <v>344</v>
      <v>344</v>
    </spb>
    <spb s="0">
      <v xml:space="preserve">Wikipedia	</v>
      <v xml:space="preserve">CC BY-SA 3.0	</v>
      <v xml:space="preserve">https://es.wikipedia.org/wiki/T%C3%BAquerres	</v>
      <v xml:space="preserve">https://creativecommons.org/licenses/by-sa/3.0	</v>
    </spb>
    <spb s="18">
      <v>346</v>
      <v>346</v>
      <v>346</v>
      <v>346</v>
      <v>346</v>
      <v>346</v>
      <v>346</v>
      <v>346</v>
    </spb>
    <spb s="0">
      <v xml:space="preserve">Wikipedia	</v>
      <v xml:space="preserve">CC-BY-SA	</v>
      <v xml:space="preserve">http://en.wikipedia.org/wiki/Guachucal	</v>
      <v xml:space="preserve">http://creativecommons.org/licenses/by-sa/3.0/	</v>
    </spb>
    <spb s="0">
      <v xml:space="preserve">Wikipedia	</v>
      <v xml:space="preserve">CC BY-SA 3.0	</v>
      <v xml:space="preserve">https://es.wikipedia.org/wiki/Guachucal	</v>
      <v xml:space="preserve">https://creativecommons.org/licenses/by-sa/3.0	</v>
    </spb>
    <spb s="1">
      <v>348</v>
      <v>349</v>
      <v>349</v>
      <v>349</v>
      <v>348</v>
      <v>349</v>
      <v>349</v>
      <v>349</v>
      <v>349</v>
    </spb>
    <spb s="0">
      <v xml:space="preserve">Wikipedia	</v>
      <v xml:space="preserve">CC-BY-SA	</v>
      <v xml:space="preserve">http://en.wikipedia.org/wiki/La_Cruz,_Nariño	</v>
      <v xml:space="preserve">http://creativecommons.org/licenses/by-sa/3.0/	</v>
    </spb>
    <spb s="0">
      <v xml:space="preserve">Wikipedia	</v>
      <v xml:space="preserve">CC BY-SA 3.0	</v>
      <v xml:space="preserve">https://es.wikipedia.org/wiki/La_Cruz_(Nari%C3%B1o)	</v>
      <v xml:space="preserve">https://creativecommons.org/licenses/by-sa/3.0	</v>
    </spb>
    <spb s="1">
      <v>351</v>
      <v>352</v>
      <v>352</v>
      <v>352</v>
      <v>351</v>
      <v>352</v>
      <v>352</v>
      <v>352</v>
      <v>352</v>
    </spb>
    <spb s="0">
      <v xml:space="preserve">Wikipedia	</v>
      <v xml:space="preserve">CC BY-SA 3.0	</v>
      <v xml:space="preserve">https://es.wikipedia.org/wiki/Norte_de_Santander	</v>
      <v xml:space="preserve">https://creativecommons.org/licenses/by-sa/3.0	</v>
    </spb>
    <spb s="0">
      <v xml:space="preserve">Wikipedia	</v>
      <v xml:space="preserve">CC-BY-SA	</v>
      <v xml:space="preserve">http://en.wikipedia.org/wiki/Norte_de_Santander_Department	</v>
      <v xml:space="preserve">http://creativecommons.org/licenses/by-sa/3.0/	</v>
    </spb>
    <spb s="10">
      <v>354</v>
      <v>354</v>
      <v>354</v>
      <v>354</v>
      <v>355</v>
      <v>354</v>
      <v>354</v>
      <v>354</v>
      <v>354</v>
    </spb>
    <spb s="0">
      <v xml:space="preserve">Wikipedia	</v>
      <v xml:space="preserve">CC BY-SA 3.0	</v>
      <v xml:space="preserve">https://es.wikipedia.org/wiki/C%C3%BAcuta	</v>
      <v xml:space="preserve">https://creativecommons.org/licenses/by-sa/3.0	</v>
    </spb>
    <spb s="1">
      <v>357</v>
      <v>357</v>
      <v>357</v>
      <v>357</v>
      <v>357</v>
      <v>357</v>
      <v>357</v>
      <v>357</v>
      <v>357</v>
    </spb>
    <spb s="0">
      <v xml:space="preserve">Wikipedia	</v>
      <v xml:space="preserve">CC BY-SA 3.0	</v>
      <v xml:space="preserve">https://es.wikipedia.org/wiki/Paestum	</v>
      <v xml:space="preserve">https://creativecommons.org/licenses/by-sa/3.0	</v>
    </spb>
    <spb s="27">
      <v>359</v>
      <v>359</v>
      <v>359</v>
      <v>359</v>
      <v>359</v>
      <v>359</v>
      <v>359</v>
      <v>359</v>
    </spb>
    <spb s="28">
      <v>Image</v>
      <v>Name</v>
      <v>Latitude</v>
      <v>Longitude</v>
      <v>UniqueName</v>
      <v>Description</v>
      <v>Country/region</v>
      <v>LearnMoreOnLink</v>
      <v>Admin Division 1 (State/province/other)</v>
      <v>Admin Division 2 (County/district/other)</v>
    </spb>
    <spb s="3">
      <v>13</v>
      <v>Name</v>
      <v>LearnMoreOnLink</v>
    </spb>
    <spb s="29">
      <v>4</v>
      <v>4</v>
    </spb>
    <spb s="0">
      <v xml:space="preserve">Wikipedia	</v>
      <v xml:space="preserve">CC BY-SA 3.0	</v>
      <v xml:space="preserve">https://es.wikipedia.org/wiki/Pamplona_(Colombia)	</v>
      <v xml:space="preserve">https://creativecommons.org/licenses/by-sa/3.0	</v>
    </spb>
    <spb s="1">
      <v>364</v>
      <v>364</v>
      <v>364</v>
      <v>364</v>
      <v>364</v>
      <v>364</v>
      <v>364</v>
      <v>364</v>
      <v>364</v>
    </spb>
    <spb s="0">
      <v xml:space="preserve">Wikipedia	Wikipedia	</v>
      <v xml:space="preserve">CC-BY-SA	CC-BY-SA	</v>
      <v xml:space="preserve">http://en.wikipedia.org/wiki/Ocaña,_Norte_de_Santander	http://es.wikipedia.org/wiki/Ocaña_(Norte_de_Santander)	</v>
      <v xml:space="preserve">http://creativecommons.org/licenses/by-sa/3.0/	http://creativecommons.org/licenses/by-sa/3.0/	</v>
    </spb>
    <spb s="0">
      <v xml:space="preserve">Wikipedia	Wikipedia	</v>
      <v xml:space="preserve">CC-BY-SA	CC-BY-SA	</v>
      <v xml:space="preserve">http://es.wikipedia.org/wiki/Ocaña_(Norte_de_Santander)	http://lt.wikipedia.org/wiki/Okanja	</v>
      <v xml:space="preserve">http://creativecommons.org/licenses/by-sa/3.0/	http://creativecommons.org/licenses/by-sa/3.0/	</v>
    </spb>
    <spb s="0">
      <v xml:space="preserve">Wikipedia	</v>
      <v xml:space="preserve">CC-BY-SA	</v>
      <v xml:space="preserve">http://en.wikipedia.org/wiki/Ocaña,_Norte_de_Santander	</v>
      <v xml:space="preserve">http://creativecommons.org/licenses/by-sa/3.0/	</v>
    </spb>
    <spb s="0">
      <v xml:space="preserve">Wikipedia	</v>
      <v xml:space="preserve">CC-BY-SA	</v>
      <v xml:space="preserve">http://es.wikipedia.org/wiki/Ocaña_(Norte_de_Santander)	</v>
      <v xml:space="preserve">http://creativecommons.org/licenses/by-sa/3.0/	</v>
    </spb>
    <spb s="0">
      <v xml:space="preserve">Wikipedia	Wikipedia	Wikipedia	</v>
      <v xml:space="preserve">CC-BY-SA	CC-BY-SA	CC-BY-SA	</v>
      <v xml:space="preserve">http://en.wikipedia.org/wiki/Ocaña,_Norte_de_Santander	http://es.wikipedia.org/wiki/Ocaña_(Norte_de_Santander)	http://lt.wikipedia.org/wiki/Okanja	</v>
      <v xml:space="preserve">http://creativecommons.org/licenses/by-sa/3.0/	http://creativecommons.org/licenses/by-sa/3.0/	http://creativecommons.org/licenses/by-sa/3.0/	</v>
    </spb>
    <spb s="30">
      <v>366</v>
      <v>367</v>
      <v>368</v>
      <v>367</v>
      <v>369</v>
      <v>370</v>
    </spb>
    <spb s="31">
      <v>Area</v>
      <v>Name</v>
      <v>Latitude</v>
      <v>Longitude</v>
      <v>Population</v>
      <v>UniqueName</v>
      <v>VDPID/VSID</v>
      <v>Description</v>
      <v>Country/region</v>
      <v>LearnMoreOnLink</v>
    </spb>
    <spb s="3">
      <v>14</v>
      <v>Name</v>
      <v>LearnMoreOnLink</v>
    </spb>
    <spb s="32">
      <v>0</v>
      <v>0</v>
    </spb>
    <spb s="33">
      <v>4</v>
      <v>4</v>
      <v>374</v>
      <v>4</v>
    </spb>
    <spb s="34">
      <v>2</v>
      <v>5</v>
    </spb>
    <spb s="0">
      <v xml:space="preserve">Wikipedia	</v>
      <v xml:space="preserve">CC BY-SA 3.0	</v>
      <v xml:space="preserve">https://es.wikipedia.org/wiki/Quind%C3%ADo	</v>
      <v xml:space="preserve">https://creativecommons.org/licenses/by-sa/3.0	</v>
    </spb>
    <spb s="0">
      <v xml:space="preserve">Wikipedia	</v>
      <v xml:space="preserve">CC-BY-SA	</v>
      <v xml:space="preserve">http://en.wikipedia.org/wiki/Quindío_Department	</v>
      <v xml:space="preserve">http://creativecommons.org/licenses/by-sa/3.0/	</v>
    </spb>
    <spb s="10">
      <v>377</v>
      <v>377</v>
      <v>377</v>
      <v>377</v>
      <v>378</v>
      <v>377</v>
      <v>377</v>
      <v>377</v>
      <v>377</v>
    </spb>
    <spb s="0">
      <v xml:space="preserve">Wikipedia	</v>
      <v xml:space="preserve">CC BY-SA 3.0	</v>
      <v xml:space="preserve">https://es.wikipedia.org/wiki/Santander_(Colombia)	</v>
      <v xml:space="preserve">https://creativecommons.org/licenses/by-sa/3.0	</v>
    </spb>
    <spb s="0">
      <v xml:space="preserve">Wikipedia	</v>
      <v xml:space="preserve">CC-BY-SA	</v>
      <v xml:space="preserve">http://en.wikipedia.org/wiki/Santander_Department	</v>
      <v xml:space="preserve">http://creativecommons.org/licenses/by-sa/3.0/	</v>
    </spb>
    <spb s="10">
      <v>380</v>
      <v>380</v>
      <v>380</v>
      <v>380</v>
      <v>381</v>
      <v>380</v>
      <v>380</v>
      <v>380</v>
      <v>380</v>
    </spb>
    <spb s="0">
      <v xml:space="preserve">Wikipedia	</v>
      <v xml:space="preserve">CC BY-SA 3.0	</v>
      <v xml:space="preserve">https://es.wikipedia.org/wiki/Bucaramanga	</v>
      <v xml:space="preserve">https://creativecommons.org/licenses/by-sa/3.0	</v>
    </spb>
    <spb s="1">
      <v>383</v>
      <v>383</v>
      <v>383</v>
      <v>383</v>
      <v>383</v>
      <v>383</v>
      <v>383</v>
      <v>383</v>
      <v>383</v>
    </spb>
    <spb s="0">
      <v xml:space="preserve">Wikipedia	</v>
      <v xml:space="preserve">CC BY-SA 3.0	</v>
      <v xml:space="preserve">https://es.wikipedia.org/wiki/San_Vicente_de_Chucur%C3%AD	</v>
      <v xml:space="preserve">https://creativecommons.org/licenses/by-sa/3.0	</v>
    </spb>
    <spb s="1">
      <v>385</v>
      <v>385</v>
      <v>385</v>
      <v>385</v>
      <v>385</v>
      <v>385</v>
      <v>385</v>
      <v>385</v>
      <v>385</v>
    </spb>
    <spb s="0">
      <v xml:space="preserve">Wikipedia	</v>
      <v xml:space="preserve">CC BY-SA 3.0	</v>
      <v xml:space="preserve">https://es.wikipedia.org/wiki/Cimitarra_(Colombia)	</v>
      <v xml:space="preserve">https://creativecommons.org/licenses/by-sa/3.0	</v>
    </spb>
    <spb s="0">
      <v xml:space="preserve">Wikipedia	</v>
      <v xml:space="preserve">CC-BY-SA	</v>
      <v xml:space="preserve">http://en.wikipedia.org/wiki/Cimitarra	</v>
      <v xml:space="preserve">http://creativecommons.org/licenses/by-sa/3.0/	</v>
    </spb>
    <spb s="18">
      <v>387</v>
      <v>387</v>
      <v>387</v>
      <v>388</v>
      <v>387</v>
      <v>387</v>
      <v>387</v>
      <v>387</v>
    </spb>
    <spb s="0">
      <v xml:space="preserve">Wikipedia	</v>
      <v xml:space="preserve">CC BY-SA 3.0	</v>
      <v xml:space="preserve">https://es.wikipedia.org/wiki/Sabana_de_Torres	</v>
      <v xml:space="preserve">https://creativecommons.org/licenses/by-sa/3.0	</v>
    </spb>
    <spb s="0">
      <v xml:space="preserve">Wikipedia	</v>
      <v xml:space="preserve">CC-BY-SA	</v>
      <v xml:space="preserve">http://en.wikipedia.org/wiki/Sabana_de_Torres	</v>
      <v xml:space="preserve">http://creativecommons.org/licenses/by-sa/3.0/	</v>
    </spb>
    <spb s="1">
      <v>390</v>
      <v>390</v>
      <v>390</v>
      <v>390</v>
      <v>391</v>
      <v>390</v>
      <v>390</v>
      <v>390</v>
      <v>390</v>
    </spb>
    <spb s="0">
      <v xml:space="preserve">Wikipedia	</v>
      <v xml:space="preserve">CC BY-SA 3.0	</v>
      <v xml:space="preserve">https://es.wikipedia.org/wiki/M%C3%A1laga_(Santander)	</v>
      <v xml:space="preserve">https://creativecommons.org/licenses/by-sa/3.0	</v>
    </spb>
    <spb s="0">
      <v xml:space="preserve">Wikipedia	</v>
      <v xml:space="preserve">CC-BY-SA	</v>
      <v xml:space="preserve">http://en.wikipedia.org/wiki/Málaga,_Santander	</v>
      <v xml:space="preserve">http://creativecommons.org/licenses/by-sa/3.0/	</v>
    </spb>
    <spb s="1">
      <v>393</v>
      <v>393</v>
      <v>393</v>
      <v>393</v>
      <v>394</v>
      <v>393</v>
      <v>393</v>
      <v>393</v>
      <v>393</v>
    </spb>
    <spb s="0">
      <v xml:space="preserve">Wikipedia	</v>
      <v xml:space="preserve">CC BY-SA 3.0	</v>
      <v xml:space="preserve">https://es.wikipedia.org/wiki/San_Gil_(Colombia)	</v>
      <v xml:space="preserve">https://creativecommons.org/licenses/by-sa/3.0	</v>
    </spb>
    <spb s="0">
      <v xml:space="preserve">Wikipedia	</v>
      <v xml:space="preserve">CC-BY-SA	</v>
      <v xml:space="preserve">http://en.wikipedia.org/wiki/San_Gil	</v>
      <v xml:space="preserve">http://creativecommons.org/licenses/by-sa/3.0/	</v>
    </spb>
    <spb s="1">
      <v>396</v>
      <v>396</v>
      <v>396</v>
      <v>396</v>
      <v>397</v>
      <v>396</v>
      <v>396</v>
      <v>396</v>
      <v>396</v>
    </spb>
    <spb s="0">
      <v xml:space="preserve">Wikipedia	</v>
      <v xml:space="preserve">CC BY-SA 3.0	</v>
      <v xml:space="preserve">https://es.wikipedia.org/wiki/El_Socorro_(Santander)	</v>
      <v xml:space="preserve">https://creativecommons.org/licenses/by-sa/3.0	</v>
    </spb>
    <spb s="0">
      <v xml:space="preserve">Wikipedia	</v>
      <v xml:space="preserve">CC-BY-SA	</v>
      <v xml:space="preserve">http://en.wikipedia.org/wiki/Socorro,_Santander	</v>
      <v xml:space="preserve">http://creativecommons.org/licenses/by-sa/3.0/	</v>
    </spb>
    <spb s="1">
      <v>399</v>
      <v>399</v>
      <v>399</v>
      <v>399</v>
      <v>400</v>
      <v>399</v>
      <v>399</v>
      <v>399</v>
      <v>399</v>
    </spb>
    <spb s="0">
      <v xml:space="preserve">Wikipedia	</v>
      <v xml:space="preserve">CC BY-SA 3.0	</v>
      <v xml:space="preserve">https://es.wikipedia.org/wiki/V%C3%A9lez_(Santander)	</v>
      <v xml:space="preserve">https://creativecommons.org/licenses/by-sa/3.0	</v>
    </spb>
    <spb s="0">
      <v xml:space="preserve">Wikipedia	</v>
      <v xml:space="preserve">CC-BY-SA	</v>
      <v xml:space="preserve">http://en.wikipedia.org/wiki/Vélez,_Santander	</v>
      <v xml:space="preserve">http://creativecommons.org/licenses/by-sa/3.0/	</v>
    </spb>
    <spb s="1">
      <v>402</v>
      <v>402</v>
      <v>402</v>
      <v>402</v>
      <v>403</v>
      <v>402</v>
      <v>402</v>
      <v>402</v>
      <v>402</v>
    </spb>
    <spb s="0">
      <v xml:space="preserve">Wikipedia	</v>
      <v xml:space="preserve">CC BY-SA 3.0	</v>
      <v xml:space="preserve">https://es.wikipedia.org/wiki/Sucre_(Colombia)	</v>
      <v xml:space="preserve">https://creativecommons.org/licenses/by-sa/3.0	</v>
    </spb>
    <spb s="0">
      <v xml:space="preserve">Wikipedia	</v>
      <v xml:space="preserve">CC-BY-SA	</v>
      <v xml:space="preserve">http://en.wikipedia.org/wiki/Sucre_Department	</v>
      <v xml:space="preserve">http://creativecommons.org/licenses/by-sa/3.0/	</v>
    </spb>
    <spb s="10">
      <v>405</v>
      <v>405</v>
      <v>405</v>
      <v>405</v>
      <v>406</v>
      <v>405</v>
      <v>405</v>
      <v>405</v>
      <v>405</v>
    </spb>
    <spb s="0">
      <v xml:space="preserve">Wikipedia	</v>
      <v xml:space="preserve">CC BY-SA 3.0	</v>
      <v xml:space="preserve">https://es.wikipedia.org/wiki/Sincelejo	</v>
      <v xml:space="preserve">https://creativecommons.org/licenses/by-sa/3.0	</v>
    </spb>
    <spb s="1">
      <v>408</v>
      <v>408</v>
      <v>408</v>
      <v>408</v>
      <v>408</v>
      <v>408</v>
      <v>408</v>
      <v>408</v>
      <v>408</v>
    </spb>
    <spb s="0">
      <v xml:space="preserve">Wikipedia	</v>
      <v xml:space="preserve">CC BY-SA 3.0	</v>
      <v xml:space="preserve">https://es.wikipedia.org/wiki/Corozal_(Colombia)	</v>
      <v xml:space="preserve">https://creativecommons.org/licenses/by-sa/3.0	</v>
    </spb>
    <spb s="0">
      <v xml:space="preserve">Wikipedia	</v>
      <v xml:space="preserve">CC-BY-SA	</v>
      <v xml:space="preserve">http://en.wikipedia.org/wiki/Corozal,_Sucre	</v>
      <v xml:space="preserve">http://creativecommons.org/licenses/by-sa/3.0/	</v>
    </spb>
    <spb s="1">
      <v>410</v>
      <v>410</v>
      <v>410</v>
      <v>410</v>
      <v>411</v>
      <v>410</v>
      <v>410</v>
      <v>410</v>
      <v>410</v>
    </spb>
    <spb s="0">
      <v xml:space="preserve">Wikipedia	</v>
      <v xml:space="preserve">CC BY-SA 3.0	</v>
      <v xml:space="preserve">https://es.wikipedia.org/wiki/Majagual	</v>
      <v xml:space="preserve">https://creativecommons.org/licenses/by-sa/3.0	</v>
    </spb>
    <spb s="0">
      <v xml:space="preserve">Wikipedia	</v>
      <v xml:space="preserve">CC-BY-SA	</v>
      <v xml:space="preserve">http://en.wikipedia.org/wiki/Majagual,_Sucre	</v>
      <v xml:space="preserve">http://creativecommons.org/licenses/by-sa/3.0/	</v>
    </spb>
    <spb s="1">
      <v>413</v>
      <v>413</v>
      <v>413</v>
      <v>413</v>
      <v>414</v>
      <v>413</v>
      <v>413</v>
      <v>413</v>
      <v>413</v>
    </spb>
    <spb s="0">
      <v xml:space="preserve">Wikipedia	</v>
      <v xml:space="preserve">CC BY-SA 3.0	</v>
      <v xml:space="preserve">https://es.wikipedia.org/wiki/San_Marcos_(Sucre)	</v>
      <v xml:space="preserve">https://creativecommons.org/licenses/by-sa/3.0	</v>
    </spb>
    <spb s="0">
      <v xml:space="preserve">Wikipedia	</v>
      <v xml:space="preserve">CC-BY-SA	</v>
      <v xml:space="preserve">http://en.wikipedia.org/wiki/San_Marcos,_Sucre	</v>
      <v xml:space="preserve">http://creativecommons.org/licenses/by-sa/3.0/	</v>
    </spb>
    <spb s="1">
      <v>416</v>
      <v>416</v>
      <v>416</v>
      <v>416</v>
      <v>417</v>
      <v>416</v>
      <v>416</v>
      <v>416</v>
      <v>416</v>
    </spb>
    <spb s="0">
      <v xml:space="preserve">Wikipedia	</v>
      <v xml:space="preserve">CC BY-SA 3.0	</v>
      <v xml:space="preserve">https://es.wikipedia.org/wiki/San_Onofre_(Sucre)	</v>
      <v xml:space="preserve">https://creativecommons.org/licenses/by-sa/3.0	</v>
    </spb>
    <spb s="0">
      <v xml:space="preserve">Wikipedia	</v>
      <v xml:space="preserve">CC-BY-SA	</v>
      <v xml:space="preserve">http://en.wikipedia.org/wiki/San_Onofre,_Sucre	</v>
      <v xml:space="preserve">http://creativecommons.org/licenses/by-sa/3.0/	</v>
    </spb>
    <spb s="1">
      <v>419</v>
      <v>419</v>
      <v>419</v>
      <v>419</v>
      <v>420</v>
      <v>419</v>
      <v>419</v>
      <v>419</v>
      <v>419</v>
    </spb>
    <spb s="0">
      <v xml:space="preserve">Wikipedia	</v>
      <v xml:space="preserve">CC BY-SA 3.0	</v>
      <v xml:space="preserve">https://es.wikipedia.org/wiki/Sinc%C3%A9	</v>
      <v xml:space="preserve">https://creativecommons.org/licenses/by-sa/3.0	</v>
    </spb>
    <spb s="0">
      <v xml:space="preserve">Wikipedia	</v>
      <v xml:space="preserve">CC-BY-SA	</v>
      <v xml:space="preserve">http://en.wikipedia.org/wiki/Sincé	</v>
      <v xml:space="preserve">http://creativecommons.org/licenses/by-sa/3.0/	</v>
    </spb>
    <spb s="1">
      <v>422</v>
      <v>422</v>
      <v>422</v>
      <v>422</v>
      <v>423</v>
      <v>422</v>
      <v>422</v>
      <v>422</v>
      <v>422</v>
    </spb>
    <spb s="0">
      <v xml:space="preserve">Wikipedia	</v>
      <v xml:space="preserve">CC BY-SA 3.0	</v>
      <v xml:space="preserve">https://es.wikipedia.org/wiki/Toluviejo	</v>
      <v xml:space="preserve">https://creativecommons.org/licenses/by-sa/3.0	</v>
    </spb>
    <spb s="0">
      <v xml:space="preserve">Wikipedia	</v>
      <v xml:space="preserve">CC-BY-SA	</v>
      <v xml:space="preserve">http://en.wikipedia.org/wiki/Toluviejo	</v>
      <v xml:space="preserve">http://creativecommons.org/licenses/by-sa/3.0/	</v>
    </spb>
    <spb s="1">
      <v>425</v>
      <v>425</v>
      <v>425</v>
      <v>425</v>
      <v>426</v>
      <v>425</v>
      <v>425</v>
      <v>425</v>
      <v>425</v>
    </spb>
    <spb s="0">
      <v xml:space="preserve">Wikipedia	</v>
      <v xml:space="preserve">CC BY-SA 3.0	</v>
      <v xml:space="preserve">https://es.wikipedia.org/wiki/Tolima	</v>
      <v xml:space="preserve">https://creativecommons.org/licenses/by-sa/3.0	</v>
    </spb>
    <spb s="0">
      <v xml:space="preserve">Wikipedia	</v>
      <v xml:space="preserve">CC-BY-SA	</v>
      <v xml:space="preserve">http://en.wikipedia.org/wiki/Tolima_Department	</v>
      <v xml:space="preserve">http://creativecommons.org/licenses/by-sa/3.0/	</v>
    </spb>
    <spb s="10">
      <v>428</v>
      <v>428</v>
      <v>428</v>
      <v>428</v>
      <v>429</v>
      <v>428</v>
      <v>428</v>
      <v>428</v>
      <v>428</v>
    </spb>
    <spb s="0">
      <v xml:space="preserve">Wikipedia	</v>
      <v xml:space="preserve">CC BY-SA 3.0	</v>
      <v xml:space="preserve">https://es.wikipedia.org/wiki/Ibagu%C3%A9	</v>
      <v xml:space="preserve">https://creativecommons.org/licenses/by-sa/3.0	</v>
    </spb>
    <spb s="1">
      <v>431</v>
      <v>431</v>
      <v>431</v>
      <v>431</v>
      <v>431</v>
      <v>431</v>
      <v>431</v>
      <v>431</v>
      <v>431</v>
    </spb>
    <spb s="0">
      <v xml:space="preserve">Wikipedia	</v>
      <v xml:space="preserve">CC BY-SA 3.0	</v>
      <v xml:space="preserve">https://es.wikipedia.org/wiki/Valle_del_Cauca	</v>
      <v xml:space="preserve">https://creativecommons.org/licenses/by-sa/3.0	</v>
    </spb>
    <spb s="0">
      <v xml:space="preserve">Wikipedia	</v>
      <v xml:space="preserve">CC-BY-SA	</v>
      <v xml:space="preserve">http://en.wikipedia.org/wiki/Valle_del_Cauca_Department	</v>
      <v xml:space="preserve">http://creativecommons.org/licenses/by-sa/3.0/	</v>
    </spb>
    <spb s="10">
      <v>433</v>
      <v>433</v>
      <v>433</v>
      <v>433</v>
      <v>434</v>
      <v>433</v>
      <v>433</v>
      <v>433</v>
      <v>433</v>
    </spb>
    <spb s="0">
      <v xml:space="preserve">Wikipedia	</v>
      <v xml:space="preserve">CC BY-SA 3.0	</v>
      <v xml:space="preserve">https://es.wikipedia.org/wiki/Palmira_(Colombia)	</v>
      <v xml:space="preserve">https://creativecommons.org/licenses/by-sa/3.0	</v>
    </spb>
    <spb s="1">
      <v>436</v>
      <v>436</v>
      <v>436</v>
      <v>436</v>
      <v>436</v>
      <v>436</v>
      <v>436</v>
      <v>436</v>
      <v>436</v>
    </spb>
    <spb s="0">
      <v xml:space="preserve">Wikipedia	</v>
      <v xml:space="preserve">CC BY-SA 3.0	</v>
      <v xml:space="preserve">https://es.wikipedia.org/wiki/Tulu%C3%A1	</v>
      <v xml:space="preserve">https://creativecommons.org/licenses/by-sa/3.0	</v>
    </spb>
    <spb s="1">
      <v>438</v>
      <v>438</v>
      <v>438</v>
      <v>438</v>
      <v>438</v>
      <v>438</v>
      <v>438</v>
      <v>438</v>
      <v>438</v>
    </spb>
  </spbData>
</supportingPropertyBags>
</file>

<file path=xl/richData/rdsupportingpropertybagstructure.xml><?xml version="1.0" encoding="utf-8"?>
<spbStructures xmlns="http://schemas.microsoft.com/office/spreadsheetml/2017/richdata2" count="35">
  <s>
    <k n="SourceText" t="s"/>
    <k n="LicenseText" t="s"/>
    <k n="SourceAddress" t="s"/>
    <k n="LicenseAddress" t="s"/>
  </s>
  <s>
    <k n="`Área" t="spb"/>
    <k n="Nombre" t="spb"/>
    <k n="Latitud" t="spb"/>
    <k n="Longitud" t="spb"/>
    <k n="Población" t="spb"/>
    <k n="UniqueName" t="spb"/>
    <k n="Descripción" t="spb"/>
    <k n="País o región" t="spb"/>
    <k n="División de administración 1 (estado/provincia/otro)" t="spb"/>
  </s>
  <s>
    <k n="Área" t="s"/>
    <k n="Imagen" t="s"/>
    <k n="Nombre" t="s"/>
    <k n="Latitud" t="s"/>
    <k n="Longitud" t="s"/>
    <k n="Población" t="s"/>
    <k n="UniqueName" t="s"/>
    <k n="VDPID/VSID" t="s"/>
    <k n="Descripción" t="s"/>
    <k n="País o región" t="s"/>
    <k n="LearnMoreOnLink" t="s"/>
    <k n="División de administración 1 (estado/provincia/otro)" t="s"/>
  </s>
  <s>
    <k n="^Order" t="spba"/>
    <k n="TitleProperty" t="s"/>
    <k n="SubTitleProperty" t="s"/>
  </s>
  <s>
    <k n="ShowInCardView" t="b"/>
    <k n="ShowInDotNotation" t="b"/>
    <k n="ShowInAutoComplete" t="b"/>
  </s>
  <s>
    <k n="UniqueName" t="spb"/>
    <k n="VDPID/VSID" t="spb"/>
    <k n="LearnMoreOnLink" t="spb"/>
  </s>
  <s>
    <k n="Imagen" t="i"/>
    <k n="Nombre" t="i"/>
  </s>
  <s>
    <k n="link" t="s"/>
    <k n="logo" t="s"/>
    <k n="name" t="s"/>
  </s>
  <s>
    <k n="`Área" t="s"/>
    <k n="Población" t="s"/>
  </s>
  <s>
    <k n="_Self" t="i"/>
  </s>
  <s>
    <k n="`Área" t="spb"/>
    <k n="Nombre" t="spb"/>
    <k n="Población" t="spb"/>
    <k n="UniqueName" t="spb"/>
    <k n="Abreviatura" t="spb"/>
    <k n="Descripción" t="spb"/>
    <k n="País o región" t="spb"/>
    <k n="Ciudad más grande" t="spb"/>
    <k n="Capital/ciudad principal" t="spb"/>
  </s>
  <s>
    <k n="Área" t="s"/>
    <k n="Imagen" t="s"/>
    <k n="Nombre" t="s"/>
    <k n="Población" t="s"/>
    <k n="UniqueName" t="s"/>
    <k n="VDPID/VSID" t="s"/>
    <k n="Abreviatura" t="s"/>
    <k n="Descripción" t="s"/>
    <k n="País o región" t="s"/>
    <k n="LearnMoreOnLink" t="s"/>
    <k n="Ciudad más grande" t="s"/>
    <k n="Unidades de vivienda" t="s"/>
    <k n="Capital/ciudad principal" t="s"/>
  </s>
  <s>
    <k n="`Área" t="s"/>
    <k n="Población" t="s"/>
    <k n="Unidades de vivienda" t="s"/>
  </s>
  <s>
    <k n="`Área" t="spb"/>
    <k n="Nombre" t="spb"/>
    <k n="Latitud" t="spb"/>
    <k n="Longitud" t="spb"/>
    <k n="Población" t="spb"/>
    <k n="UniqueName" t="spb"/>
    <k n="Descripción" t="spb"/>
    <k n="País o región" t="spb"/>
    <k n="División de administración 1 (estado/provincia/otro)" t="spb"/>
    <k n="División de administración 2 (condado/distrito/otro)" t="spb"/>
  </s>
  <s>
    <k n="Área" t="s"/>
    <k n="Imagen" t="s"/>
    <k n="Nombre" t="s"/>
    <k n="Latitud" t="s"/>
    <k n="Longitud" t="s"/>
    <k n="Población" t="s"/>
    <k n="UniqueName" t="s"/>
    <k n="VDPID/VSID" t="s"/>
    <k n="Descripción" t="s"/>
    <k n="País o región" t="s"/>
    <k n="LearnMoreOnLink" t="s"/>
    <k n="División de administración 1 (estado/provincia/otro)" t="s"/>
    <k n="División de administración 2 (condado/distrito/otro)" t="s"/>
  </s>
  <s>
    <k n="`Área" t="spb"/>
    <k n="Nombre" t="spb"/>
    <k n="Latitud" t="spb"/>
    <k n="Longitud" t="spb"/>
    <k n="UniqueName" t="spb"/>
    <k n="Descripción" t="spb"/>
    <k n="País o región" t="spb"/>
    <k n="División de administración 1 (estado/provincia/otro)" t="spb"/>
    <k n="División de administración 2 (condado/distrito/otro)" t="spb"/>
  </s>
  <s>
    <k n="Área" t="s"/>
    <k n="Imagen" t="s"/>
    <k n="Nombre" t="s"/>
    <k n="Latitud" t="s"/>
    <k n="Longitud" t="s"/>
    <k n="UniqueName" t="s"/>
    <k n="VDPID/VSID" t="s"/>
    <k n="Descripción" t="s"/>
    <k n="País o región" t="s"/>
    <k n="LearnMoreOnLink" t="s"/>
    <k n="División de administración 1 (estado/provincia/otro)" t="s"/>
    <k n="División de administración 2 (condado/distrito/otro)" t="s"/>
  </s>
  <s>
    <k n="`Área" t="s"/>
  </s>
  <s>
    <k n="Nombre" t="spb"/>
    <k n="Latitud" t="spb"/>
    <k n="Longitud" t="spb"/>
    <k n="Población" t="spb"/>
    <k n="UniqueName" t="spb"/>
    <k n="Descripción" t="spb"/>
    <k n="País o región" t="spb"/>
    <k n="División de administración 1 (estado/provincia/otro)" t="spb"/>
  </s>
  <s>
    <k n="Imagen" t="s"/>
    <k n="Nombre" t="s"/>
    <k n="Latitud" t="s"/>
    <k n="Longitud" t="s"/>
    <k n="Población" t="s"/>
    <k n="UniqueName" t="s"/>
    <k n="VDPID/VSID" t="s"/>
    <k n="Descripción" t="s"/>
    <k n="País o región" t="s"/>
    <k n="LearnMoreOnLink" t="s"/>
    <k n="División de administración 1 (estado/provincia/otro)" t="s"/>
  </s>
  <s>
    <k n="Población" t="s"/>
  </s>
  <s>
    <k n="`Área" t="spb"/>
    <k n="Nombre" t="spb"/>
    <k n="Latitud" t="spb"/>
    <k n="Longitud" t="spb"/>
    <k n="UniqueName" t="spb"/>
    <k n="Descripción" t="spb"/>
    <k n="País o región" t="spb"/>
    <k n="División de administración 1 (estado/provincia/otro)" t="spb"/>
  </s>
  <s>
    <k n="Área" t="s"/>
    <k n="Imagen" t="s"/>
    <k n="Nombre" t="s"/>
    <k n="Latitud" t="s"/>
    <k n="Longitud" t="s"/>
    <k n="UniqueName" t="s"/>
    <k n="VDPID/VSID" t="s"/>
    <k n="Descripción" t="s"/>
    <k n="País o región" t="s"/>
    <k n="LearnMoreOnLink" t="s"/>
    <k n="División de administración 1 (estado/provincia/otro)" t="s"/>
  </s>
  <s>
    <k n="Nombre" t="spb"/>
    <k n="Latitud" t="spb"/>
    <k n="Longitud" t="spb"/>
    <k n="Población" t="spb"/>
    <k n="UniqueName" t="spb"/>
    <k n="Descripción" t="spb"/>
    <k n="País o región" t="spb"/>
    <k n="División de administración 1 (estado/provincia/otro)" t="spb"/>
    <k n="División de administración 2 (condado/distrito/otro)" t="spb"/>
  </s>
  <s>
    <k n="Imagen" t="s"/>
    <k n="Nombre" t="s"/>
    <k n="Latitud" t="s"/>
    <k n="Longitud" t="s"/>
    <k n="Población" t="s"/>
    <k n="UniqueName" t="s"/>
    <k n="VDPID/VSID" t="s"/>
    <k n="Descripción" t="s"/>
    <k n="País o región" t="s"/>
    <k n="LearnMoreOnLink" t="s"/>
    <k n="División de administración 1 (estado/provincia/otro)" t="s"/>
    <k n="División de administración 2 (condado/distrito/otro)" t="s"/>
  </s>
  <s>
    <k n="Nombre" t="spb"/>
    <k n="Latitud" t="spb"/>
    <k n="Longitud" t="spb"/>
    <k n="UniqueName" t="spb"/>
    <k n="Descripción" t="spb"/>
    <k n="País o región" t="spb"/>
  </s>
  <s>
    <k n="Imagen" t="s"/>
    <k n="Nombre" t="s"/>
    <k n="Latitud" t="s"/>
    <k n="Longitud" t="s"/>
    <k n="UniqueName" t="s"/>
    <k n="VDPID/VSID" t="s"/>
    <k n="Descripción" t="s"/>
    <k n="País o región" t="s"/>
    <k n="LearnMoreOnLink" t="s"/>
  </s>
  <s>
    <k n="Nombre" t="spb"/>
    <k n="Latitud" t="spb"/>
    <k n="Longitud" t="spb"/>
    <k n="UniqueName" t="spb"/>
    <k n="Descripción" t="spb"/>
    <k n="País o región" t="spb"/>
    <k n="División de administración 1 (estado/provincia/otro)" t="spb"/>
    <k n="División de administración 2 (condado/distrito/otro)" t="spb"/>
  </s>
  <s>
    <k n="Imagen" t="s"/>
    <k n="Nombre" t="s"/>
    <k n="Latitud" t="s"/>
    <k n="Longitud" t="s"/>
    <k n="UniqueName" t="s"/>
    <k n="Descripción" t="s"/>
    <k n="País o región" t="s"/>
    <k n="LearnMoreOnLink" t="s"/>
    <k n="División de administración 1 (estado/provincia/otro)" t="s"/>
    <k n="División de administración 2 (condado/distrito/otro)" t="s"/>
  </s>
  <s>
    <k n="UniqueName" t="spb"/>
    <k n="LearnMoreOnLink" t="spb"/>
  </s>
  <s>
    <k n="`Área" t="spb"/>
    <k n="Nombre" t="spb"/>
    <k n="Población" t="spb"/>
    <k n="UniqueName" t="spb"/>
    <k n="Descripción" t="spb"/>
    <k n="País o región" t="spb"/>
  </s>
  <s>
    <k n="Área" t="s"/>
    <k n="Nombre" t="s"/>
    <k n="Latitud" t="s"/>
    <k n="Longitud" t="s"/>
    <k n="Población" t="s"/>
    <k n="UniqueName" t="s"/>
    <k n="VDPID/VSID" t="s"/>
    <k n="Descripción" t="s"/>
    <k n="País o región" t="s"/>
    <k n="LearnMoreOnLink" t="s"/>
  </s>
  <s>
    <k n="ShowInDotNotation" t="b"/>
    <k n="ShowInAutoComplete" t="b"/>
  </s>
  <s>
    <k n="UniqueName" t="spb"/>
    <k n="VDPID/VSID" t="spb"/>
    <k n="Descripción" t="spb"/>
    <k n="LearnMoreOnLink" t="spb"/>
  </s>
  <s>
    <k n="Nombre" t="i"/>
    <k n="Descripción"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2">
    <x:dxf>
      <x:numFmt numFmtId="3" formatCode="#,##0"/>
    </x:dxf>
    <x:dxf>
      <x:numFmt numFmtId="0" formatCode="General"/>
    </x:dxf>
  </dxfs>
  <richProperties>
    <rPr n="IsHeroField" t="b"/>
    <rPr n="IsTitleField" t="b"/>
    <rPr n="NumberFormat" t="s"/>
    <rPr n="RequiresInlineAttribution" t="b"/>
  </richProperties>
  <richStyles>
    <rSty>
      <rpv i="0">1</rpv>
    </rSty>
    <rSty>
      <rpv i="1">1</rpv>
    </rSty>
    <rSty dxfid="0">
      <rpv i="2">#,##0</rpv>
    </rSty>
    <rSty dxfid="1">
      <rpv i="2">0.0000</rpv>
    </rSty>
    <rSty>
      <rpv i="3">1</rpv>
    </rSty>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BAEF29C-D55E-4392-9AE6-E7E32BE05F06}" name="Tabla5" displayName="Tabla5" ref="A1:BG145" totalsRowShown="0" headerRowDxfId="800" dataDxfId="799" tableBorderDxfId="798">
  <autoFilter ref="A1:BG145" xr:uid="{ABAEF29C-D55E-4392-9AE6-E7E32BE05F06}">
    <filterColumn colId="0">
      <filters>
        <filter val="Arauca"/>
      </filters>
    </filterColumn>
  </autoFilter>
  <tableColumns count="59">
    <tableColumn id="1" xr3:uid="{5804637D-41EC-4B7D-872A-2B5BAAEFBB9F}" name="SECCIONALES" dataDxfId="797"/>
    <tableColumn id="2" xr3:uid="{55C574DC-A38D-4C51-BAB1-478B7334C9FC}" name="SEDE" dataDxfId="796"/>
    <tableColumn id="3" xr3:uid="{B9126FE5-C52D-4731-BAB1-FA1059E986BA}" name="RH &amp;CIUDAD LIMPIA_x000a_Valor Kg Biosanitario  " dataDxfId="795"/>
    <tableColumn id="4" xr3:uid="{35D7424D-B00A-4287-938A-98D0D256FD0A}" name="RH &amp;CIUDAD LIMPIA_x000a_Valor Kg Cortopunzantes" dataDxfId="794"/>
    <tableColumn id="5" xr3:uid="{E45D88C8-E6C9-45FA-93A2-EDE94EEB2A58}" name="RH &amp;CIUDAD LIMPIA _x000a_Valor Kg Animales" dataDxfId="793"/>
    <tableColumn id="6" xr3:uid="{ABB24A06-EAE7-49A1-B7D4-F700E674A402}" name="RH &amp;CIUDAD LIMPIA _x000a_Valor Kg Quimicos" dataDxfId="792"/>
    <tableColumn id="7" xr3:uid="{654ABAC5-7695-4403-840C-6B170D3C9DDF}" name="ASEI &amp; Biologicos y contaminados _x000a_Valor Kg Biosanitario " dataDxfId="791"/>
    <tableColumn id="8" xr3:uid="{240B9AF8-69D0-4410-A44C-D768471058E2}" name="ASEI &amp; Biologicos y contaminados _x000a_Valor Kg Cortopunzantes" dataDxfId="790"/>
    <tableColumn id="9" xr3:uid="{76200865-6495-401F-99EC-F4CEBE128DFD}" name="ASEI &amp; Biologicos y contaminados _x000a_Valor Kg Animales" dataDxfId="789"/>
    <tableColumn id="10" xr3:uid="{F52465C9-11A6-436E-B456-732E0897CC7C}" name="ASEI &amp; Biologicos y contaminados _x000a_Valor Kg Quimicos" dataDxfId="788"/>
    <tableColumn id="11" xr3:uid="{93875484-B956-4DE4-A2ED-1D19834707A4}" name="EDEPSA _x000a_Valor Kg Biosanitario " dataDxfId="787"/>
    <tableColumn id="12" xr3:uid="{8161F3E6-E3D0-4AD3-A71B-897D47CAF8FE}" name="EDEPSA _x000a_Valor Kg Cortopunzantes" dataDxfId="786"/>
    <tableColumn id="13" xr3:uid="{0FD9C9A4-56F7-4F78-B298-EEC947D1A00F}" name="EDEPSA _x000a_Valor Kg Animales" dataDxfId="785"/>
    <tableColumn id="14" xr3:uid="{C0D5D679-7EF0-4EE8-A463-034D24AA22F9}" name="EDEPSA _x000a_Valor Kg Quimicos" dataDxfId="784"/>
    <tableColumn id="15" xr3:uid="{BA1395BA-4F3F-4C1B-A012-5B9900AE83EF}" name="EDEPSA _x000a_Valor Flete" dataDxfId="783"/>
    <tableColumn id="16" xr3:uid="{73AD4BD5-2E80-4F75-8377-202525C8405C}" name="VEOLIA_x000a_Valor Kg Biosanitario " dataDxfId="782"/>
    <tableColumn id="17" xr3:uid="{719F3593-88E7-4AC1-8DE9-37604BA6E761}" name="VEOLIA _x000a_Valor Kg Cortopunzantes" dataDxfId="781"/>
    <tableColumn id="18" xr3:uid="{1FC6EAD2-888B-4D6E-BF79-741E730E239F}" name="VEOLIA _x000a_Valor Kg Animales" dataDxfId="780"/>
    <tableColumn id="19" xr3:uid="{173CC905-E7DA-4691-ADCD-AC61C7ABB929}" name="VEOLIA _x000a_Valor Kg Quimicos" dataDxfId="779"/>
    <tableColumn id="20" xr3:uid="{9A855134-A58B-49C0-990D-E421BD4D7BF0}" name="PROSSAM _x000a_Valor Kg Biosanitario " dataDxfId="778"/>
    <tableColumn id="21" xr3:uid="{FC21D296-CEE6-4655-B585-117782DD6FD3}" name="PROSSAM _x000a_Valor Kg Cortopunzantes" dataDxfId="777"/>
    <tableColumn id="22" xr3:uid="{AA2A83A6-2F61-4119-A574-D80FDA7B8F65}" name="PROSSAM_x000a_Valor Kg Animales" dataDxfId="776"/>
    <tableColumn id="23" xr3:uid="{E6B8F53A-6F1E-47CF-9552-E1D88B84350D}" name="PROSSAM _x000a_Valor Kg Quimicos" dataDxfId="775"/>
    <tableColumn id="24" xr3:uid="{BE074B94-B6D6-414E-91F3-1F136280D179}" name="COMSERVA _x000a_Valor Kg Biosanitario " dataDxfId="774"/>
    <tableColumn id="25" xr3:uid="{AA2C6084-81C2-4D7B-9269-1790563F1C6D}" name="COMSERVA_x000a_Valor Kg Cortopunzantes" dataDxfId="773"/>
    <tableColumn id="26" xr3:uid="{F5C747CC-230B-4C48-974F-0F8672F48D16}" name="COMSERVA_x000a_Valor Kg Animales" dataDxfId="772"/>
    <tableColumn id="27" xr3:uid="{BF8D91B8-6B48-42BF-8008-0A8C0C13360C}" name="COMSERVA _x000a_Valor Kg Quimicos" dataDxfId="771"/>
    <tableColumn id="28" xr3:uid="{C35B9EEA-0165-4B27-8E1F-0B26688D209F}" name="MAREES _x000a_Valor Kg Biosanitario " dataDxfId="770"/>
    <tableColumn id="29" xr3:uid="{CF7127AC-55E1-4190-99F3-F59952EFBED6}" name="MAREES _x000a_Valor Kg Cortopunzantes" dataDxfId="769"/>
    <tableColumn id="30" xr3:uid="{B8C383DC-C01F-4FE1-9023-49EDFEB448A7}" name="MAREES _x000a_Valor Kg Animales" dataDxfId="768"/>
    <tableColumn id="31" xr3:uid="{277FEDC3-6EF7-4624-9162-9036DB4B3FE3}" name="MAREES _x000a_Valor Kg Quimicos" dataDxfId="767"/>
    <tableColumn id="32" xr3:uid="{E05812ED-76EE-438E-972E-8C4A6F767AF4}" name="ASERHI _x000a_Valor Kg Biosanitario " dataDxfId="766"/>
    <tableColumn id="33" xr3:uid="{DF81DBD9-D1BD-4E46-A500-22FA82E600DD}" name="ASERHI _x000a_Valor Kg Cortopunzantes" dataDxfId="765"/>
    <tableColumn id="34" xr3:uid="{1990E42F-76A0-4170-A1E1-40B343C017CC}" name="ASERHI _x000a_Valor Kg Animales" dataDxfId="764"/>
    <tableColumn id="35" xr3:uid="{5E7CED27-25F3-4E56-A4FD-D2A4B98A2BFA}" name="ASERHI _x000a_Valor Kg Quimicos" dataDxfId="763"/>
    <tableColumn id="36" xr3:uid="{FBA5CF8D-FD28-4B91-8781-02BA5BA25B53}" name="DESCONT _x000a_Valor Kg Biosanitario " dataDxfId="762"/>
    <tableColumn id="37" xr3:uid="{59584FAF-2BCD-4D89-89D4-D77A531A4AED}" name="DESCONT _x000a_Valor Kg Cortopunzantes" dataDxfId="761"/>
    <tableColumn id="38" xr3:uid="{333F33E4-4BCC-43A0-AB8A-313E12378417}" name="DESCONT _x000a_Valor Kg Animales" dataDxfId="760"/>
    <tableColumn id="39" xr3:uid="{47AD3C96-10A8-4346-B88E-44E4DBC97CEB}" name="DESCONT _x000a_Valor Kg Quimicos" dataDxfId="759"/>
    <tableColumn id="40" xr3:uid="{48DC5EDF-C9AB-4F20-A487-A34F4D5915FB}" name="BIORESIDUOS _x000a_Valor Kg Biosanitario " dataDxfId="758"/>
    <tableColumn id="41" xr3:uid="{53812B27-E52B-426A-9D79-475E8953629E}" name="BIORESIDUOS _x000a_Valor Kg Cortopunzantes" dataDxfId="757"/>
    <tableColumn id="42" xr3:uid="{29D71A14-4A1F-4A24-A670-A4900B764E7A}" name="BIORESIDUOS _x000a_Valor Kg Animales" dataDxfId="756"/>
    <tableColumn id="43" xr3:uid="{6C9D6A26-8D86-48E9-9F1F-CCE35F545918}" name="BIORESIDUOS _x000a_Valor Kg Quimicos" dataDxfId="755"/>
    <tableColumn id="44" xr3:uid="{6F9DE31F-FF56-4D74-A3F3-000584990427}" name="INCIHUILA _x000a_Valor Kg Biosanitario" dataDxfId="754"/>
    <tableColumn id="45" xr3:uid="{10820476-6581-4869-B0DA-BB594B26EFEA}" name="INCIHUILA _x000a_Valor Kg Cortopunzantes" dataDxfId="753"/>
    <tableColumn id="46" xr3:uid="{6E04B680-A2F4-4BAE-BE23-FD6674AF89FB}" name="INCIHUILA _x000a_Valor Kg Animales" dataDxfId="752"/>
    <tableColumn id="47" xr3:uid="{02E0F751-9829-4115-A74C-302BC786D21E}" name="INCIHUILA _x000a_Valor Kg Quimicos" dataDxfId="751"/>
    <tableColumn id="48" xr3:uid="{F67E51DF-A9C7-4A9A-9A18-FD00ABD675D7}" name="SALVI _x000a_Valor Kg Biosanitario " dataDxfId="750"/>
    <tableColumn id="49" xr3:uid="{5D5AF182-AD96-4E49-A86F-27712F1D3EF7}" name="SALVI _x000a_Valor Kg Cortopunzantes" dataDxfId="749"/>
    <tableColumn id="50" xr3:uid="{9E383FA9-BCA4-4D03-BD62-1ED3D6A260C2}" name="SALVI _x000a_Valor Kg Animales" dataDxfId="748"/>
    <tableColumn id="51" xr3:uid="{9A81890A-EFD5-4C2E-B041-951A86694034}" name="SALVI _x000a_Valor Kg Quimicos" dataDxfId="747"/>
    <tableColumn id="52" xr3:uid="{DDC03F27-1BDF-4C1C-BA75-4182C9F65302}" name="SANDESOL _x000a_Valor Kg Biosanitario " dataDxfId="746"/>
    <tableColumn id="53" xr3:uid="{46667042-A20C-46AB-A5A9-97A5F3DBD7FC}" name="SANDESOL _x000a_Valor Kg Cortopunzantes" dataDxfId="745"/>
    <tableColumn id="54" xr3:uid="{8FDCD516-5C45-46F6-B637-BE1CE0F1D220}" name="SANDESOL _x000a_Valor Kg Animales" dataDxfId="744"/>
    <tableColumn id="55" xr3:uid="{EACADDD6-74AA-4FE1-8590-1FFC807E90E4}" name="SANDESOL _x000a_Valor Kg Quimicos" dataDxfId="743"/>
    <tableColumn id="60" xr3:uid="{FB76DD47-65B5-49EC-BF56-A1EEF09CBCC3}" name="HISTORICO 2024 + IPC 2025 (3%)_x000a_Biosanitario" dataDxfId="742"/>
    <tableColumn id="61" xr3:uid="{D9C94079-92A9-4360-9B79-7B1415F0266E}" name="HISTORICO 2024  + IPC 2025 (3%) _x000a_Cortopunzantes" dataDxfId="741"/>
    <tableColumn id="62" xr3:uid="{77632D11-B62F-4457-9EEA-8B1D4F4C7E44}" name="HISTORICO 2024  + IPC 2025 (3%)_x000a_Animales" dataDxfId="740"/>
    <tableColumn id="63" xr3:uid="{3EEE3ADE-404F-47C3-85DA-2A95178FC331}" name="HISTORICO 2024  + IPC 2025 (3%) _x000a_Quimicos" dataDxfId="73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51F6204-D8AE-4634-8460-4D729622B17B}" name="Tabla6" displayName="Tabla6" ref="B2:G147" totalsRowShown="0" headerRowDxfId="738" dataDxfId="736" headerRowBorderDxfId="737" tableBorderDxfId="735" totalsRowBorderDxfId="734">
  <autoFilter ref="B2:G147" xr:uid="{F51F6204-D8AE-4634-8460-4D729622B17B}"/>
  <tableColumns count="6">
    <tableColumn id="1" xr3:uid="{9F29BFB6-D150-408A-A942-A576DCCBBDEE}" name="SECCIONALES" dataDxfId="733"/>
    <tableColumn id="2" xr3:uid="{186F6EBC-EBCF-4050-A054-6C2A174F7494}" name="SEDE" dataDxfId="732"/>
    <tableColumn id="3" xr3:uid="{B31484FE-DEC7-496F-AF20-9332966ABEFC}" name="SAD" dataDxfId="731"/>
    <tableColumn id="4" xr3:uid="{46718444-B1A6-4B7F-8541-210860062666}" name="SPA" dataDxfId="730"/>
    <tableColumn id="5" xr3:uid="{538B66F3-8313-4970-A267-6B4AF6C40BF8}" name="SPF" dataDxfId="729"/>
    <tableColumn id="6" xr3:uid="{67C07F75-EE58-4492-8F20-19BDA72625BC}" name="histotico 2024" dataDxfId="72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93D8810-CC18-4459-AD90-DF4C51A251FC}" name="COTIZACIONES2025" displayName="COTIZACIONES2025" ref="C3:S30" totalsRowShown="0" headerRowDxfId="727" dataDxfId="725" headerRowBorderDxfId="726" tableBorderDxfId="724">
  <autoFilter ref="C3:S30" xr:uid="{893D8810-CC18-4459-AD90-DF4C51A251FC}"/>
  <tableColumns count="17">
    <tableColumn id="1" xr3:uid="{5CEBCE14-9A3E-46EB-AD80-EB47C477E7BF}" name="MUNICIPIO" dataDxfId="723"/>
    <tableColumn id="2" xr3:uid="{50C04AC3-7879-483E-B9A6-F98766BECABD}" name="RH &amp;CIUDAD LIMPIA_x000a_Valor Kg Biosanitario  " dataDxfId="722">
      <calculatedColumnFormula>+'Cotizaciones Empresas'!C68</calculatedColumnFormula>
    </tableColumn>
    <tableColumn id="3" xr3:uid="{904197CF-C21D-4C87-8294-22FA9522A6F8}" name="RH &amp;CIUDAD LIMPIA_x000a_Valor Kg Cortopunzantes" dataDxfId="721">
      <calculatedColumnFormula>+'Cotizaciones Empresas'!D68</calculatedColumnFormula>
    </tableColumn>
    <tableColumn id="4" xr3:uid="{E7B62F46-F271-4B3D-A38F-C8C41CEFA3EC}" name="RH &amp;CIUDAD LIMPIA _x000a_Valor Kg Animales" dataDxfId="720">
      <calculatedColumnFormula>+'Cotizaciones Empresas'!E68</calculatedColumnFormula>
    </tableColumn>
    <tableColumn id="5" xr3:uid="{1F1F7680-3BDA-4013-B906-D367143B415B}" name="RH &amp;CIUDAD LIMPIA _x000a_Valor Kg Quimicos" dataDxfId="719">
      <calculatedColumnFormula>+'Cotizaciones Empresas'!F68</calculatedColumnFormula>
    </tableColumn>
    <tableColumn id="6" xr3:uid="{4F2F3CB8-0A38-48B3-B723-8A260DBCEB2A}" name="DESCONT _x000a_Valor Kg Biosanitario " dataDxfId="718">
      <calculatedColumnFormula>+'Cotizaciones Empresas'!AJ68</calculatedColumnFormula>
    </tableColumn>
    <tableColumn id="7" xr3:uid="{C584171D-2C4F-4FB9-B35F-1597B0D7E788}" name="DESCONT _x000a_Valor Kg Cortopunzantes" dataDxfId="717">
      <calculatedColumnFormula>+'Cotizaciones Empresas'!AK68</calculatedColumnFormula>
    </tableColumn>
    <tableColumn id="8" xr3:uid="{6FE6A498-7BBE-40BC-BADF-FA907E61E16F}" name="DESCONT _x000a_Valor Kg Animales" dataDxfId="716">
      <calculatedColumnFormula>+'Cotizaciones Empresas'!AL68</calculatedColumnFormula>
    </tableColumn>
    <tableColumn id="9" xr3:uid="{9F80820A-91AF-4C68-B159-499FC0C35943}" name="DESCONT _x000a_Valor Kg Quimicos" dataDxfId="715">
      <calculatedColumnFormula>+'Cotizaciones Empresas'!AM68</calculatedColumnFormula>
    </tableColumn>
    <tableColumn id="10" xr3:uid="{88FA6559-7AEB-426E-8EC2-4670A3FD9047}" name="HISTORICO_x000a_2024 + IPC 2025 (3%)Biosanitario" dataDxfId="714">
      <calculatedColumnFormula>+'Cotizaciones Empresas'!BD68</calculatedColumnFormula>
    </tableColumn>
    <tableColumn id="16" xr3:uid="{C3184524-209F-43E7-9573-E4C4DA361EFA}" name="HISTORICO_x000a_2024  + IPC 2025 (3%) _x000a_Cortopunzantes" dataDxfId="713">
      <calculatedColumnFormula>+'Cotizaciones Empresas'!BE68</calculatedColumnFormula>
    </tableColumn>
    <tableColumn id="17" xr3:uid="{4C3328E8-6A8D-456B-8CA8-7164B5E0FA2E}" name="HISTORICO_x000a_2024  + IPC 2025 (3%)Animales" dataDxfId="712">
      <calculatedColumnFormula>+'Cotizaciones Empresas'!BF68</calculatedColumnFormula>
    </tableColumn>
    <tableColumn id="18" xr3:uid="{82739892-515B-491D-BEE9-116A7CBE6FEA}" name="HISTORICO_x000a_2024  + IPC 2025 (3%) Quimicos" dataDxfId="711"/>
    <tableColumn id="12" xr3:uid="{8E0F1125-6A45-4B99-B850-E556776AD2E0}" name="Valor promedio de Kilogramo Biosanitario" dataDxfId="710">
      <calculatedColumnFormula>AVERAGE(COTIZACIONES2025[[#This Row],[RH &amp;CIUDAD LIMPIA
Valor Kg Biosanitario  ]],COTIZACIONES2025[[#This Row],[DESCONT 
Valor Kg Biosanitario ]],COTIZACIONES2025[[#This Row],[HISTORICO
2024 + IPC 2025 (3%)Biosanitario]])</calculatedColumnFormula>
    </tableColumn>
    <tableColumn id="13" xr3:uid="{DCE3FC81-AD2F-4C3F-AD84-E944732AFD56}" name="Valor promedio de Kilogramo Cortopunzantes" dataDxfId="709">
      <calculatedColumnFormula>AVERAGE(COTIZACIONES2025[[#This Row],[RH &amp;CIUDAD LIMPIA
Valor Kg Cortopunzantes]],COTIZACIONES2025[[#This Row],[DESCONT 
Valor Kg Cortopunzantes]],COTIZACIONES2025[[#This Row],[HISTORICO
2024  + IPC 2025 (3%) 
Cortopunzantes]])</calculatedColumnFormula>
    </tableColumn>
    <tableColumn id="14" xr3:uid="{B3418D4B-C4B0-4F10-815F-27CB5025BD80}" name="Valor promedio de Kilogramog Animales" dataDxfId="708">
      <calculatedColumnFormula>AVERAGE(COTIZACIONES2025[[#This Row],[RH &amp;CIUDAD LIMPIA 
Valor Kg Animales]],COTIZACIONES2025[[#This Row],[DESCONT 
Valor Kg Animales]],COTIZACIONES2025[[#This Row],[HISTORICO
2024  + IPC 2025 (3%)Animales]])</calculatedColumnFormula>
    </tableColumn>
    <tableColumn id="15" xr3:uid="{D6243238-89F1-44AA-B0C0-04224170667C}" name="Valor promedio de Kilogramo Quimicos" dataDxfId="707">
      <calculatedColumnFormula>AVERAGE(COTIZACIONES2025[[#This Row],[RH &amp;CIUDAD LIMPIA 
Valor Kg Quimicos]],COTIZACIONES2025[[#This Row],[DESCONT 
Valor Kg Quimicos]],COTIZACIONES2025[[#This Row],[HISTORICO
2024  + IPC 2025 (3%) Quimicos]])</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2049473-E76E-4206-BD3D-18A1A0EC6A8F}" name="PRESUPUSTO_2025" displayName="PRESUPUSTO_2025" ref="C34:E62" totalsRowCount="1" dataDxfId="705" headerRowBorderDxfId="706" tableBorderDxfId="704">
  <autoFilter ref="C34:E61" xr:uid="{12049473-E76E-4206-BD3D-18A1A0EC6A8F}"/>
  <tableColumns count="3">
    <tableColumn id="1" xr3:uid="{2AE6304F-1952-4CBE-B4AA-B8C326D1525E}" name="MUNICIPIO" totalsRowLabel="Total" dataDxfId="703" totalsRowDxfId="702"/>
    <tableColumn id="2" xr3:uid="{A876AD26-162C-4D62-BDCC-7DA0370E9E00}" name="PRESUPUESTO 2025" totalsRowFunction="sum" dataDxfId="701" totalsRowDxfId="700">
      <calculatedColumnFormula>+'D.P. 2025 SAD, SPA &amp; SPF'!D69</calculatedColumnFormula>
    </tableColumn>
    <tableColumn id="3" xr3:uid="{90557F24-B269-473E-A99A-242F619AC422}" name="Columna1" totalsRowFunction="sum" dataDxfId="699" totalsRowDxfId="698">
      <calculatedColumnFormula>+PRESUPUSTO_2025[[#This Row],[PRESUPUESTO 2025]]/4</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BFFFA60-B54F-40AB-A8C5-D3F000E576D8}" name="ProyeccionKg2025" displayName="ProyeccionKg2025" ref="C65:H93" totalsRowCount="1" headerRowDxfId="697" dataDxfId="696" totalsRowDxfId="694" tableBorderDxfId="695">
  <autoFilter ref="C65:H92" xr:uid="{0BFFFA60-B54F-40AB-A8C5-D3F000E576D8}"/>
  <tableColumns count="6">
    <tableColumn id="1" xr3:uid="{0324273D-5F38-4700-AC88-72B7113B52AF}" name="MUNICIPIO" totalsRowLabel="Total" dataDxfId="693" totalsRowDxfId="692"/>
    <tableColumn id="2" xr3:uid="{87E718A1-5B6C-4EEE-BFE5-8252AB0AFAD1}" name="Proyección kilogramos 2025 Biosanitario  " totalsRowFunction="sum" dataDxfId="691" totalsRowDxfId="690">
      <calculatedColumnFormula>+H35/P4</calculatedColumnFormula>
    </tableColumn>
    <tableColumn id="3" xr3:uid="{10A89444-A839-4F39-9034-61C3055CA527}" name="Proyección kilogramos 2025 Cortopunzantes" totalsRowFunction="sum" dataDxfId="689" totalsRowDxfId="688">
      <calculatedColumnFormula>+I35/Q4</calculatedColumnFormula>
    </tableColumn>
    <tableColumn id="4" xr3:uid="{0C44635C-1426-48A3-A077-4C80245E0F01}" name="Proyección kilogramos 2025 Animales" totalsRowFunction="sum" dataDxfId="687" totalsRowDxfId="686">
      <calculatedColumnFormula>+J35/R4</calculatedColumnFormula>
    </tableColumn>
    <tableColumn id="5" xr3:uid="{B7FA224C-A535-4614-A295-5EAEAAD00545}" name="Proyección kilogramos 2025 Quimicos" totalsRowFunction="sum" dataDxfId="685" totalsRowDxfId="684">
      <calculatedColumnFormula>+K35/S4</calculatedColumnFormula>
    </tableColumn>
    <tableColumn id="6" xr3:uid="{E099F99C-57C2-4B7F-9818-CF9DF2B53BDD}" name="TOTAL DE KILOGRAMOS " totalsRowFunction="sum" dataDxfId="683" totalsRowDxfId="682">
      <calculatedColumnFormula>+ProyeccionKg2025[[#This Row],[Proyección kilogramos 2025 Biosanitario  ]]+ProyeccionKg2025[[#This Row],[Proyección kilogramos 2025 Cortopunzantes]]+ProyeccionKg2025[[#This Row],[Proyección kilogramos 2025 Animales]]+ProyeccionKg2025[[#This Row],[Proyección kilogramos 2025 Quimicos]]</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34B91DA-D5AF-479E-85DE-2DD07344756D}" name="DISTRIBUCIÓNPRESUPUESTOTIPODEDESECHO" displayName="DISTRIBUCIÓNPRESUPUESTOTIPODEDESECHO" ref="G34:K61" totalsRowShown="0" headerRowDxfId="681" dataDxfId="679" headerRowBorderDxfId="680" tableBorderDxfId="678" totalsRowBorderDxfId="677">
  <autoFilter ref="G34:K61" xr:uid="{934B91DA-D5AF-479E-85DE-2DD07344756D}"/>
  <tableColumns count="5">
    <tableColumn id="1" xr3:uid="{F7FAD6F5-DE93-4645-B9F6-FDFCD6A144B2}" name="MUNICIPIO" dataDxfId="676"/>
    <tableColumn id="2" xr3:uid="{55863596-9F71-4F28-B6FB-D7B4E743808E}" name="PRESUPUESTO 2025 Biosanitario  " dataDxfId="675"/>
    <tableColumn id="3" xr3:uid="{15B47050-5C25-46D6-92C5-E3B68A6AC05F}" name="PRESUPUESTO 2025 Cortopunzantes" dataDxfId="674"/>
    <tableColumn id="4" xr3:uid="{97CC7B4A-93B3-49DC-B227-D3845D897236}" name="PRESUPUESTO 2025 Animales" dataDxfId="673"/>
    <tableColumn id="5" xr3:uid="{5A29B421-868D-413F-8CFF-182B77C829A2}" name="PRESUPUESTO 2025 Quimicos" dataDxfId="672"/>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EA7233-F2FE-4D55-9202-98BB86852259}" name="COTIZACIONES20252" displayName="COTIZACIONES20252" ref="C3:S8" totalsRowShown="0" headerRowDxfId="671" dataDxfId="669" headerRowBorderDxfId="670" tableBorderDxfId="668">
  <autoFilter ref="C3:S8" xr:uid="{21EA7233-F2FE-4D55-9202-98BB86852259}"/>
  <tableColumns count="17">
    <tableColumn id="1" xr3:uid="{6B307896-E806-4DA6-BFF5-860C164E881B}" name="MUNICIPIO" dataDxfId="667"/>
    <tableColumn id="2" xr3:uid="{A6A12133-0174-4645-91A2-6B6FEAEC81DA}" name="EDEPSA _x000a_Valor Kg Biosanitario  " dataDxfId="666">
      <calculatedColumnFormula>+'Cotizaciones Empresas'!K10</calculatedColumnFormula>
    </tableColumn>
    <tableColumn id="3" xr3:uid="{F66FF76C-F573-4911-AB33-3A45B01975A8}" name="EDEPSA _x000a_Valor Kg Cortopunzantes" dataDxfId="665">
      <calculatedColumnFormula>+'Cotizaciones Empresas'!D68</calculatedColumnFormula>
    </tableColumn>
    <tableColumn id="4" xr3:uid="{45D7D8E8-6C30-4601-B766-3FF3861DB1FF}" name="EDEPSA _x000a_Valor Kg Animales" dataDxfId="664">
      <calculatedColumnFormula>+'Cotizaciones Empresas'!E68</calculatedColumnFormula>
    </tableColumn>
    <tableColumn id="5" xr3:uid="{74DB6B41-B974-417B-A1FD-C51936EA94E8}" name="EDEPSA _x000a_Valor Kg Quimicos" dataDxfId="663">
      <calculatedColumnFormula>+'Cotizaciones Empresas'!F68</calculatedColumnFormula>
    </tableColumn>
    <tableColumn id="6" xr3:uid="{7B772A22-6477-42D3-96F5-B0D7155795B3}" name="_x000a_Valor Kg Biosanitario " dataDxfId="662"/>
    <tableColumn id="7" xr3:uid="{026194C2-C835-48D1-86EE-BFA7E32AD392}" name=" _x000a_Valor Kg Cortopunzantes" dataDxfId="661"/>
    <tableColumn id="8" xr3:uid="{4F001FBF-92B2-4C86-8345-3B576AE797DE}" name="_x000a_Valor Kg Animales" dataDxfId="660"/>
    <tableColumn id="9" xr3:uid="{A16332FA-0BFF-482D-8C38-8D390C6B6BAD}" name="_x000a_Valor Kg Quimicos" dataDxfId="659"/>
    <tableColumn id="10" xr3:uid="{DDCE5F5B-B82A-4143-852B-BEB13C8F3D3D}" name="HISTORICO_x000a_2024 + IPC 2025 (3%)Biosanitario" dataDxfId="658">
      <calculatedColumnFormula>+'Cotizaciones Empresas'!BD10</calculatedColumnFormula>
    </tableColumn>
    <tableColumn id="16" xr3:uid="{108575F8-3AB0-46C9-AF23-AFA8B8E4EFDB}" name="HISTORICO_x000a_2024  + IPC 2025 (3%) _x000a_Cortopunzantes" dataDxfId="657">
      <calculatedColumnFormula>+'Cotizaciones Empresas'!BE68</calculatedColumnFormula>
    </tableColumn>
    <tableColumn id="17" xr3:uid="{A3136BA9-392F-43F9-BCED-B583356D18F4}" name="HISTORICO_x000a_2024  + IPC 2025 (3%)Animales" dataDxfId="656">
      <calculatedColumnFormula>+'Cotizaciones Empresas'!BF68</calculatedColumnFormula>
    </tableColumn>
    <tableColumn id="18" xr3:uid="{570CA4A9-C597-46FB-94FF-2D603AC4E123}" name="HISTORICO_x000a_2024  + IPC 2025 (3%) Quimicos" dataDxfId="655"/>
    <tableColumn id="12" xr3:uid="{9DF39DDF-D524-4614-A83E-F83948C5512D}" name="Valor promedio de Kilogramo Biosanitario" dataDxfId="654">
      <calculatedColumnFormula>AVERAGE(COTIZACIONES20252[[#This Row],[EDEPSA 
Valor Kg Biosanitario  ]],COTIZACIONES20252[[#This Row],[
Valor Kg Biosanitario ]],COTIZACIONES20252[[#This Row],[HISTORICO
2024 + IPC 2025 (3%)Biosanitario]])</calculatedColumnFormula>
    </tableColumn>
    <tableColumn id="13" xr3:uid="{27F52B3F-8EF3-4FA0-B7F3-B50193C59DE1}" name="Valor promedio de Kilogramo Cortopunzantes" dataDxfId="653">
      <calculatedColumnFormula>AVERAGE(COTIZACIONES20252[[#This Row],[EDEPSA 
Valor Kg Cortopunzantes]],COTIZACIONES20252[[#This Row],[ 
Valor Kg Cortopunzantes]],COTIZACIONES20252[[#This Row],[HISTORICO
2024  + IPC 2025 (3%) 
Cortopunzantes]])</calculatedColumnFormula>
    </tableColumn>
    <tableColumn id="14" xr3:uid="{0093B26F-2028-4E0D-BC65-DD9EE36E8242}" name="Valor promedio de Kilogramog Animales" dataDxfId="652">
      <calculatedColumnFormula>AVERAGE(COTIZACIONES20252[[#This Row],[EDEPSA 
Valor Kg Animales]],COTIZACIONES20252[[#This Row],[
Valor Kg Animales]],COTIZACIONES20252[[#This Row],[HISTORICO
2024  + IPC 2025 (3%)Animales]])</calculatedColumnFormula>
    </tableColumn>
    <tableColumn id="15" xr3:uid="{A0F07625-8AEF-4E61-9F0A-6E8EDF1EF7EB}" name="Valor promedio de Kilogramo Quimicos" dataDxfId="651">
      <calculatedColumnFormula>AVERAGE(COTIZACIONES20252[[#This Row],[EDEPSA 
Valor Kg Quimicos]],COTIZACIONES20252[[#This Row],[
Valor Kg Quimicos]],COTIZACIONES20252[[#This Row],[HISTORICO
2024  + IPC 2025 (3%) Quimicos]])</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23F2E43-CF8E-4BF3-87CE-87A209E6CE5E}" name="PRESUPUSTO_20254" displayName="PRESUPUSTO_20254" ref="C12:E18" totalsRowCount="1" dataDxfId="649" headerRowBorderDxfId="650" tableBorderDxfId="648">
  <autoFilter ref="C12:E17" xr:uid="{E23F2E43-CF8E-4BF3-87CE-87A209E6CE5E}"/>
  <tableColumns count="3">
    <tableColumn id="1" xr3:uid="{02B72CDF-F7EE-499E-AC5F-8143DC71AD76}" name="MUNICIPIO" totalsRowLabel="Total" dataDxfId="647" totalsRowDxfId="14"/>
    <tableColumn id="2" xr3:uid="{6EE6EB7F-4320-439D-9D8E-111C87368F7A}" name="PRESUPUESTO 2025" totalsRowFunction="sum" dataDxfId="646" totalsRowDxfId="13"/>
    <tableColumn id="3" xr3:uid="{A39D8A2B-1128-4296-B435-22FC70B7F557}" name="Columna1" totalsRowFunction="sum" dataDxfId="645" totalsRowDxfId="12">
      <calculatedColumnFormula>+PRESUPUSTO_20254[[#This Row],[PRESUPUESTO 2025]]/4</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D8B1089-54FD-4758-9757-F45B0B09ABB8}" name="ProyeccionKg202510" displayName="ProyeccionKg202510" ref="C21:H27" totalsRowCount="1" headerRowDxfId="644" dataDxfId="643" totalsRowDxfId="641" tableBorderDxfId="642">
  <autoFilter ref="C21:H26" xr:uid="{7D8B1089-54FD-4758-9757-F45B0B09ABB8}"/>
  <tableColumns count="6">
    <tableColumn id="1" xr3:uid="{A55346DE-0510-405A-BF0B-1891A5AD989D}" name="MUNICIPIO" totalsRowLabel="Total" dataDxfId="11" totalsRowDxfId="5"/>
    <tableColumn id="2" xr3:uid="{8997E647-FAAF-4CD7-A5CB-2B0212E4AA78}" name="Proyección kilogramos 2025 Biosanitario  " totalsRowFunction="sum" dataDxfId="10" totalsRowDxfId="4">
      <calculatedColumnFormula>+H13/P4</calculatedColumnFormula>
    </tableColumn>
    <tableColumn id="3" xr3:uid="{25A48D58-7F55-4B70-8FAF-DF325D95AA37}" name="Proyección kilogramos 2025 Cortopunzantes" totalsRowFunction="sum" dataDxfId="9" totalsRowDxfId="3"/>
    <tableColumn id="4" xr3:uid="{7ABEB0D8-2DAC-4C18-A36D-0921AA4E1EE5}" name="Proyección kilogramos 2025 Animales" totalsRowFunction="sum" dataDxfId="8" totalsRowDxfId="2"/>
    <tableColumn id="5" xr3:uid="{9292D1D5-C964-45B3-84D7-EEDE067FBC5C}" name="Proyección kilogramos 2025 Quimicos" totalsRowFunction="sum" dataDxfId="7" totalsRowDxfId="1"/>
    <tableColumn id="6" xr3:uid="{E15FE2A5-7986-4785-96CB-14D686CF2C66}" name="TOTAL DE KILOGRAMOS " totalsRowFunction="sum" dataDxfId="6" totalsRowDxfId="0">
      <calculatedColumnFormula>+ProyeccionKg202510[[#This Row],[Proyección kilogramos 2025 Biosanitario  ]]+ProyeccionKg202510[[#This Row],[Proyección kilogramos 2025 Cortopunzantes]]+ProyeccionKg202510[[#This Row],[Proyección kilogramos 2025 Animales]]+ProyeccionKg202510[[#This Row],[Proyección kilogramos 2025 Quimicos]]</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99C4736-4EF8-42D4-96D1-3E119404016C}" name="DISTRIBUCIÓNPRESUPUESTOTIPODEDESECHO11" displayName="DISTRIBUCIÓNPRESUPUESTOTIPODEDESECHO11" ref="G12:K17" totalsRowShown="0" headerRowDxfId="640" dataDxfId="638" headerRowBorderDxfId="639" tableBorderDxfId="637" totalsRowBorderDxfId="636">
  <autoFilter ref="G12:K17" xr:uid="{099C4736-4EF8-42D4-96D1-3E119404016C}"/>
  <tableColumns count="5">
    <tableColumn id="1" xr3:uid="{BB94EFE8-8E97-4269-A027-A5BA41BE7D38}" name="MUNICIPIO" dataDxfId="635"/>
    <tableColumn id="2" xr3:uid="{B5F32E4E-6EA8-4338-995F-A58B7669722A}" name="PRESUPUESTO 2025 Biosanitario  " dataDxfId="634"/>
    <tableColumn id="3" xr3:uid="{9C99540B-233F-4855-B527-7A75BF7A85CA}" name="PRESUPUESTO 2025 Cortopunzantes" dataDxfId="633"/>
    <tableColumn id="4" xr3:uid="{29D21B01-F685-4507-8203-06C32B9A42B0}" name="PRESUPUESTO 2025 Animales" dataDxfId="632"/>
    <tableColumn id="5" xr3:uid="{160349C3-643B-4926-9D27-AB823E1A89EF}" name="PRESUPUESTO 2025 Quimicos" dataDxfId="631"/>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C37115F6-2F13-42ED-BCEF-BB1B4334B74D}" name="COTIZACIONES2025256" displayName="COTIZACIONES2025256" ref="C3:S8" totalsRowShown="0" headerRowDxfId="630" dataDxfId="628" headerRowBorderDxfId="629" tableBorderDxfId="627">
  <autoFilter ref="C3:S8" xr:uid="{C37115F6-2F13-42ED-BCEF-BB1B4334B74D}"/>
  <tableColumns count="17">
    <tableColumn id="1" xr3:uid="{0D591175-6895-4091-B859-D50CDAEBDD5D}" name="MUNICIPIO" dataDxfId="626"/>
    <tableColumn id="2" xr3:uid="{6FCB8666-3C67-457A-8F46-D73601C59692}" name="EDEPSA _x000a_Valor Kg Biosanitario  " dataDxfId="625">
      <calculatedColumnFormula>+'Cotizaciones Empresas'!K10</calculatedColumnFormula>
    </tableColumn>
    <tableColumn id="3" xr3:uid="{2827C391-4FDF-4C9C-ACAF-752A328B0A1F}" name="EDEPSA _x000a_Valor Kg Cortopunzantes" dataDxfId="624">
      <calculatedColumnFormula>+'Cotizaciones Empresas'!D68</calculatedColumnFormula>
    </tableColumn>
    <tableColumn id="4" xr3:uid="{AB5F6B01-DD3C-4893-B8C3-2005EF358213}" name="EDEPSA _x000a_Valor Kg Animales" dataDxfId="623">
      <calculatedColumnFormula>+'Cotizaciones Empresas'!E68</calculatedColumnFormula>
    </tableColumn>
    <tableColumn id="5" xr3:uid="{B19C10DA-76B4-43E8-A635-F2EFD2A1F203}" name="EDEPSA _x000a_Valor Kg Quimicos" dataDxfId="622">
      <calculatedColumnFormula>+'Cotizaciones Empresas'!F68</calculatedColumnFormula>
    </tableColumn>
    <tableColumn id="6" xr3:uid="{B559B247-C21B-40E0-A992-FBB5FFE24FB3}" name="_x000a_Valor Kg Biosanitario " dataDxfId="621"/>
    <tableColumn id="7" xr3:uid="{78BDD9E1-5F73-4FD0-B771-D86509DCB7FA}" name=" _x000a_Valor Kg Cortopunzantes" dataDxfId="620"/>
    <tableColumn id="8" xr3:uid="{142C886F-0D86-4575-915E-54AC85133B03}" name="_x000a_Valor Kg Animales" dataDxfId="619"/>
    <tableColumn id="9" xr3:uid="{538A57A1-B45E-4B80-AC30-D326ADF28412}" name="_x000a_Valor Kg Quimicos" dataDxfId="618"/>
    <tableColumn id="10" xr3:uid="{3FDE9281-FFEC-4AD3-9E68-184A047FC198}" name="HISTORICO_x000a_2024 + IPC 2025 (3%)Biosanitario" dataDxfId="617">
      <calculatedColumnFormula>+'Cotizaciones Empresas'!BD10</calculatedColumnFormula>
    </tableColumn>
    <tableColumn id="16" xr3:uid="{20370D74-4B38-483A-AE0C-67C277475363}" name="HISTORICO_x000a_2024  + IPC 2025 (3%) _x000a_Cortopunzantes" dataDxfId="616">
      <calculatedColumnFormula>+'Cotizaciones Empresas'!BE68</calculatedColumnFormula>
    </tableColumn>
    <tableColumn id="17" xr3:uid="{AEB23AC3-3AD7-4D75-AC05-5F01C3B61BA7}" name="HISTORICO_x000a_2024  + IPC 2025 (3%)Animales" dataDxfId="615">
      <calculatedColumnFormula>+'Cotizaciones Empresas'!BF68</calculatedColumnFormula>
    </tableColumn>
    <tableColumn id="18" xr3:uid="{536B3084-A95A-4837-87F6-CA5F5DFF29AE}" name="HISTORICO_x000a_2024  + IPC 2025 (3%) Quimicos" dataDxfId="614"/>
    <tableColumn id="12" xr3:uid="{15890006-AA97-4AA5-AA96-8BB7B2475504}" name="Valor promedio de Kilogramo Biosanitario" dataDxfId="613">
      <calculatedColumnFormula>AVERAGE(COTIZACIONES2025256[[#This Row],[EDEPSA 
Valor Kg Biosanitario  ]],COTIZACIONES2025256[[#This Row],[
Valor Kg Biosanitario ]],COTIZACIONES2025256[[#This Row],[HISTORICO
2024 + IPC 2025 (3%)Biosanitario]])</calculatedColumnFormula>
    </tableColumn>
    <tableColumn id="13" xr3:uid="{CA1CAD74-D301-459E-9E06-946EE5A5C039}" name="Valor promedio de Kilogramo Cortopunzantes" dataDxfId="612">
      <calculatedColumnFormula>AVERAGE(COTIZACIONES2025256[[#This Row],[EDEPSA 
Valor Kg Cortopunzantes]],COTIZACIONES2025256[[#This Row],[ 
Valor Kg Cortopunzantes]],COTIZACIONES2025256[[#This Row],[HISTORICO
2024  + IPC 2025 (3%) 
Cortopunzantes]])</calculatedColumnFormula>
    </tableColumn>
    <tableColumn id="14" xr3:uid="{DB7F83D7-F248-4233-B0B6-B8D6FDB2E90B}" name="Valor promedio de Kilogramog Animales" dataDxfId="611">
      <calculatedColumnFormula>AVERAGE(COTIZACIONES2025256[[#This Row],[EDEPSA 
Valor Kg Animales]],COTIZACIONES2025256[[#This Row],[
Valor Kg Animales]],COTIZACIONES2025256[[#This Row],[HISTORICO
2024  + IPC 2025 (3%)Animales]])</calculatedColumnFormula>
    </tableColumn>
    <tableColumn id="15" xr3:uid="{34A815CA-0C4F-439F-905B-5787C2F91A70}" name="Valor promedio de Kilogramo Quimicos" dataDxfId="610">
      <calculatedColumnFormula>AVERAGE(COTIZACIONES2025256[[#This Row],[EDEPSA 
Valor Kg Quimicos]],COTIZACIONES2025256[[#This Row],[
Valor Kg Quimicos]],COTIZACIONES2025256[[#This Row],[HISTORICO
2024  + IPC 2025 (3%) Quimicos]])</calculatedColumnFormula>
    </tableColumn>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E57B0B79-58F0-41CB-ABAC-19CBF1C3B59D}" name="PRESUPUSTO_2025457" displayName="PRESUPUSTO_2025457" ref="C12:E18" totalsRowCount="1" dataDxfId="608" headerRowBorderDxfId="609" tableBorderDxfId="607">
  <autoFilter ref="C12:E17" xr:uid="{E57B0B79-58F0-41CB-ABAC-19CBF1C3B59D}"/>
  <tableColumns count="3">
    <tableColumn id="1" xr3:uid="{BA56A597-8159-44EA-AC27-D5ACDF39D616}" name="MUNICIPIO" totalsRowLabel="Total" dataDxfId="606" totalsRowDxfId="605"/>
    <tableColumn id="2" xr3:uid="{9EC08215-2324-4436-9D03-12C835A76B79}" name="PRESUPUESTO 2025" totalsRowFunction="sum" dataDxfId="604" totalsRowDxfId="603"/>
    <tableColumn id="3" xr3:uid="{455D1BB6-B070-49E3-9ABD-A3147E0560A6}" name="Columna1" totalsRowFunction="sum" dataDxfId="602" totalsRowDxfId="601">
      <calculatedColumnFormula>+PRESUPUSTO_2025457[[#This Row],[PRESUPUESTO 2025]]/4</calculatedColumnFormula>
    </tableColumn>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DFF0C904-044E-4889-99B1-5115EA9431E7}" name="ProyeccionKg20251058" displayName="ProyeccionKg20251058" ref="C21:H27" totalsRowCount="1" headerRowDxfId="600" dataDxfId="599" totalsRowDxfId="597" tableBorderDxfId="598">
  <autoFilter ref="C21:H26" xr:uid="{DFF0C904-044E-4889-99B1-5115EA9431E7}"/>
  <tableColumns count="6">
    <tableColumn id="1" xr3:uid="{D4B8A8DB-4CFC-4F79-AF7C-D6388F0452F8}" name="MUNICIPIO" totalsRowLabel="Total" dataDxfId="596" totalsRowDxfId="595"/>
    <tableColumn id="2" xr3:uid="{5C48F39D-01B8-4BCD-BC7D-2B82597608DD}" name="Proyección kilogramos 2025 Biosanitario  " totalsRowFunction="sum" dataDxfId="594" totalsRowDxfId="593">
      <calculatedColumnFormula>+H13/P4</calculatedColumnFormula>
    </tableColumn>
    <tableColumn id="3" xr3:uid="{93169578-608B-4F70-A756-C57DF6C1FC25}" name="Proyección kilogramos 2025 Cortopunzantes" totalsRowFunction="sum" dataDxfId="592" totalsRowDxfId="591">
      <calculatedColumnFormula>+I13/Q4</calculatedColumnFormula>
    </tableColumn>
    <tableColumn id="4" xr3:uid="{7E3D071F-9AB2-4B6E-AA5E-5EB81831EF87}" name="Proyección kilogramos 2025 Animales" totalsRowFunction="sum" dataDxfId="590" totalsRowDxfId="589">
      <calculatedColumnFormula>+J13/R4</calculatedColumnFormula>
    </tableColumn>
    <tableColumn id="5" xr3:uid="{A394234D-09BA-48C2-92AE-13358057741F}" name="Proyección kilogramos 2025 Quimicos" totalsRowFunction="sum" dataDxfId="588" totalsRowDxfId="587">
      <calculatedColumnFormula>+K13/S4</calculatedColumnFormula>
    </tableColumn>
    <tableColumn id="6" xr3:uid="{00230A5D-96C3-495D-A5EB-6A8C12331E8F}" name="TOTAL DE KILOGRAMOS " totalsRowFunction="sum" dataDxfId="586" totalsRowDxfId="585">
      <calculatedColumnFormula>+ProyeccionKg20251058[[#This Row],[Proyección kilogramos 2025 Biosanitario  ]]+ProyeccionKg20251058[[#This Row],[Proyección kilogramos 2025 Cortopunzantes]]+ProyeccionKg20251058[[#This Row],[Proyección kilogramos 2025 Animales]]+ProyeccionKg20251058[[#This Row],[Proyección kilogramos 2025 Quimicos]]</calculatedColumnFormula>
    </tableColumn>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BF968D83-779E-40C6-BF92-7FA27834229B}" name="DISTRIBUCIÓNPRESUPUESTOTIPODEDESECHO1159" displayName="DISTRIBUCIÓNPRESUPUESTOTIPODEDESECHO1159" ref="G12:K17" totalsRowShown="0" headerRowDxfId="584" dataDxfId="582" headerRowBorderDxfId="583" tableBorderDxfId="581" totalsRowBorderDxfId="580">
  <autoFilter ref="G12:K17" xr:uid="{BF968D83-779E-40C6-BF92-7FA27834229B}"/>
  <tableColumns count="5">
    <tableColumn id="1" xr3:uid="{833841EC-0EB3-4F96-BADE-A415B69DFF4E}" name="MUNICIPIO" dataDxfId="579"/>
    <tableColumn id="2" xr3:uid="{FCA95224-EB32-408D-9D5C-06A568FB53DC}" name="PRESUPUESTO 2025 Biosanitario  " dataDxfId="578">
      <calculatedColumnFormula>+PRESUPUSTO_2025457[[#This Row],[Columna1]]</calculatedColumnFormula>
    </tableColumn>
    <tableColumn id="3" xr3:uid="{55F56F5B-8C5B-4DB8-AC4C-5FEC42C475A9}" name="PRESUPUESTO 2025 Cortopunzantes" dataDxfId="577">
      <calculatedColumnFormula>+PRESUPUSTO_2025457[[#This Row],[Columna1]]</calculatedColumnFormula>
    </tableColumn>
    <tableColumn id="4" xr3:uid="{2ECC32CC-2217-4992-B5DB-D915CA0F0576}" name="PRESUPUESTO 2025 Animales" dataDxfId="576"/>
    <tableColumn id="5" xr3:uid="{90D9EB45-F450-42DA-84C7-1767C7E60AE6}" name="PRESUPUESTO 2025 Quimicos" dataDxfId="575">
      <calculatedColumnFormula>+PRESUPUSTO_2025457[[#This Row],[Columna1]]</calculatedColumnFormula>
    </tableColumn>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7C68AEA9-C1F3-44FF-8DD6-4DD90A7935FB}" name="COTIZACIONES2025260" displayName="COTIZACIONES2025260" ref="C3:S8" totalsRowShown="0" headerRowDxfId="574" dataDxfId="572" headerRowBorderDxfId="573" tableBorderDxfId="571">
  <autoFilter ref="C3:S8" xr:uid="{7C68AEA9-C1F3-44FF-8DD6-4DD90A7935FB}"/>
  <tableColumns count="17">
    <tableColumn id="1" xr3:uid="{DA00EE0D-EBB0-4CF7-9FF0-07F2FD17F5F7}" name="MUNICIPIO" dataDxfId="570"/>
    <tableColumn id="2" xr3:uid="{A4D9A8EA-DBBD-4271-B357-9896EF6A67CF}" name="EDEPSA _x000a_Valor Kg Biosanitario  " dataDxfId="569">
      <calculatedColumnFormula>+'Cotizaciones Empresas'!K10</calculatedColumnFormula>
    </tableColumn>
    <tableColumn id="3" xr3:uid="{B9A4C79D-5027-4A3C-9FDD-977C6DB80464}" name="EDEPSA _x000a_Valor Kg Cortopunzantes" dataDxfId="568">
      <calculatedColumnFormula>+'Cotizaciones Empresas'!D68</calculatedColumnFormula>
    </tableColumn>
    <tableColumn id="4" xr3:uid="{467CA9D8-0329-4943-BB4D-243BBAFAF9BA}" name="EDEPSA _x000a_Valor Kg Animales" dataDxfId="567">
      <calculatedColumnFormula>+'Cotizaciones Empresas'!E68</calculatedColumnFormula>
    </tableColumn>
    <tableColumn id="5" xr3:uid="{3C7E676D-C925-4F3C-8EE8-5C062D02CA05}" name="EDEPSA _x000a_Valor Kg Quimicos" dataDxfId="566">
      <calculatedColumnFormula>+'Cotizaciones Empresas'!F68</calculatedColumnFormula>
    </tableColumn>
    <tableColumn id="6" xr3:uid="{A3F16E8D-EED0-4FF1-85A1-F5E72BD4CC7A}" name="_x000a_Valor Kg Biosanitario " dataDxfId="565"/>
    <tableColumn id="7" xr3:uid="{0B6556E1-4B9A-49A2-9EEA-2AECCA978B9F}" name=" _x000a_Valor Kg Cortopunzantes" dataDxfId="564"/>
    <tableColumn id="8" xr3:uid="{9351200A-6701-4CFC-9320-681884C95125}" name="_x000a_Valor Kg Animales" dataDxfId="563"/>
    <tableColumn id="9" xr3:uid="{92C09746-0ED1-4969-AC48-1ACD8FED6C4D}" name="_x000a_Valor Kg Quimicos" dataDxfId="562"/>
    <tableColumn id="10" xr3:uid="{496D057D-F91D-4F15-A738-0BFCB887977B}" name="HISTORICO_x000a_2024 + IPC 2025 (3%)Biosanitario" dataDxfId="561">
      <calculatedColumnFormula>+'Cotizaciones Empresas'!BD10</calculatedColumnFormula>
    </tableColumn>
    <tableColumn id="16" xr3:uid="{E57F85FC-83BA-45E9-9876-73E6E41EB83D}" name="HISTORICO_x000a_2024  + IPC 2025 (3%) _x000a_Cortopunzantes" dataDxfId="560">
      <calculatedColumnFormula>+'Cotizaciones Empresas'!BE68</calculatedColumnFormula>
    </tableColumn>
    <tableColumn id="17" xr3:uid="{7DDB207C-595A-4BE6-B2F6-2C74DB993065}" name="HISTORICO_x000a_2024  + IPC 2025 (3%)Animales" dataDxfId="559">
      <calculatedColumnFormula>+'Cotizaciones Empresas'!BF68</calculatedColumnFormula>
    </tableColumn>
    <tableColumn id="18" xr3:uid="{97F50752-01B9-428F-975F-86976F0D85BD}" name="HISTORICO_x000a_2024  + IPC 2025 (3%) Quimicos" dataDxfId="558"/>
    <tableColumn id="12" xr3:uid="{E1B1C378-371E-4310-B39B-C254B23CE51C}" name="Valor promedio de Kilogramo Biosanitario" dataDxfId="557">
      <calculatedColumnFormula>AVERAGE(COTIZACIONES2025260[[#This Row],[EDEPSA 
Valor Kg Biosanitario  ]],COTIZACIONES2025260[[#This Row],[
Valor Kg Biosanitario ]],COTIZACIONES2025260[[#This Row],[HISTORICO
2024 + IPC 2025 (3%)Biosanitario]])</calculatedColumnFormula>
    </tableColumn>
    <tableColumn id="13" xr3:uid="{778C1334-B4E3-4F35-818B-50DCCDCDC994}" name="Valor promedio de Kilogramo Cortopunzantes" dataDxfId="556">
      <calculatedColumnFormula>AVERAGE(COTIZACIONES2025260[[#This Row],[EDEPSA 
Valor Kg Cortopunzantes]],COTIZACIONES2025260[[#This Row],[ 
Valor Kg Cortopunzantes]],COTIZACIONES2025260[[#This Row],[HISTORICO
2024  + IPC 2025 (3%) 
Cortopunzantes]])</calculatedColumnFormula>
    </tableColumn>
    <tableColumn id="14" xr3:uid="{E1239228-FF8D-4A1F-B272-FB152D5D8514}" name="Valor promedio de Kilogramog Animales" dataDxfId="555">
      <calculatedColumnFormula>AVERAGE(COTIZACIONES2025260[[#This Row],[EDEPSA 
Valor Kg Animales]],COTIZACIONES2025260[[#This Row],[
Valor Kg Animales]],COTIZACIONES2025260[[#This Row],[HISTORICO
2024  + IPC 2025 (3%)Animales]])</calculatedColumnFormula>
    </tableColumn>
    <tableColumn id="15" xr3:uid="{C1A49AF7-2C7D-415A-949B-F2A58BD08914}" name="Valor promedio de Kilogramo Quimicos" dataDxfId="554">
      <calculatedColumnFormula>AVERAGE(COTIZACIONES2025260[[#This Row],[EDEPSA 
Valor Kg Quimicos]],COTIZACIONES2025260[[#This Row],[
Valor Kg Quimicos]],COTIZACIONES2025260[[#This Row],[HISTORICO
2024  + IPC 2025 (3%) Quimicos]])</calculatedColumnFormula>
    </tableColumn>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42C75-E7E1-4C6D-BAA3-B9572B1AC81D}" name="PRESUPUSTO_2025461" displayName="PRESUPUSTO_2025461" ref="C12:E18" totalsRowCount="1" dataDxfId="552" headerRowBorderDxfId="553" tableBorderDxfId="551">
  <autoFilter ref="C12:E17" xr:uid="{00042C75-E7E1-4C6D-BAA3-B9572B1AC81D}"/>
  <tableColumns count="3">
    <tableColumn id="1" xr3:uid="{AB9C6768-3ABD-4F35-BAC5-C0DCA53932F4}" name="MUNICIPIO" totalsRowLabel="Total" dataDxfId="550" totalsRowDxfId="549"/>
    <tableColumn id="2" xr3:uid="{CEA8F48C-F28A-4B05-AF92-0481B5769D60}" name="PRESUPUESTO 2025" totalsRowFunction="sum" dataDxfId="548" totalsRowDxfId="547"/>
    <tableColumn id="3" xr3:uid="{88522F97-F926-48E1-8F6A-FB6F54CA37F2}" name="Columna1" totalsRowFunction="sum" dataDxfId="546" totalsRowDxfId="545">
      <calculatedColumnFormula>+PRESUPUSTO_2025461[[#This Row],[PRESUPUESTO 2025]]/4</calculatedColumnFormula>
    </tableColumn>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6A51CA93-6711-4DEF-9714-5E90DDB3D7D4}" name="ProyeccionKg20251062" displayName="ProyeccionKg20251062" ref="C21:H27" totalsRowCount="1" headerRowDxfId="544" dataDxfId="543" totalsRowDxfId="541" tableBorderDxfId="542">
  <autoFilter ref="C21:H26" xr:uid="{6A51CA93-6711-4DEF-9714-5E90DDB3D7D4}"/>
  <tableColumns count="6">
    <tableColumn id="1" xr3:uid="{0C797684-990C-4BFF-9338-9438E8F83B6D}" name="MUNICIPIO" totalsRowLabel="Total" dataDxfId="540" totalsRowDxfId="539"/>
    <tableColumn id="2" xr3:uid="{101CD701-1691-4EDB-B996-F9223F7BE323}" name="Proyección kilogramos 2025 Biosanitario  " totalsRowFunction="sum" dataDxfId="538" totalsRowDxfId="537">
      <calculatedColumnFormula>+H13/P4</calculatedColumnFormula>
    </tableColumn>
    <tableColumn id="3" xr3:uid="{D667CFFB-C392-43AD-8BFD-E960F5BA6A22}" name="Proyección kilogramos 2025 Cortopunzantes" totalsRowFunction="sum" dataDxfId="536" totalsRowDxfId="535">
      <calculatedColumnFormula>+I13/Q4</calculatedColumnFormula>
    </tableColumn>
    <tableColumn id="4" xr3:uid="{6FEFB320-D7DE-4BA2-AC5E-BD74F32F0637}" name="Proyección kilogramos 2025 Animales" totalsRowFunction="sum" dataDxfId="534" totalsRowDxfId="533">
      <calculatedColumnFormula>+J13/R4</calculatedColumnFormula>
    </tableColumn>
    <tableColumn id="5" xr3:uid="{7B98B668-DB0D-4B5D-947F-EB0E1E3E0B85}" name="Proyección kilogramos 2025 Quimicos" totalsRowFunction="sum" dataDxfId="532" totalsRowDxfId="531">
      <calculatedColumnFormula>+K13/S4</calculatedColumnFormula>
    </tableColumn>
    <tableColumn id="6" xr3:uid="{5C458231-E861-46FB-B13A-0ABB5BF3E8E7}" name="TOTAL DE KILOGRAMOS " totalsRowFunction="sum" dataDxfId="530" totalsRowDxfId="529">
      <calculatedColumnFormula>+ProyeccionKg20251062[[#This Row],[Proyección kilogramos 2025 Biosanitario  ]]+ProyeccionKg20251062[[#This Row],[Proyección kilogramos 2025 Cortopunzantes]]+ProyeccionKg20251062[[#This Row],[Proyección kilogramos 2025 Animales]]+ProyeccionKg20251062[[#This Row],[Proyección kilogramos 2025 Quimicos]]</calculatedColumnFormula>
    </tableColumn>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F222DF0-AC6E-4C14-B63F-909525E53EF4}" name="DISTRIBUCIÓNPRESUPUESTOTIPODEDESECHO1163" displayName="DISTRIBUCIÓNPRESUPUESTOTIPODEDESECHO1163" ref="G12:K17" totalsRowShown="0" headerRowDxfId="528" dataDxfId="526" headerRowBorderDxfId="527" tableBorderDxfId="525" totalsRowBorderDxfId="524">
  <autoFilter ref="G12:K17" xr:uid="{0F222DF0-AC6E-4C14-B63F-909525E53EF4}"/>
  <tableColumns count="5">
    <tableColumn id="1" xr3:uid="{CCD43463-744B-494E-ABF8-1686F1A09C35}" name="MUNICIPIO" dataDxfId="523"/>
    <tableColumn id="2" xr3:uid="{37440175-312F-4754-8BA5-01091E7EE745}" name="PRESUPUESTO 2025 Biosanitario  " dataDxfId="522">
      <calculatedColumnFormula>+PRESUPUSTO_2025461[[#This Row],[Columna1]]</calculatedColumnFormula>
    </tableColumn>
    <tableColumn id="3" xr3:uid="{DEEE1F4C-E5A4-444A-BE8F-0FD3EFF94C22}" name="PRESUPUESTO 2025 Cortopunzantes" dataDxfId="521">
      <calculatedColumnFormula>+PRESUPUSTO_2025461[[#This Row],[Columna1]]</calculatedColumnFormula>
    </tableColumn>
    <tableColumn id="4" xr3:uid="{909BD488-97B1-4EA9-ADDA-C415A4B7708E}" name="PRESUPUESTO 2025 Animales" dataDxfId="520"/>
    <tableColumn id="5" xr3:uid="{39707255-B4C8-4E8E-9258-D1514A7E3539}" name="PRESUPUESTO 2025 Quimicos" dataDxfId="519">
      <calculatedColumnFormula>+PRESUPUSTO_2025461[[#This Row],[Columna1]]</calculatedColumnFormula>
    </tableColumn>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1539087A-9888-407F-BA1E-40DAFED7B261}" name="COTIZACIONES2025264" displayName="COTIZACIONES2025264" ref="C3:S8" totalsRowShown="0" headerRowDxfId="518" dataDxfId="516" headerRowBorderDxfId="517" tableBorderDxfId="515">
  <autoFilter ref="C3:S8" xr:uid="{1539087A-9888-407F-BA1E-40DAFED7B261}"/>
  <tableColumns count="17">
    <tableColumn id="1" xr3:uid="{2D271F60-245B-47D2-8336-577B353BFACB}" name="MUNICIPIO" dataDxfId="514"/>
    <tableColumn id="2" xr3:uid="{89B0CFC6-E57F-4D76-8E81-79CAF16899BD}" name="EDEPSA _x000a_Valor Kg Biosanitario  " dataDxfId="513">
      <calculatedColumnFormula>+'Cotizaciones Empresas'!K10</calculatedColumnFormula>
    </tableColumn>
    <tableColumn id="3" xr3:uid="{62F37251-9176-4B23-86B9-B6B5DAF78AFD}" name="EDEPSA _x000a_Valor Kg Cortopunzantes" dataDxfId="512">
      <calculatedColumnFormula>+'Cotizaciones Empresas'!D68</calculatedColumnFormula>
    </tableColumn>
    <tableColumn id="4" xr3:uid="{8DB2877C-3493-4F52-92E0-9B329AD3FACA}" name="EDEPSA _x000a_Valor Kg Animales" dataDxfId="511">
      <calculatedColumnFormula>+'Cotizaciones Empresas'!E68</calculatedColumnFormula>
    </tableColumn>
    <tableColumn id="5" xr3:uid="{6C1601E2-BFEC-472B-BC4E-1C590FD91443}" name="EDEPSA _x000a_Valor Kg Quimicos" dataDxfId="510">
      <calculatedColumnFormula>+'Cotizaciones Empresas'!F68</calculatedColumnFormula>
    </tableColumn>
    <tableColumn id="6" xr3:uid="{38780192-2C2F-4D69-BAD3-9C2B22ACC169}" name="_x000a_Valor Kg Biosanitario " dataDxfId="509"/>
    <tableColumn id="7" xr3:uid="{6314C0ED-8143-4FF4-B8F8-89C3D8999AC4}" name=" _x000a_Valor Kg Cortopunzantes" dataDxfId="508"/>
    <tableColumn id="8" xr3:uid="{28F794A0-4A21-4CE1-9606-D56BCC563722}" name="_x000a_Valor Kg Animales" dataDxfId="507"/>
    <tableColumn id="9" xr3:uid="{FFF461D7-A7EB-451B-AF62-AC33AC5D5644}" name="_x000a_Valor Kg Quimicos" dataDxfId="506"/>
    <tableColumn id="10" xr3:uid="{FAC68EBE-35D5-4F0F-8B70-6CBC08FCE5EF}" name="HISTORICO_x000a_2024 + IPC 2025 (3%)Biosanitario" dataDxfId="505">
      <calculatedColumnFormula>+'Cotizaciones Empresas'!BD10</calculatedColumnFormula>
    </tableColumn>
    <tableColumn id="16" xr3:uid="{497FCE0C-408E-4260-900F-78EF0B8E6DB7}" name="HISTORICO_x000a_2024  + IPC 2025 (3%) _x000a_Cortopunzantes" dataDxfId="504">
      <calculatedColumnFormula>+'Cotizaciones Empresas'!BE68</calculatedColumnFormula>
    </tableColumn>
    <tableColumn id="17" xr3:uid="{ED5A20C9-1F02-42DC-905F-F43C87F9F30A}" name="HISTORICO_x000a_2024  + IPC 2025 (3%)Animales" dataDxfId="503">
      <calculatedColumnFormula>+'Cotizaciones Empresas'!BF68</calculatedColumnFormula>
    </tableColumn>
    <tableColumn id="18" xr3:uid="{44152756-391B-41AE-A8C5-3AC21C60C791}" name="HISTORICO_x000a_2024  + IPC 2025 (3%) Quimicos" dataDxfId="502"/>
    <tableColumn id="12" xr3:uid="{E5889F1C-E530-4626-9232-98B2C88EA32D}" name="Valor promedio de Kilogramo Biosanitario" dataDxfId="501">
      <calculatedColumnFormula>AVERAGE(COTIZACIONES2025264[[#This Row],[EDEPSA 
Valor Kg Biosanitario  ]],COTIZACIONES2025264[[#This Row],[
Valor Kg Biosanitario ]],COTIZACIONES2025264[[#This Row],[HISTORICO
2024 + IPC 2025 (3%)Biosanitario]])</calculatedColumnFormula>
    </tableColumn>
    <tableColumn id="13" xr3:uid="{2562D6CD-4B2A-4CF9-9DAF-EC47ADE70095}" name="Valor promedio de Kilogramo Cortopunzantes" dataDxfId="500">
      <calculatedColumnFormula>AVERAGE(COTIZACIONES2025264[[#This Row],[EDEPSA 
Valor Kg Cortopunzantes]],COTIZACIONES2025264[[#This Row],[ 
Valor Kg Cortopunzantes]],COTIZACIONES2025264[[#This Row],[HISTORICO
2024  + IPC 2025 (3%) 
Cortopunzantes]])</calculatedColumnFormula>
    </tableColumn>
    <tableColumn id="14" xr3:uid="{B598C8C2-FE20-4850-975B-867134CB9B3D}" name="Valor promedio de Kilogramog Animales" dataDxfId="499">
      <calculatedColumnFormula>AVERAGE(COTIZACIONES2025264[[#This Row],[EDEPSA 
Valor Kg Animales]],COTIZACIONES2025264[[#This Row],[
Valor Kg Animales]],COTIZACIONES2025264[[#This Row],[HISTORICO
2024  + IPC 2025 (3%)Animales]])</calculatedColumnFormula>
    </tableColumn>
    <tableColumn id="15" xr3:uid="{2D2F4B23-D331-4322-BBDF-38A0646D4FD6}" name="Valor promedio de Kilogramo Quimicos" dataDxfId="498">
      <calculatedColumnFormula>AVERAGE(COTIZACIONES2025264[[#This Row],[EDEPSA 
Valor Kg Quimicos]],COTIZACIONES2025264[[#This Row],[
Valor Kg Quimicos]],COTIZACIONES2025264[[#This Row],[HISTORICO
2024  + IPC 2025 (3%) Quimicos]])</calculatedColumnFormula>
    </tableColumn>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B1F71BED-3607-431D-BA5A-C4E55064733E}" name="PRESUPUSTO_2025465" displayName="PRESUPUSTO_2025465" ref="C12:E18" totalsRowCount="1" dataDxfId="496" headerRowBorderDxfId="497" tableBorderDxfId="495">
  <autoFilter ref="C12:E17" xr:uid="{B1F71BED-3607-431D-BA5A-C4E55064733E}"/>
  <tableColumns count="3">
    <tableColumn id="1" xr3:uid="{3CF7559B-85D0-4C23-A3D8-9F1956AB0C3A}" name="MUNICIPIO" totalsRowLabel="Total" dataDxfId="494" totalsRowDxfId="493"/>
    <tableColumn id="2" xr3:uid="{9A82A6B9-76D1-46AE-A7F5-44F8BAA3D1C1}" name="PRESUPUESTO 2025" totalsRowFunction="sum" dataDxfId="492" totalsRowDxfId="491"/>
    <tableColumn id="3" xr3:uid="{EF041376-063A-41D2-90A4-16C06ADC07F5}" name="Columna1" totalsRowFunction="sum" dataDxfId="490" totalsRowDxfId="489">
      <calculatedColumnFormula>+PRESUPUSTO_2025465[[#This Row],[PRESUPUESTO 2025]]/4</calculatedColumnFormula>
    </tableColumn>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811067F-C3F9-494E-ADDE-688D435D3E90}" name="ProyeccionKg20251066" displayName="ProyeccionKg20251066" ref="C21:H27" totalsRowCount="1" headerRowDxfId="488" dataDxfId="487" totalsRowDxfId="485" tableBorderDxfId="486">
  <autoFilter ref="C21:H26" xr:uid="{0811067F-C3F9-494E-ADDE-688D435D3E90}"/>
  <tableColumns count="6">
    <tableColumn id="1" xr3:uid="{0A42F328-F5AB-47BC-86ED-96F12AC8E2A0}" name="MUNICIPIO" totalsRowLabel="Total" dataDxfId="484" totalsRowDxfId="483"/>
    <tableColumn id="2" xr3:uid="{0ABF60AD-7699-455B-8906-2EB8E11BEBED}" name="Proyección kilogramos 2025 Biosanitario  " totalsRowFunction="sum" dataDxfId="482" totalsRowDxfId="481">
      <calculatedColumnFormula>+H13/P4</calculatedColumnFormula>
    </tableColumn>
    <tableColumn id="3" xr3:uid="{9F816320-1795-46C4-BE95-E86841F4936D}" name="Proyección kilogramos 2025 Cortopunzantes" totalsRowFunction="sum" dataDxfId="480" totalsRowDxfId="479">
      <calculatedColumnFormula>+I13/Q4</calculatedColumnFormula>
    </tableColumn>
    <tableColumn id="4" xr3:uid="{BF8CB8A1-7F2C-4A2E-9ED9-4E10F2BA86BF}" name="Proyección kilogramos 2025 Animales" totalsRowFunction="sum" dataDxfId="478" totalsRowDxfId="477">
      <calculatedColumnFormula>+J13/R4</calculatedColumnFormula>
    </tableColumn>
    <tableColumn id="5" xr3:uid="{4E690BE7-77B7-4598-87CF-91EE29D80269}" name="Proyección kilogramos 2025 Quimicos" totalsRowFunction="sum" dataDxfId="476" totalsRowDxfId="475">
      <calculatedColumnFormula>+K13/S4</calculatedColumnFormula>
    </tableColumn>
    <tableColumn id="6" xr3:uid="{9128A9B1-904A-45E3-9664-E4EA51C293D6}" name="TOTAL DE KILOGRAMOS " totalsRowFunction="sum" dataDxfId="474" totalsRowDxfId="473">
      <calculatedColumnFormula>+ProyeccionKg20251066[[#This Row],[Proyección kilogramos 2025 Biosanitario  ]]+ProyeccionKg20251066[[#This Row],[Proyección kilogramos 2025 Cortopunzantes]]+ProyeccionKg20251066[[#This Row],[Proyección kilogramos 2025 Animales]]+ProyeccionKg20251066[[#This Row],[Proyección kilogramos 2025 Quimicos]]</calculatedColumnFormula>
    </tableColumn>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C286F949-C203-4802-8F96-2B3D688B410E}" name="DISTRIBUCIÓNPRESUPUESTOTIPODEDESECHO1167" displayName="DISTRIBUCIÓNPRESUPUESTOTIPODEDESECHO1167" ref="G12:K17" totalsRowShown="0" headerRowDxfId="472" dataDxfId="470" headerRowBorderDxfId="471" tableBorderDxfId="469" totalsRowBorderDxfId="468">
  <autoFilter ref="G12:K17" xr:uid="{C286F949-C203-4802-8F96-2B3D688B410E}"/>
  <tableColumns count="5">
    <tableColumn id="1" xr3:uid="{FAC29759-4307-44B6-AD27-84D4F4B0633D}" name="MUNICIPIO" dataDxfId="467"/>
    <tableColumn id="2" xr3:uid="{93962ED1-36D2-45F3-B275-CC6D15543F7F}" name="PRESUPUESTO 2025 Biosanitario  " dataDxfId="466">
      <calculatedColumnFormula>+PRESUPUSTO_2025465[[#This Row],[Columna1]]</calculatedColumnFormula>
    </tableColumn>
    <tableColumn id="3" xr3:uid="{96B0B411-9089-4B8B-A1E0-C30881DC1B04}" name="PRESUPUESTO 2025 Cortopunzantes" dataDxfId="465">
      <calculatedColumnFormula>+PRESUPUSTO_2025465[[#This Row],[Columna1]]</calculatedColumnFormula>
    </tableColumn>
    <tableColumn id="4" xr3:uid="{5E3171BE-4189-40C8-B373-CBA7168E63E6}" name="PRESUPUESTO 2025 Animales" dataDxfId="464"/>
    <tableColumn id="5" xr3:uid="{B4C80C9B-FE5F-4316-A6E9-D5160597D99C}" name="PRESUPUESTO 2025 Quimicos" dataDxfId="463">
      <calculatedColumnFormula>+PRESUPUSTO_2025465[[#This Row],[Columna1]]</calculatedColumnFormula>
    </tableColumn>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F49D3892-5DD3-4D92-9E83-6774B9C8F56D}" name="COTIZACIONES2025268" displayName="COTIZACIONES2025268" ref="C3:S8" totalsRowShown="0" headerRowDxfId="462" dataDxfId="460" headerRowBorderDxfId="461" tableBorderDxfId="459">
  <autoFilter ref="C3:S8" xr:uid="{F49D3892-5DD3-4D92-9E83-6774B9C8F56D}"/>
  <tableColumns count="17">
    <tableColumn id="1" xr3:uid="{C2D7D670-EC58-4A34-A5A1-D97B664B1122}" name="MUNICIPIO" dataDxfId="458"/>
    <tableColumn id="2" xr3:uid="{C9EB2745-E381-4CAF-B946-CFF8AF8FE4BE}" name="EDEPSA _x000a_Valor Kg Biosanitario  " dataDxfId="457">
      <calculatedColumnFormula>+'Cotizaciones Empresas'!K10</calculatedColumnFormula>
    </tableColumn>
    <tableColumn id="3" xr3:uid="{BA93B6B2-A37B-4A00-A8A4-4FEB38879CB9}" name="EDEPSA _x000a_Valor Kg Cortopunzantes" dataDxfId="456">
      <calculatedColumnFormula>+'Cotizaciones Empresas'!D68</calculatedColumnFormula>
    </tableColumn>
    <tableColumn id="4" xr3:uid="{462A425B-6637-4901-828E-9D879C4F50B0}" name="EDEPSA _x000a_Valor Kg Animales" dataDxfId="455">
      <calculatedColumnFormula>+'Cotizaciones Empresas'!E68</calculatedColumnFormula>
    </tableColumn>
    <tableColumn id="5" xr3:uid="{ED8D1AC2-76F4-4999-AA31-A9FADEE4BC4F}" name="EDEPSA _x000a_Valor Kg Quimicos" dataDxfId="454">
      <calculatedColumnFormula>+'Cotizaciones Empresas'!F68</calculatedColumnFormula>
    </tableColumn>
    <tableColumn id="6" xr3:uid="{EFA6DD23-3B90-423B-BD5E-CC80F55C0327}" name="_x000a_Valor Kg Biosanitario " dataDxfId="453"/>
    <tableColumn id="7" xr3:uid="{3E9EC6DF-C379-48AD-94CD-E98AEB864A06}" name=" _x000a_Valor Kg Cortopunzantes" dataDxfId="452"/>
    <tableColumn id="8" xr3:uid="{FD4E600A-F909-4163-9685-7321D27FE822}" name="_x000a_Valor Kg Animales" dataDxfId="451"/>
    <tableColumn id="9" xr3:uid="{0591F8DE-DC1B-4CFF-A52E-7B28DB1FBFB2}" name="_x000a_Valor Kg Quimicos" dataDxfId="450"/>
    <tableColumn id="10" xr3:uid="{A4F9E8FC-4F24-48CF-8FAD-DEEAEF0C67C5}" name="HISTORICO_x000a_2024 + IPC 2025 (3%)Biosanitario" dataDxfId="449">
      <calculatedColumnFormula>+'Cotizaciones Empresas'!BD10</calculatedColumnFormula>
    </tableColumn>
    <tableColumn id="16" xr3:uid="{B1FEFA5B-8745-43B2-A99C-52B56C09D9DE}" name="HISTORICO_x000a_2024  + IPC 2025 (3%) _x000a_Cortopunzantes" dataDxfId="448">
      <calculatedColumnFormula>+'Cotizaciones Empresas'!BE68</calculatedColumnFormula>
    </tableColumn>
    <tableColumn id="17" xr3:uid="{E152A530-A62C-4418-AAC8-69533E085CC5}" name="HISTORICO_x000a_2024  + IPC 2025 (3%)Animales" dataDxfId="447">
      <calculatedColumnFormula>+'Cotizaciones Empresas'!BF68</calculatedColumnFormula>
    </tableColumn>
    <tableColumn id="18" xr3:uid="{B7977C17-10EA-4541-ADAF-295B4A55961F}" name="HISTORICO_x000a_2024  + IPC 2025 (3%) Quimicos" dataDxfId="446"/>
    <tableColumn id="12" xr3:uid="{C39F2451-495F-409B-8E7C-091B9ABE2BF8}" name="Valor promedio de Kilogramo Biosanitario" dataDxfId="445">
      <calculatedColumnFormula>AVERAGE(COTIZACIONES2025268[[#This Row],[EDEPSA 
Valor Kg Biosanitario  ]],COTIZACIONES2025268[[#This Row],[
Valor Kg Biosanitario ]],COTIZACIONES2025268[[#This Row],[HISTORICO
2024 + IPC 2025 (3%)Biosanitario]])</calculatedColumnFormula>
    </tableColumn>
    <tableColumn id="13" xr3:uid="{10C24D03-6660-4024-B95D-505182F777C8}" name="Valor promedio de Kilogramo Cortopunzantes" dataDxfId="444">
      <calculatedColumnFormula>AVERAGE(COTIZACIONES2025268[[#This Row],[EDEPSA 
Valor Kg Cortopunzantes]],COTIZACIONES2025268[[#This Row],[ 
Valor Kg Cortopunzantes]],COTIZACIONES2025268[[#This Row],[HISTORICO
2024  + IPC 2025 (3%) 
Cortopunzantes]])</calculatedColumnFormula>
    </tableColumn>
    <tableColumn id="14" xr3:uid="{78BC25CD-48F5-414B-A295-05825AE42B59}" name="Valor promedio de Kilogramog Animales" dataDxfId="443">
      <calculatedColumnFormula>AVERAGE(COTIZACIONES2025268[[#This Row],[EDEPSA 
Valor Kg Animales]],COTIZACIONES2025268[[#This Row],[
Valor Kg Animales]],COTIZACIONES2025268[[#This Row],[HISTORICO
2024  + IPC 2025 (3%)Animales]])</calculatedColumnFormula>
    </tableColumn>
    <tableColumn id="15" xr3:uid="{121EBEBF-9013-4CEF-B255-E8BDD04E6411}" name="Valor promedio de Kilogramo Quimicos" dataDxfId="442">
      <calculatedColumnFormula>AVERAGE(COTIZACIONES2025268[[#This Row],[EDEPSA 
Valor Kg Quimicos]],COTIZACIONES2025268[[#This Row],[
Valor Kg Quimicos]],COTIZACIONES2025268[[#This Row],[HISTORICO
2024  + IPC 2025 (3%) Quimicos]])</calculatedColumnFormula>
    </tableColumn>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8FE5900A-4649-4097-8E79-A498336DFDD4}" name="PRESUPUSTO_2025469" displayName="PRESUPUSTO_2025469" ref="C12:E18" totalsRowCount="1" dataDxfId="440" headerRowBorderDxfId="441" tableBorderDxfId="439">
  <autoFilter ref="C12:E17" xr:uid="{8FE5900A-4649-4097-8E79-A498336DFDD4}"/>
  <tableColumns count="3">
    <tableColumn id="1" xr3:uid="{A361A876-59D9-42E2-A534-1B84AD4652CB}" name="MUNICIPIO" totalsRowLabel="Total" dataDxfId="438" totalsRowDxfId="437"/>
    <tableColumn id="2" xr3:uid="{98CB93FE-66A5-456A-BE8A-7D2867470304}" name="PRESUPUESTO 2025" totalsRowFunction="sum" dataDxfId="436" totalsRowDxfId="435"/>
    <tableColumn id="3" xr3:uid="{91B56DD5-6AF0-4245-89B0-1B88AF059E39}" name="Columna1" totalsRowFunction="sum" dataDxfId="434" totalsRowDxfId="433">
      <calculatedColumnFormula>+PRESUPUSTO_2025469[[#This Row],[PRESUPUESTO 2025]]/4</calculatedColumnFormula>
    </tableColumn>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E52E5D05-339E-41FA-8C02-72A1B0596D2D}" name="ProyeccionKg20251070" displayName="ProyeccionKg20251070" ref="C21:H27" totalsRowCount="1" headerRowDxfId="432" dataDxfId="431" totalsRowDxfId="429" tableBorderDxfId="430">
  <autoFilter ref="C21:H26" xr:uid="{E52E5D05-339E-41FA-8C02-72A1B0596D2D}"/>
  <tableColumns count="6">
    <tableColumn id="1" xr3:uid="{F4732532-A677-495A-9F3F-C97DD5352F92}" name="MUNICIPIO" totalsRowLabel="Total" dataDxfId="428" totalsRowDxfId="427"/>
    <tableColumn id="2" xr3:uid="{70F9E3D2-7449-40ED-8B4C-0FA668A2E161}" name="Proyección kilogramos 2025 Biosanitario  " totalsRowFunction="sum" dataDxfId="426" totalsRowDxfId="425">
      <calculatedColumnFormula>+H13/P4</calculatedColumnFormula>
    </tableColumn>
    <tableColumn id="3" xr3:uid="{41D50198-DF74-42AA-A7E3-D4DDC542DFDC}" name="Proyección kilogramos 2025 Cortopunzantes" totalsRowFunction="sum" dataDxfId="424" totalsRowDxfId="423">
      <calculatedColumnFormula>+I13/Q4</calculatedColumnFormula>
    </tableColumn>
    <tableColumn id="4" xr3:uid="{5C57031C-176D-4CD2-89E3-6718BCB76CE6}" name="Proyección kilogramos 2025 Animales" totalsRowFunction="sum" dataDxfId="422" totalsRowDxfId="421">
      <calculatedColumnFormula>+J13/R4</calculatedColumnFormula>
    </tableColumn>
    <tableColumn id="5" xr3:uid="{462ED42F-63AC-4497-8A1C-FF9B6BBD64B4}" name="Proyección kilogramos 2025 Quimicos" totalsRowFunction="sum" dataDxfId="420" totalsRowDxfId="419">
      <calculatedColumnFormula>+K13/S4</calculatedColumnFormula>
    </tableColumn>
    <tableColumn id="6" xr3:uid="{A41AB430-5F29-4FD4-B720-1EEFA8690F1D}" name="TOTAL DE KILOGRAMOS " totalsRowFunction="sum" dataDxfId="418" totalsRowDxfId="417">
      <calculatedColumnFormula>+ProyeccionKg20251070[[#This Row],[Proyección kilogramos 2025 Biosanitario  ]]+ProyeccionKg20251070[[#This Row],[Proyección kilogramos 2025 Cortopunzantes]]+ProyeccionKg20251070[[#This Row],[Proyección kilogramos 2025 Animales]]+ProyeccionKg20251070[[#This Row],[Proyección kilogramos 2025 Quimicos]]</calculatedColumnFormula>
    </tableColumn>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6853CE9-1948-4A7A-9C72-85A656578537}" name="DISTRIBUCIÓNPRESUPUESTOTIPODEDESECHO1171" displayName="DISTRIBUCIÓNPRESUPUESTOTIPODEDESECHO1171" ref="G12:K17" totalsRowShown="0" headerRowDxfId="416" dataDxfId="414" headerRowBorderDxfId="415" tableBorderDxfId="413" totalsRowBorderDxfId="412">
  <autoFilter ref="G12:K17" xr:uid="{06853CE9-1948-4A7A-9C72-85A656578537}"/>
  <tableColumns count="5">
    <tableColumn id="1" xr3:uid="{5D3C3C15-7CA5-4BDB-A364-5931DC5F2DAE}" name="MUNICIPIO" dataDxfId="411"/>
    <tableColumn id="2" xr3:uid="{531501BC-7C87-48B6-B37A-F6BD56B45CE3}" name="PRESUPUESTO 2025 Biosanitario  " dataDxfId="410">
      <calculatedColumnFormula>+PRESUPUSTO_2025469[[#This Row],[Columna1]]</calculatedColumnFormula>
    </tableColumn>
    <tableColumn id="3" xr3:uid="{65422A52-CEEA-4799-93FB-2542E58B414C}" name="PRESUPUESTO 2025 Cortopunzantes" dataDxfId="409">
      <calculatedColumnFormula>+PRESUPUSTO_2025469[[#This Row],[Columna1]]</calculatedColumnFormula>
    </tableColumn>
    <tableColumn id="4" xr3:uid="{5CAF53CB-9C65-48C0-B137-B8831DDA6C0B}" name="PRESUPUESTO 2025 Animales" dataDxfId="408"/>
    <tableColumn id="5" xr3:uid="{5E51F8D9-5E20-4DFE-99D6-D0ECD9F5502A}" name="PRESUPUESTO 2025 Quimicos" dataDxfId="407">
      <calculatedColumnFormula>+PRESUPUSTO_2025469[[#This Row],[Columna1]]</calculatedColumnFormula>
    </tableColumn>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F9B4E210-4F33-4A4A-BBFB-363101BD24B2}" name="COTIZACIONES2025272" displayName="COTIZACIONES2025272" ref="C3:S8" totalsRowShown="0" headerRowDxfId="406" dataDxfId="404" headerRowBorderDxfId="405" tableBorderDxfId="403">
  <autoFilter ref="C3:S8" xr:uid="{F9B4E210-4F33-4A4A-BBFB-363101BD24B2}"/>
  <tableColumns count="17">
    <tableColumn id="1" xr3:uid="{38C54451-33F5-44FC-89C3-82A30056D35E}" name="MUNICIPIO" dataDxfId="402"/>
    <tableColumn id="2" xr3:uid="{21C6EABD-837D-4EFF-AB38-99DF60227D48}" name="EDEPSA _x000a_Valor Kg Biosanitario  " dataDxfId="401">
      <calculatedColumnFormula>+'Cotizaciones Empresas'!K10</calculatedColumnFormula>
    </tableColumn>
    <tableColumn id="3" xr3:uid="{2CBAE6D9-DE62-4F3F-907E-9021E46621CE}" name="EDEPSA _x000a_Valor Kg Cortopunzantes" dataDxfId="400">
      <calculatedColumnFormula>+'Cotizaciones Empresas'!D68</calculatedColumnFormula>
    </tableColumn>
    <tableColumn id="4" xr3:uid="{B70A150B-36B5-4C96-A03C-B88029C19F0C}" name="EDEPSA _x000a_Valor Kg Animales" dataDxfId="399">
      <calculatedColumnFormula>+'Cotizaciones Empresas'!E68</calculatedColumnFormula>
    </tableColumn>
    <tableColumn id="5" xr3:uid="{E693E96F-885D-43DD-A317-110F1C2B68AA}" name="EDEPSA _x000a_Valor Kg Quimicos" dataDxfId="398">
      <calculatedColumnFormula>+'Cotizaciones Empresas'!F68</calculatedColumnFormula>
    </tableColumn>
    <tableColumn id="6" xr3:uid="{CE1572E0-E3A3-4795-B869-C21762ECE103}" name="_x000a_Valor Kg Biosanitario " dataDxfId="397"/>
    <tableColumn id="7" xr3:uid="{37474391-FBD6-4523-8A4B-4EE381A6D54E}" name=" _x000a_Valor Kg Cortopunzantes" dataDxfId="396"/>
    <tableColumn id="8" xr3:uid="{DA1FAE0B-E2E7-4269-BFC5-32CD5706CE34}" name="_x000a_Valor Kg Animales" dataDxfId="395"/>
    <tableColumn id="9" xr3:uid="{FBE247C3-B6F4-4ADE-AEF2-FEC88D4F0032}" name="_x000a_Valor Kg Quimicos" dataDxfId="394"/>
    <tableColumn id="10" xr3:uid="{5329AB3F-B754-483D-845B-D21F3FAD61A0}" name="HISTORICO_x000a_2024 + IPC 2025 (3%)Biosanitario" dataDxfId="393">
      <calculatedColumnFormula>+'Cotizaciones Empresas'!BD10</calculatedColumnFormula>
    </tableColumn>
    <tableColumn id="16" xr3:uid="{6D9A425F-8B41-48BA-A09A-45D91F190149}" name="HISTORICO_x000a_2024  + IPC 2025 (3%) _x000a_Cortopunzantes" dataDxfId="392">
      <calculatedColumnFormula>+'Cotizaciones Empresas'!BE68</calculatedColumnFormula>
    </tableColumn>
    <tableColumn id="17" xr3:uid="{1087E701-8D4B-4710-B222-8196904078DF}" name="HISTORICO_x000a_2024  + IPC 2025 (3%)Animales" dataDxfId="391">
      <calculatedColumnFormula>+'Cotizaciones Empresas'!BF68</calculatedColumnFormula>
    </tableColumn>
    <tableColumn id="18" xr3:uid="{7759C688-2C47-4859-8B17-0CAA70F454C7}" name="HISTORICO_x000a_2024  + IPC 2025 (3%) Quimicos" dataDxfId="390"/>
    <tableColumn id="12" xr3:uid="{E3D540C7-922C-49AE-A15F-27AD554D2FB2}" name="Valor promedio de Kilogramo Biosanitario" dataDxfId="389">
      <calculatedColumnFormula>AVERAGE(COTIZACIONES2025272[[#This Row],[EDEPSA 
Valor Kg Biosanitario  ]],COTIZACIONES2025272[[#This Row],[
Valor Kg Biosanitario ]],COTIZACIONES2025272[[#This Row],[HISTORICO
2024 + IPC 2025 (3%)Biosanitario]])</calculatedColumnFormula>
    </tableColumn>
    <tableColumn id="13" xr3:uid="{F83B91CC-FFE2-4B45-8D83-0E38F0D633BA}" name="Valor promedio de Kilogramo Cortopunzantes" dataDxfId="388">
      <calculatedColumnFormula>AVERAGE(COTIZACIONES2025272[[#This Row],[EDEPSA 
Valor Kg Cortopunzantes]],COTIZACIONES2025272[[#This Row],[ 
Valor Kg Cortopunzantes]],COTIZACIONES2025272[[#This Row],[HISTORICO
2024  + IPC 2025 (3%) 
Cortopunzantes]])</calculatedColumnFormula>
    </tableColumn>
    <tableColumn id="14" xr3:uid="{593FA8D7-00A7-4815-8DC5-29D0F5A3C5C0}" name="Valor promedio de Kilogramog Animales" dataDxfId="387">
      <calculatedColumnFormula>AVERAGE(COTIZACIONES2025272[[#This Row],[EDEPSA 
Valor Kg Animales]],COTIZACIONES2025272[[#This Row],[
Valor Kg Animales]],COTIZACIONES2025272[[#This Row],[HISTORICO
2024  + IPC 2025 (3%)Animales]])</calculatedColumnFormula>
    </tableColumn>
    <tableColumn id="15" xr3:uid="{3B48EBF6-4F78-4EBD-BDD3-EF935B0319DE}" name="Valor promedio de Kilogramo Quimicos" dataDxfId="386">
      <calculatedColumnFormula>AVERAGE(COTIZACIONES2025272[[#This Row],[EDEPSA 
Valor Kg Quimicos]],COTIZACIONES2025272[[#This Row],[
Valor Kg Quimicos]],COTIZACIONES2025272[[#This Row],[HISTORICO
2024  + IPC 2025 (3%) Quimicos]])</calculatedColumnFormula>
    </tableColumn>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D9721A16-D1AD-4C73-9FD3-51FF4531E6E9}" name="PRESUPUSTO_2025473" displayName="PRESUPUSTO_2025473" ref="C12:E18" totalsRowCount="1" dataDxfId="384" headerRowBorderDxfId="385" tableBorderDxfId="383">
  <autoFilter ref="C12:E17" xr:uid="{D9721A16-D1AD-4C73-9FD3-51FF4531E6E9}"/>
  <tableColumns count="3">
    <tableColumn id="1" xr3:uid="{0386A630-2A8E-4546-B423-5C5FAADF06F0}" name="MUNICIPIO" totalsRowLabel="Total" dataDxfId="382" totalsRowDxfId="381"/>
    <tableColumn id="2" xr3:uid="{BF5D528A-0B60-4ABB-BAAA-D0188D4CCD94}" name="PRESUPUESTO 2025" totalsRowFunction="sum" dataDxfId="380" totalsRowDxfId="379"/>
    <tableColumn id="3" xr3:uid="{9DBB1E62-2F6F-4ED4-89E2-4E135C048E4A}" name="Columna1" totalsRowFunction="sum" dataDxfId="378" totalsRowDxfId="377">
      <calculatedColumnFormula>+PRESUPUSTO_2025473[[#This Row],[PRESUPUESTO 2025]]/4</calculatedColumnFormula>
    </tableColumn>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C211E7B6-9D01-4247-9B3A-1AAA96EAE37A}" name="ProyeccionKg20251074" displayName="ProyeccionKg20251074" ref="C21:H27" totalsRowCount="1" headerRowDxfId="376" dataDxfId="375" totalsRowDxfId="373" tableBorderDxfId="374">
  <autoFilter ref="C21:H26" xr:uid="{C211E7B6-9D01-4247-9B3A-1AAA96EAE37A}"/>
  <tableColumns count="6">
    <tableColumn id="1" xr3:uid="{AED9C677-94BA-47E0-8E40-681D213C7FE4}" name="MUNICIPIO" totalsRowLabel="Total" dataDxfId="372" totalsRowDxfId="371"/>
    <tableColumn id="2" xr3:uid="{6197CA9E-7FC0-4678-BF1B-81FC318E428A}" name="Proyección kilogramos 2025 Biosanitario  " totalsRowFunction="sum" dataDxfId="370" totalsRowDxfId="369">
      <calculatedColumnFormula>+H13/P4</calculatedColumnFormula>
    </tableColumn>
    <tableColumn id="3" xr3:uid="{2D30DE53-06F8-48D1-9EA0-F0FD2CA6B616}" name="Proyección kilogramos 2025 Cortopunzantes" totalsRowFunction="sum" dataDxfId="368" totalsRowDxfId="367">
      <calculatedColumnFormula>+I13/Q4</calculatedColumnFormula>
    </tableColumn>
    <tableColumn id="4" xr3:uid="{2550A063-1699-467D-9227-F46E9D9DC1C9}" name="Proyección kilogramos 2025 Animales" totalsRowFunction="sum" dataDxfId="366" totalsRowDxfId="365">
      <calculatedColumnFormula>+J13/R4</calculatedColumnFormula>
    </tableColumn>
    <tableColumn id="5" xr3:uid="{24B018D1-CBEF-45CA-9F5F-520360C9BE0A}" name="Proyección kilogramos 2025 Quimicos" totalsRowFunction="sum" dataDxfId="364" totalsRowDxfId="363">
      <calculatedColumnFormula>+K13/S4</calculatedColumnFormula>
    </tableColumn>
    <tableColumn id="6" xr3:uid="{52463577-D153-4EC5-8D95-2F37DE3848F4}" name="TOTAL DE KILOGRAMOS " totalsRowFunction="sum" dataDxfId="362" totalsRowDxfId="361">
      <calculatedColumnFormula>+ProyeccionKg20251074[[#This Row],[Proyección kilogramos 2025 Biosanitario  ]]+ProyeccionKg20251074[[#This Row],[Proyección kilogramos 2025 Cortopunzantes]]+ProyeccionKg20251074[[#This Row],[Proyección kilogramos 2025 Animales]]+ProyeccionKg20251074[[#This Row],[Proyección kilogramos 2025 Quimicos]]</calculatedColumnFormula>
    </tableColumn>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A502A4C5-4FA2-4BF8-8CAA-0116EE7F4FAC}" name="DISTRIBUCIÓNPRESUPUESTOTIPODEDESECHO1175" displayName="DISTRIBUCIÓNPRESUPUESTOTIPODEDESECHO1175" ref="G12:K17" totalsRowShown="0" headerRowDxfId="360" dataDxfId="358" headerRowBorderDxfId="359" tableBorderDxfId="357" totalsRowBorderDxfId="356">
  <autoFilter ref="G12:K17" xr:uid="{A502A4C5-4FA2-4BF8-8CAA-0116EE7F4FAC}"/>
  <tableColumns count="5">
    <tableColumn id="1" xr3:uid="{BFA9A9CE-8444-4D97-9966-123D72D52CD6}" name="MUNICIPIO" dataDxfId="355"/>
    <tableColumn id="2" xr3:uid="{5B73ECE5-814A-47A5-BB7D-8E631A7FC52B}" name="PRESUPUESTO 2025 Biosanitario  " dataDxfId="354">
      <calculatedColumnFormula>+PRESUPUSTO_2025473[[#This Row],[Columna1]]</calculatedColumnFormula>
    </tableColumn>
    <tableColumn id="3" xr3:uid="{1DC219DA-53A5-47B2-A550-35DB9B1909D7}" name="PRESUPUESTO 2025 Cortopunzantes" dataDxfId="353">
      <calculatedColumnFormula>+PRESUPUSTO_2025473[[#This Row],[Columna1]]</calculatedColumnFormula>
    </tableColumn>
    <tableColumn id="4" xr3:uid="{9E23BD44-FE57-4B6C-AFB2-543BEA0427E4}" name="PRESUPUESTO 2025 Animales" dataDxfId="352"/>
    <tableColumn id="5" xr3:uid="{4FF5FF0A-51FC-45DE-B06D-1EC481ECAB41}" name="PRESUPUESTO 2025 Quimicos" dataDxfId="351">
      <calculatedColumnFormula>+PRESUPUSTO_2025473[[#This Row],[Columna1]]</calculatedColumnFormula>
    </tableColumn>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8EC0F9E2-3B17-4EBA-8B59-F3BE8FEF36E1}" name="COTIZACIONES2025276" displayName="COTIZACIONES2025276" ref="C3:S8" totalsRowShown="0" headerRowDxfId="350" dataDxfId="348" headerRowBorderDxfId="349" tableBorderDxfId="347">
  <autoFilter ref="C3:S8" xr:uid="{8EC0F9E2-3B17-4EBA-8B59-F3BE8FEF36E1}"/>
  <tableColumns count="17">
    <tableColumn id="1" xr3:uid="{5C3EE1DF-CDBA-449C-BE71-05177CBFB6BA}" name="MUNICIPIO" dataDxfId="346"/>
    <tableColumn id="2" xr3:uid="{E5E6C4C1-0596-4F7C-BEF9-88069DE2CB82}" name="EDEPSA _x000a_Valor Kg Biosanitario  " dataDxfId="345">
      <calculatedColumnFormula>+'Cotizaciones Empresas'!K10</calculatedColumnFormula>
    </tableColumn>
    <tableColumn id="3" xr3:uid="{69865066-E1E1-4AF3-A6A2-42D6FE717662}" name="EDEPSA _x000a_Valor Kg Cortopunzantes" dataDxfId="344">
      <calculatedColumnFormula>+'Cotizaciones Empresas'!D68</calculatedColumnFormula>
    </tableColumn>
    <tableColumn id="4" xr3:uid="{36AC1BEB-06E1-47D1-B9F7-C33061F36AC9}" name="EDEPSA _x000a_Valor Kg Animales" dataDxfId="343">
      <calculatedColumnFormula>+'Cotizaciones Empresas'!E68</calculatedColumnFormula>
    </tableColumn>
    <tableColumn id="5" xr3:uid="{3EA7DBBE-ABE4-42C8-8739-3088CE4B0CD6}" name="EDEPSA _x000a_Valor Kg Quimicos" dataDxfId="342">
      <calculatedColumnFormula>+'Cotizaciones Empresas'!F68</calculatedColumnFormula>
    </tableColumn>
    <tableColumn id="6" xr3:uid="{2DFE9719-7CF3-400B-BA30-43C0B8084311}" name="_x000a_Valor Kg Biosanitario " dataDxfId="341"/>
    <tableColumn id="7" xr3:uid="{DDFC43B6-581A-4DBD-B7DD-BF8221CE91DE}" name=" _x000a_Valor Kg Cortopunzantes" dataDxfId="340"/>
    <tableColumn id="8" xr3:uid="{FF9F84D8-7F4A-4E0E-9E7C-6ABA4C45DFB8}" name="_x000a_Valor Kg Animales" dataDxfId="339"/>
    <tableColumn id="9" xr3:uid="{A8871D21-D619-4E00-B9A7-29E6D1B1EA57}" name="_x000a_Valor Kg Quimicos" dataDxfId="338"/>
    <tableColumn id="10" xr3:uid="{10EF53EB-F9AB-4871-9C10-CA5251BBC16A}" name="HISTORICO_x000a_2024 + IPC 2025 (3%)Biosanitario" dataDxfId="337">
      <calculatedColumnFormula>+'Cotizaciones Empresas'!BD10</calculatedColumnFormula>
    </tableColumn>
    <tableColumn id="16" xr3:uid="{7201ACC3-4A7D-4E3A-B4C4-54FB40380E9B}" name="HISTORICO_x000a_2024  + IPC 2025 (3%) _x000a_Cortopunzantes" dataDxfId="336">
      <calculatedColumnFormula>+'Cotizaciones Empresas'!BE68</calculatedColumnFormula>
    </tableColumn>
    <tableColumn id="17" xr3:uid="{413A0164-1AE9-415F-8B96-9EBCBB281AD5}" name="HISTORICO_x000a_2024  + IPC 2025 (3%)Animales" dataDxfId="335">
      <calculatedColumnFormula>+'Cotizaciones Empresas'!BF68</calculatedColumnFormula>
    </tableColumn>
    <tableColumn id="18" xr3:uid="{1BD64E8B-CFEF-44B1-A2DB-EE021B840B84}" name="HISTORICO_x000a_2024  + IPC 2025 (3%) Quimicos" dataDxfId="334"/>
    <tableColumn id="12" xr3:uid="{A59F6745-FB87-4069-A489-62D17BFF723B}" name="Valor promedio de Kilogramo Biosanitario" dataDxfId="333">
      <calculatedColumnFormula>AVERAGE(COTIZACIONES2025276[[#This Row],[EDEPSA 
Valor Kg Biosanitario  ]],COTIZACIONES2025276[[#This Row],[
Valor Kg Biosanitario ]],COTIZACIONES2025276[[#This Row],[HISTORICO
2024 + IPC 2025 (3%)Biosanitario]])</calculatedColumnFormula>
    </tableColumn>
    <tableColumn id="13" xr3:uid="{12BC0D3B-454E-41DB-B556-435EEB17EA19}" name="Valor promedio de Kilogramo Cortopunzantes" dataDxfId="332">
      <calculatedColumnFormula>AVERAGE(COTIZACIONES2025276[[#This Row],[EDEPSA 
Valor Kg Cortopunzantes]],COTIZACIONES2025276[[#This Row],[ 
Valor Kg Cortopunzantes]],COTIZACIONES2025276[[#This Row],[HISTORICO
2024  + IPC 2025 (3%) 
Cortopunzantes]])</calculatedColumnFormula>
    </tableColumn>
    <tableColumn id="14" xr3:uid="{3A528C4C-0CAB-4120-AF1C-C223E9D681D4}" name="Valor promedio de Kilogramog Animales" dataDxfId="331">
      <calculatedColumnFormula>AVERAGE(COTIZACIONES2025276[[#This Row],[EDEPSA 
Valor Kg Animales]],COTIZACIONES2025276[[#This Row],[
Valor Kg Animales]],COTIZACIONES2025276[[#This Row],[HISTORICO
2024  + IPC 2025 (3%)Animales]])</calculatedColumnFormula>
    </tableColumn>
    <tableColumn id="15" xr3:uid="{FDE56479-3598-423A-B147-A59999D41943}" name="Valor promedio de Kilogramo Quimicos" dataDxfId="330">
      <calculatedColumnFormula>AVERAGE(COTIZACIONES2025276[[#This Row],[EDEPSA 
Valor Kg Quimicos]],COTIZACIONES2025276[[#This Row],[
Valor Kg Quimicos]],COTIZACIONES2025276[[#This Row],[HISTORICO
2024  + IPC 2025 (3%) Quimicos]])</calculatedColumnFormula>
    </tableColumn>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5A759E00-9702-447F-9379-050AFA528B56}" name="PRESUPUSTO_2025477" displayName="PRESUPUSTO_2025477" ref="C12:E18" totalsRowCount="1" dataDxfId="328" headerRowBorderDxfId="329" tableBorderDxfId="327">
  <autoFilter ref="C12:E17" xr:uid="{5A759E00-9702-447F-9379-050AFA528B56}"/>
  <tableColumns count="3">
    <tableColumn id="1" xr3:uid="{D408D875-C43C-4487-813B-2161C7DC874D}" name="MUNICIPIO" totalsRowLabel="Total" dataDxfId="326" totalsRowDxfId="325"/>
    <tableColumn id="2" xr3:uid="{ADB799DA-7E7D-421C-905E-5CF6A560E0F6}" name="PRESUPUESTO 2025" totalsRowFunction="sum" dataDxfId="324" totalsRowDxfId="323"/>
    <tableColumn id="3" xr3:uid="{C3DEE02E-B9A6-47F0-AB7C-147A8FEB37C2}" name="Columna1" totalsRowFunction="sum" dataDxfId="322" totalsRowDxfId="321">
      <calculatedColumnFormula>+PRESUPUSTO_2025477[[#This Row],[PRESUPUESTO 2025]]/4</calculatedColumnFormula>
    </tableColumn>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440B14BC-73FF-4559-9359-2E78F2BDBA3B}" name="ProyeccionKg20251078" displayName="ProyeccionKg20251078" ref="C21:H27" totalsRowCount="1" headerRowDxfId="320" dataDxfId="319" totalsRowDxfId="317" tableBorderDxfId="318">
  <autoFilter ref="C21:H26" xr:uid="{440B14BC-73FF-4559-9359-2E78F2BDBA3B}"/>
  <tableColumns count="6">
    <tableColumn id="1" xr3:uid="{5F6CDF81-0039-4EF6-81FB-FA554AEA623C}" name="MUNICIPIO" totalsRowLabel="Total" dataDxfId="316" totalsRowDxfId="315"/>
    <tableColumn id="2" xr3:uid="{1D7EA647-58E8-4D3B-8738-8B3D5280DC32}" name="Proyección kilogramos 2025 Biosanitario  " totalsRowFunction="sum" dataDxfId="314" totalsRowDxfId="313">
      <calculatedColumnFormula>+H13/P4</calculatedColumnFormula>
    </tableColumn>
    <tableColumn id="3" xr3:uid="{D271B201-D4A3-4A11-BFCB-B903C52EEEB1}" name="Proyección kilogramos 2025 Cortopunzantes" totalsRowFunction="sum" dataDxfId="312" totalsRowDxfId="311">
      <calculatedColumnFormula>+I13/Q4</calculatedColumnFormula>
    </tableColumn>
    <tableColumn id="4" xr3:uid="{E7710C6C-D40C-45C9-9F08-103FC8FAC6C7}" name="Proyección kilogramos 2025 Animales" totalsRowFunction="sum" dataDxfId="310" totalsRowDxfId="309">
      <calculatedColumnFormula>+J13/R4</calculatedColumnFormula>
    </tableColumn>
    <tableColumn id="5" xr3:uid="{126956E2-F0D8-4207-B4B4-BB1D2693B1D3}" name="Proyección kilogramos 2025 Quimicos" totalsRowFunction="sum" dataDxfId="308" totalsRowDxfId="307">
      <calculatedColumnFormula>+K13/S4</calculatedColumnFormula>
    </tableColumn>
    <tableColumn id="6" xr3:uid="{409332BE-095A-45FC-85A1-6F0DCC0EF3BF}" name="TOTAL DE KILOGRAMOS " totalsRowFunction="sum" dataDxfId="306" totalsRowDxfId="305">
      <calculatedColumnFormula>+ProyeccionKg20251078[[#This Row],[Proyección kilogramos 2025 Biosanitario  ]]+ProyeccionKg20251078[[#This Row],[Proyección kilogramos 2025 Cortopunzantes]]+ProyeccionKg20251078[[#This Row],[Proyección kilogramos 2025 Animales]]+ProyeccionKg20251078[[#This Row],[Proyección kilogramos 2025 Quimicos]]</calculatedColumnFormula>
    </tableColumn>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AE6B6922-52A2-48E7-B557-7F9D10269CCE}" name="DISTRIBUCIÓNPRESUPUESTOTIPODEDESECHO1179" displayName="DISTRIBUCIÓNPRESUPUESTOTIPODEDESECHO1179" ref="G12:K17" totalsRowShown="0" headerRowDxfId="304" dataDxfId="302" headerRowBorderDxfId="303" tableBorderDxfId="301" totalsRowBorderDxfId="300">
  <autoFilter ref="G12:K17" xr:uid="{AE6B6922-52A2-48E7-B557-7F9D10269CCE}"/>
  <tableColumns count="5">
    <tableColumn id="1" xr3:uid="{F88426CE-EB55-47B7-AE3A-73ACEF2FDA3C}" name="MUNICIPIO" dataDxfId="299"/>
    <tableColumn id="2" xr3:uid="{7EC331E0-30A8-4CF7-82F8-F91BD0170F69}" name="PRESUPUESTO 2025 Biosanitario  " dataDxfId="298">
      <calculatedColumnFormula>+PRESUPUSTO_2025477[[#This Row],[Columna1]]</calculatedColumnFormula>
    </tableColumn>
    <tableColumn id="3" xr3:uid="{45B38ED4-4AE9-4A9A-ACDD-5F2D22F2D848}" name="PRESUPUESTO 2025 Cortopunzantes" dataDxfId="297">
      <calculatedColumnFormula>+PRESUPUSTO_2025477[[#This Row],[Columna1]]</calculatedColumnFormula>
    </tableColumn>
    <tableColumn id="4" xr3:uid="{A2F1C6A7-6AB0-462E-8394-105D02DE3498}" name="PRESUPUESTO 2025 Animales" dataDxfId="296"/>
    <tableColumn id="5" xr3:uid="{E725B79D-16CC-4994-B5C8-DB4438664131}" name="PRESUPUESTO 2025 Quimicos" dataDxfId="295">
      <calculatedColumnFormula>+PRESUPUSTO_2025477[[#This Row],[Columna1]]</calculatedColumnFormula>
    </tableColumn>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5D49267F-04C6-4F16-A7C6-8BB5C1543D57}" name="COTIZACIONES2025280" displayName="COTIZACIONES2025280" ref="C3:S8" totalsRowShown="0" headerRowDxfId="294" dataDxfId="292" headerRowBorderDxfId="293" tableBorderDxfId="291">
  <autoFilter ref="C3:S8" xr:uid="{5D49267F-04C6-4F16-A7C6-8BB5C1543D57}"/>
  <tableColumns count="17">
    <tableColumn id="1" xr3:uid="{AEFC04AE-9E44-4F3B-BBFD-41BBE4B92079}" name="MUNICIPIO" dataDxfId="290"/>
    <tableColumn id="2" xr3:uid="{A3B8CF12-1F68-45AC-BB5A-AC25196568D4}" name="EDEPSA _x000a_Valor Kg Biosanitario  " dataDxfId="289">
      <calculatedColumnFormula>+'Cotizaciones Empresas'!K10</calculatedColumnFormula>
    </tableColumn>
    <tableColumn id="3" xr3:uid="{52626213-21BF-400D-AF34-EBB6F934F939}" name="EDEPSA _x000a_Valor Kg Cortopunzantes" dataDxfId="288">
      <calculatedColumnFormula>+'Cotizaciones Empresas'!D68</calculatedColumnFormula>
    </tableColumn>
    <tableColumn id="4" xr3:uid="{43553DB4-9E19-4891-A1CC-05E417C8E627}" name="EDEPSA _x000a_Valor Kg Animales" dataDxfId="287">
      <calculatedColumnFormula>+'Cotizaciones Empresas'!E68</calculatedColumnFormula>
    </tableColumn>
    <tableColumn id="5" xr3:uid="{DE20355E-F41D-4D80-B314-F7E0AFC6AA76}" name="EDEPSA _x000a_Valor Kg Quimicos" dataDxfId="286">
      <calculatedColumnFormula>+'Cotizaciones Empresas'!F68</calculatedColumnFormula>
    </tableColumn>
    <tableColumn id="6" xr3:uid="{22A01A4A-15F3-46FB-88D3-8105C59DB5CD}" name="_x000a_Valor Kg Biosanitario " dataDxfId="285"/>
    <tableColumn id="7" xr3:uid="{60EFA969-C636-46C9-9B4C-89B489A062B3}" name=" _x000a_Valor Kg Cortopunzantes" dataDxfId="284"/>
    <tableColumn id="8" xr3:uid="{029C06A0-990A-41E7-9CB5-4997A6A424CD}" name="_x000a_Valor Kg Animales" dataDxfId="283"/>
    <tableColumn id="9" xr3:uid="{E9D7BAB3-28AB-4DB7-A55E-DD793AEDC333}" name="_x000a_Valor Kg Quimicos" dataDxfId="282"/>
    <tableColumn id="10" xr3:uid="{A2ED5613-93CD-44EC-AC7A-7E1261ED314C}" name="HISTORICO_x000a_2024 + IPC 2025 (3%)Biosanitario" dataDxfId="281">
      <calculatedColumnFormula>+'Cotizaciones Empresas'!BD10</calculatedColumnFormula>
    </tableColumn>
    <tableColumn id="16" xr3:uid="{CC78AECC-8209-401C-A96C-46350A9F491A}" name="HISTORICO_x000a_2024  + IPC 2025 (3%) _x000a_Cortopunzantes" dataDxfId="280">
      <calculatedColumnFormula>+'Cotizaciones Empresas'!BE68</calculatedColumnFormula>
    </tableColumn>
    <tableColumn id="17" xr3:uid="{9BDA46C2-1D45-4E9F-842E-A186935B63BF}" name="HISTORICO_x000a_2024  + IPC 2025 (3%)Animales" dataDxfId="279">
      <calculatedColumnFormula>+'Cotizaciones Empresas'!BF68</calculatedColumnFormula>
    </tableColumn>
    <tableColumn id="18" xr3:uid="{F9A7E143-1460-4478-A89B-D6A2F673C97D}" name="HISTORICO_x000a_2024  + IPC 2025 (3%) Quimicos" dataDxfId="278"/>
    <tableColumn id="12" xr3:uid="{06DE28C6-5D7A-4E13-AA8C-6DD41435BFF8}" name="Valor promedio de Kilogramo Biosanitario" dataDxfId="277">
      <calculatedColumnFormula>AVERAGE(COTIZACIONES2025280[[#This Row],[EDEPSA 
Valor Kg Biosanitario  ]],COTIZACIONES2025280[[#This Row],[
Valor Kg Biosanitario ]],COTIZACIONES2025280[[#This Row],[HISTORICO
2024 + IPC 2025 (3%)Biosanitario]])</calculatedColumnFormula>
    </tableColumn>
    <tableColumn id="13" xr3:uid="{C1FBCAC3-1816-47EE-BDEF-E0C3602530B0}" name="Valor promedio de Kilogramo Cortopunzantes" dataDxfId="276">
      <calculatedColumnFormula>AVERAGE(COTIZACIONES2025280[[#This Row],[EDEPSA 
Valor Kg Cortopunzantes]],COTIZACIONES2025280[[#This Row],[ 
Valor Kg Cortopunzantes]],COTIZACIONES2025280[[#This Row],[HISTORICO
2024  + IPC 2025 (3%) 
Cortopunzantes]])</calculatedColumnFormula>
    </tableColumn>
    <tableColumn id="14" xr3:uid="{368CCAE3-093D-4611-8461-E5A29573828D}" name="Valor promedio de Kilogramog Animales" dataDxfId="275">
      <calculatedColumnFormula>AVERAGE(COTIZACIONES2025280[[#This Row],[EDEPSA 
Valor Kg Animales]],COTIZACIONES2025280[[#This Row],[
Valor Kg Animales]],COTIZACIONES2025280[[#This Row],[HISTORICO
2024  + IPC 2025 (3%)Animales]])</calculatedColumnFormula>
    </tableColumn>
    <tableColumn id="15" xr3:uid="{6456495D-7A35-4055-9D59-D45B4DC78BDF}" name="Valor promedio de Kilogramo Quimicos" dataDxfId="274">
      <calculatedColumnFormula>AVERAGE(COTIZACIONES2025280[[#This Row],[EDEPSA 
Valor Kg Quimicos]],COTIZACIONES2025280[[#This Row],[
Valor Kg Quimicos]],COTIZACIONES2025280[[#This Row],[HISTORICO
2024  + IPC 2025 (3%) Quimicos]])</calculatedColumnFormula>
    </tableColumn>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92BB3EA9-C34C-4E0A-A107-B260452D414C}" name="PRESUPUSTO_2025481" displayName="PRESUPUSTO_2025481" ref="C12:E18" totalsRowCount="1" dataDxfId="272" headerRowBorderDxfId="273" tableBorderDxfId="271">
  <autoFilter ref="C12:E17" xr:uid="{92BB3EA9-C34C-4E0A-A107-B260452D414C}"/>
  <tableColumns count="3">
    <tableColumn id="1" xr3:uid="{A88A1923-D300-4986-BEEF-13A1BDB6DEF1}" name="MUNICIPIO" totalsRowLabel="Total" dataDxfId="270" totalsRowDxfId="269"/>
    <tableColumn id="2" xr3:uid="{BDCAB84C-8CBC-4A5F-A432-A28C80BF51DE}" name="PRESUPUESTO 2025" totalsRowFunction="sum" dataDxfId="268" totalsRowDxfId="267"/>
    <tableColumn id="3" xr3:uid="{87208173-0516-4491-AEA9-680212563707}" name="Columna1" totalsRowFunction="sum" dataDxfId="266" totalsRowDxfId="265">
      <calculatedColumnFormula>+PRESUPUSTO_2025481[[#This Row],[PRESUPUESTO 2025]]/4</calculatedColumnFormula>
    </tableColumn>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2EF6F462-3A86-49F3-A70F-DFE8A351096F}" name="ProyeccionKg20251082" displayName="ProyeccionKg20251082" ref="C21:H27" totalsRowCount="1" headerRowDxfId="264" dataDxfId="263" totalsRowDxfId="261" tableBorderDxfId="262">
  <autoFilter ref="C21:H26" xr:uid="{2EF6F462-3A86-49F3-A70F-DFE8A351096F}"/>
  <tableColumns count="6">
    <tableColumn id="1" xr3:uid="{CB54BC4E-9E85-4011-B5C6-F1400581D00C}" name="MUNICIPIO" totalsRowLabel="Total" dataDxfId="260" totalsRowDxfId="259"/>
    <tableColumn id="2" xr3:uid="{F1F5703F-96A8-4BE8-9FB5-533526572621}" name="Proyección kilogramos 2025 Biosanitario  " totalsRowFunction="sum" dataDxfId="258" totalsRowDxfId="257">
      <calculatedColumnFormula>+H13/P4</calculatedColumnFormula>
    </tableColumn>
    <tableColumn id="3" xr3:uid="{CBFF8BDE-A5D5-4E84-A32D-57B1987BC5C8}" name="Proyección kilogramos 2025 Cortopunzantes" totalsRowFunction="sum" dataDxfId="256" totalsRowDxfId="255">
      <calculatedColumnFormula>+I13/Q4</calculatedColumnFormula>
    </tableColumn>
    <tableColumn id="4" xr3:uid="{F2C5FB9C-4734-4ECE-B37E-5B5F64CE66F6}" name="Proyección kilogramos 2025 Animales" totalsRowFunction="sum" dataDxfId="254" totalsRowDxfId="253">
      <calculatedColumnFormula>+J13/R4</calculatedColumnFormula>
    </tableColumn>
    <tableColumn id="5" xr3:uid="{7FB5D622-C29A-4B12-92B4-898EC19AFD4D}" name="Proyección kilogramos 2025 Quimicos" totalsRowFunction="sum" dataDxfId="252" totalsRowDxfId="251">
      <calculatedColumnFormula>+K13/S4</calculatedColumnFormula>
    </tableColumn>
    <tableColumn id="6" xr3:uid="{5312DAD6-639D-4018-BF4A-9EF61AED0AD0}" name="TOTAL DE KILOGRAMOS " totalsRowFunction="sum" dataDxfId="250" totalsRowDxfId="249">
      <calculatedColumnFormula>+ProyeccionKg20251082[[#This Row],[Proyección kilogramos 2025 Biosanitario  ]]+ProyeccionKg20251082[[#This Row],[Proyección kilogramos 2025 Cortopunzantes]]+ProyeccionKg20251082[[#This Row],[Proyección kilogramos 2025 Animales]]+ProyeccionKg20251082[[#This Row],[Proyección kilogramos 2025 Quimicos]]</calculatedColumnFormula>
    </tableColumn>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348BFFB8-F2B5-4F19-B57E-97851FBF3B63}" name="DISTRIBUCIÓNPRESUPUESTOTIPODEDESECHO1183" displayName="DISTRIBUCIÓNPRESUPUESTOTIPODEDESECHO1183" ref="G12:K17" totalsRowShown="0" headerRowDxfId="248" dataDxfId="246" headerRowBorderDxfId="247" tableBorderDxfId="245" totalsRowBorderDxfId="244">
  <autoFilter ref="G12:K17" xr:uid="{348BFFB8-F2B5-4F19-B57E-97851FBF3B63}"/>
  <tableColumns count="5">
    <tableColumn id="1" xr3:uid="{BE9E1C12-8C81-4020-9C37-F54828D48566}" name="MUNICIPIO" dataDxfId="243"/>
    <tableColumn id="2" xr3:uid="{F815EAE3-FC52-4852-8B25-B7AB3B5225FF}" name="PRESUPUESTO 2025 Biosanitario  " dataDxfId="242">
      <calculatedColumnFormula>+PRESUPUSTO_2025481[[#This Row],[Columna1]]</calculatedColumnFormula>
    </tableColumn>
    <tableColumn id="3" xr3:uid="{E997935A-4C3F-4E6F-B170-342E3CD2EB3E}" name="PRESUPUESTO 2025 Cortopunzantes" dataDxfId="241">
      <calculatedColumnFormula>+PRESUPUSTO_2025481[[#This Row],[Columna1]]</calculatedColumnFormula>
    </tableColumn>
    <tableColumn id="4" xr3:uid="{6F5BBC63-B92C-4E22-961A-7E0843FDFBF7}" name="PRESUPUESTO 2025 Animales" dataDxfId="240"/>
    <tableColumn id="5" xr3:uid="{E5A35966-0FB6-4DD7-ABA3-26E92A6104F8}" name="PRESUPUESTO 2025 Quimicos" dataDxfId="239">
      <calculatedColumnFormula>+PRESUPUSTO_2025481[[#This Row],[Columna1]]</calculatedColumnFormula>
    </tableColumn>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5217770B-FCC3-470D-854B-E038038A2E7F}" name="COTIZACIONES2025284" displayName="COTIZACIONES2025284" ref="C3:S8" totalsRowShown="0" headerRowDxfId="238" dataDxfId="236" headerRowBorderDxfId="237" tableBorderDxfId="235">
  <autoFilter ref="C3:S8" xr:uid="{5217770B-FCC3-470D-854B-E038038A2E7F}"/>
  <tableColumns count="17">
    <tableColumn id="1" xr3:uid="{D64EA1F5-DC57-4FE6-82F1-AD7172F3E146}" name="MUNICIPIO" dataDxfId="234"/>
    <tableColumn id="2" xr3:uid="{E1DCD3CB-CC06-48FF-9706-FB17387D2C22}" name="EDEPSA _x000a_Valor Kg Biosanitario  " dataDxfId="233">
      <calculatedColumnFormula>+'Cotizaciones Empresas'!K10</calculatedColumnFormula>
    </tableColumn>
    <tableColumn id="3" xr3:uid="{EB3D19CB-D509-4809-A622-8F0B9962E18B}" name="EDEPSA _x000a_Valor Kg Cortopunzantes" dataDxfId="232">
      <calculatedColumnFormula>+'Cotizaciones Empresas'!D68</calculatedColumnFormula>
    </tableColumn>
    <tableColumn id="4" xr3:uid="{561603AD-143A-47F1-B4F7-7181DE6F21ED}" name="EDEPSA _x000a_Valor Kg Animales" dataDxfId="231">
      <calculatedColumnFormula>+'Cotizaciones Empresas'!E68</calculatedColumnFormula>
    </tableColumn>
    <tableColumn id="5" xr3:uid="{56BB2189-6968-4C74-84DD-2662B33DC733}" name="EDEPSA _x000a_Valor Kg Quimicos" dataDxfId="230">
      <calculatedColumnFormula>+'Cotizaciones Empresas'!F68</calculatedColumnFormula>
    </tableColumn>
    <tableColumn id="6" xr3:uid="{7E5CF3A2-6A1C-49C8-AA37-CF9468FCB84B}" name="_x000a_Valor Kg Biosanitario " dataDxfId="229"/>
    <tableColumn id="7" xr3:uid="{BC7F1361-2B90-4138-BEF1-8E196609F7D9}" name=" _x000a_Valor Kg Cortopunzantes" dataDxfId="228"/>
    <tableColumn id="8" xr3:uid="{1B75ED80-220A-4788-9BF7-B2D0AD5BC044}" name="_x000a_Valor Kg Animales" dataDxfId="227"/>
    <tableColumn id="9" xr3:uid="{C70E7C77-4827-4E61-A067-DDC87FE565DB}" name="_x000a_Valor Kg Quimicos" dataDxfId="226"/>
    <tableColumn id="10" xr3:uid="{0C14C8F6-F325-4E21-895B-5B3BA7D823F5}" name="HISTORICO_x000a_2024 + IPC 2025 (3%)Biosanitario" dataDxfId="225">
      <calculatedColumnFormula>+'Cotizaciones Empresas'!BD10</calculatedColumnFormula>
    </tableColumn>
    <tableColumn id="16" xr3:uid="{4B28A8D7-A82F-4045-A43C-2CA020504D52}" name="HISTORICO_x000a_2024  + IPC 2025 (3%) _x000a_Cortopunzantes" dataDxfId="224">
      <calculatedColumnFormula>+'Cotizaciones Empresas'!BE68</calculatedColumnFormula>
    </tableColumn>
    <tableColumn id="17" xr3:uid="{69DE25C2-B598-42F2-A754-4BF29ED8DC59}" name="HISTORICO_x000a_2024  + IPC 2025 (3%)Animales" dataDxfId="223">
      <calculatedColumnFormula>+'Cotizaciones Empresas'!BF68</calculatedColumnFormula>
    </tableColumn>
    <tableColumn id="18" xr3:uid="{8459239B-84DC-42E7-A95D-85EDB9BFE976}" name="HISTORICO_x000a_2024  + IPC 2025 (3%) Quimicos" dataDxfId="222"/>
    <tableColumn id="12" xr3:uid="{6417E294-81CD-4E7C-AF25-B248F5112857}" name="Valor promedio de Kilogramo Biosanitario" dataDxfId="221">
      <calculatedColumnFormula>AVERAGE(COTIZACIONES2025284[[#This Row],[EDEPSA 
Valor Kg Biosanitario  ]],COTIZACIONES2025284[[#This Row],[
Valor Kg Biosanitario ]],COTIZACIONES2025284[[#This Row],[HISTORICO
2024 + IPC 2025 (3%)Biosanitario]])</calculatedColumnFormula>
    </tableColumn>
    <tableColumn id="13" xr3:uid="{AB62A492-B39F-4936-9667-1196D7A8066D}" name="Valor promedio de Kilogramo Cortopunzantes" dataDxfId="220">
      <calculatedColumnFormula>AVERAGE(COTIZACIONES2025284[[#This Row],[EDEPSA 
Valor Kg Cortopunzantes]],COTIZACIONES2025284[[#This Row],[ 
Valor Kg Cortopunzantes]],COTIZACIONES2025284[[#This Row],[HISTORICO
2024  + IPC 2025 (3%) 
Cortopunzantes]])</calculatedColumnFormula>
    </tableColumn>
    <tableColumn id="14" xr3:uid="{44910ED6-3448-4EF7-B6D0-3A1E4C11F411}" name="Valor promedio de Kilogramog Animales" dataDxfId="219">
      <calculatedColumnFormula>AVERAGE(COTIZACIONES2025284[[#This Row],[EDEPSA 
Valor Kg Animales]],COTIZACIONES2025284[[#This Row],[
Valor Kg Animales]],COTIZACIONES2025284[[#This Row],[HISTORICO
2024  + IPC 2025 (3%)Animales]])</calculatedColumnFormula>
    </tableColumn>
    <tableColumn id="15" xr3:uid="{D17360B2-0BA3-440F-888B-7DBC71C35717}" name="Valor promedio de Kilogramo Quimicos" dataDxfId="218">
      <calculatedColumnFormula>AVERAGE(COTIZACIONES2025284[[#This Row],[EDEPSA 
Valor Kg Quimicos]],COTIZACIONES2025284[[#This Row],[
Valor Kg Quimicos]],COTIZACIONES2025284[[#This Row],[HISTORICO
2024  + IPC 2025 (3%) Quimicos]])</calculatedColumnFormula>
    </tableColumn>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54698D1A-7612-4AD6-A418-FB07658228F2}" name="PRESUPUSTO_2025485" displayName="PRESUPUSTO_2025485" ref="C12:E18" totalsRowCount="1" dataDxfId="216" headerRowBorderDxfId="217" tableBorderDxfId="215">
  <autoFilter ref="C12:E17" xr:uid="{54698D1A-7612-4AD6-A418-FB07658228F2}"/>
  <tableColumns count="3">
    <tableColumn id="1" xr3:uid="{D243BBB3-1D3D-4246-A05C-B1C5F8E36691}" name="MUNICIPIO" totalsRowLabel="Total" dataDxfId="214" totalsRowDxfId="213"/>
    <tableColumn id="2" xr3:uid="{6C90FE31-7C2A-44B8-905E-45DA85EF895D}" name="PRESUPUESTO 2025" totalsRowFunction="sum" dataDxfId="212" totalsRowDxfId="211"/>
    <tableColumn id="3" xr3:uid="{3F339324-FCAE-480D-9A5F-2199D618184C}" name="Columna1" totalsRowFunction="sum" dataDxfId="210" totalsRowDxfId="209">
      <calculatedColumnFormula>+PRESUPUSTO_2025485[[#This Row],[PRESUPUESTO 2025]]/4</calculatedColumnFormula>
    </tableColumn>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CC46E8B2-483A-4B2A-88E7-AE22B2BC8DBD}" name="ProyeccionKg20251086" displayName="ProyeccionKg20251086" ref="C21:H27" totalsRowCount="1" headerRowDxfId="208" dataDxfId="207" totalsRowDxfId="205" tableBorderDxfId="206">
  <autoFilter ref="C21:H26" xr:uid="{CC46E8B2-483A-4B2A-88E7-AE22B2BC8DBD}"/>
  <tableColumns count="6">
    <tableColumn id="1" xr3:uid="{EBD0B14D-C1AF-4340-A3A6-A82312A50118}" name="MUNICIPIO" totalsRowLabel="Total" dataDxfId="204" totalsRowDxfId="203"/>
    <tableColumn id="2" xr3:uid="{77160E11-13DE-4BE1-A6E9-A97C4893C993}" name="Proyección kilogramos 2025 Biosanitario  " totalsRowFunction="sum" dataDxfId="202" totalsRowDxfId="201">
      <calculatedColumnFormula>+H13/P4</calculatedColumnFormula>
    </tableColumn>
    <tableColumn id="3" xr3:uid="{5C07B24F-6A63-47F4-880E-CB3528EE0B43}" name="Proyección kilogramos 2025 Cortopunzantes" totalsRowFunction="sum" dataDxfId="200" totalsRowDxfId="199">
      <calculatedColumnFormula>+I13/Q4</calculatedColumnFormula>
    </tableColumn>
    <tableColumn id="4" xr3:uid="{0CAC64F2-5904-4BFF-9825-4BA720BC91ED}" name="Proyección kilogramos 2025 Animales" totalsRowFunction="sum" dataDxfId="198" totalsRowDxfId="197">
      <calculatedColumnFormula>+J13/R4</calculatedColumnFormula>
    </tableColumn>
    <tableColumn id="5" xr3:uid="{1B3A9B33-3BEC-4DD0-AC65-975549624EC6}" name="Proyección kilogramos 2025 Quimicos" totalsRowFunction="sum" dataDxfId="196" totalsRowDxfId="195">
      <calculatedColumnFormula>+K13/S4</calculatedColumnFormula>
    </tableColumn>
    <tableColumn id="6" xr3:uid="{D18E56DF-5A8F-4924-A3B6-C06B2143258E}" name="TOTAL DE KILOGRAMOS " totalsRowFunction="sum" dataDxfId="194" totalsRowDxfId="193">
      <calculatedColumnFormula>+ProyeccionKg20251086[[#This Row],[Proyección kilogramos 2025 Biosanitario  ]]+ProyeccionKg20251086[[#This Row],[Proyección kilogramos 2025 Cortopunzantes]]+ProyeccionKg20251086[[#This Row],[Proyección kilogramos 2025 Animales]]+ProyeccionKg20251086[[#This Row],[Proyección kilogramos 2025 Quimicos]]</calculatedColumnFormula>
    </tableColumn>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EE00B7B2-FD8C-45D7-B253-65CA512D96FB}" name="DISTRIBUCIÓNPRESUPUESTOTIPODEDESECHO1187" displayName="DISTRIBUCIÓNPRESUPUESTOTIPODEDESECHO1187" ref="G12:K17" totalsRowShown="0" headerRowDxfId="192" dataDxfId="190" headerRowBorderDxfId="191" tableBorderDxfId="189" totalsRowBorderDxfId="188">
  <autoFilter ref="G12:K17" xr:uid="{EE00B7B2-FD8C-45D7-B253-65CA512D96FB}"/>
  <tableColumns count="5">
    <tableColumn id="1" xr3:uid="{9B7AA84D-2D4B-4D69-BB18-2EE01540FBA0}" name="MUNICIPIO" dataDxfId="187"/>
    <tableColumn id="2" xr3:uid="{99BACED7-ABC3-4477-B61E-46A7056DF865}" name="PRESUPUESTO 2025 Biosanitario  " dataDxfId="186">
      <calculatedColumnFormula>+PRESUPUSTO_2025485[[#This Row],[Columna1]]</calculatedColumnFormula>
    </tableColumn>
    <tableColumn id="3" xr3:uid="{1A16B62A-14DC-4EF9-8CFF-C62F95170D16}" name="PRESUPUESTO 2025 Cortopunzantes" dataDxfId="185">
      <calculatedColumnFormula>+PRESUPUSTO_2025485[[#This Row],[Columna1]]</calculatedColumnFormula>
    </tableColumn>
    <tableColumn id="4" xr3:uid="{B75B1A02-C413-49CA-B74D-B1035CF3C99B}" name="PRESUPUESTO 2025 Animales" dataDxfId="184"/>
    <tableColumn id="5" xr3:uid="{F212E330-593F-4F13-A6A9-931A6412FC1A}" name="PRESUPUESTO 2025 Quimicos" dataDxfId="183">
      <calculatedColumnFormula>+PRESUPUSTO_2025485[[#This Row],[Columna1]]</calculatedColumnFormula>
    </tableColumn>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E86FE744-38D6-4AE3-8E31-0CC440683AA0}" name="COTIZACIONES2025288" displayName="COTIZACIONES2025288" ref="C3:S8" totalsRowShown="0" headerRowDxfId="182" dataDxfId="180" headerRowBorderDxfId="181" tableBorderDxfId="179">
  <autoFilter ref="C3:S8" xr:uid="{E86FE744-38D6-4AE3-8E31-0CC440683AA0}"/>
  <tableColumns count="17">
    <tableColumn id="1" xr3:uid="{03AE22A5-9228-4AA8-83DF-DD970C72006B}" name="MUNICIPIO" dataDxfId="178"/>
    <tableColumn id="2" xr3:uid="{51352FBE-A017-483A-B1DA-DA26C1FC6789}" name="EDEPSA _x000a_Valor Kg Biosanitario  " dataDxfId="177">
      <calculatedColumnFormula>+'Cotizaciones Empresas'!K10</calculatedColumnFormula>
    </tableColumn>
    <tableColumn id="3" xr3:uid="{B9094071-033E-4D0C-983A-FC13EFAAA9CD}" name="EDEPSA _x000a_Valor Kg Cortopunzantes" dataDxfId="176">
      <calculatedColumnFormula>+'Cotizaciones Empresas'!D68</calculatedColumnFormula>
    </tableColumn>
    <tableColumn id="4" xr3:uid="{4F80F75C-8F20-4E4B-980E-B67E00AF9BBB}" name="EDEPSA _x000a_Valor Kg Animales" dataDxfId="175">
      <calculatedColumnFormula>+'Cotizaciones Empresas'!E68</calculatedColumnFormula>
    </tableColumn>
    <tableColumn id="5" xr3:uid="{3C8E1EB6-DE3C-43CD-BC95-CDA41A0FB842}" name="EDEPSA _x000a_Valor Kg Quimicos" dataDxfId="174">
      <calculatedColumnFormula>+'Cotizaciones Empresas'!F68</calculatedColumnFormula>
    </tableColumn>
    <tableColumn id="6" xr3:uid="{1CB103BE-B293-4E43-9B8C-B0D310FD92F0}" name="_x000a_Valor Kg Biosanitario " dataDxfId="173"/>
    <tableColumn id="7" xr3:uid="{CAF7127A-8BDA-44DF-8890-FA97AC42BFCD}" name=" _x000a_Valor Kg Cortopunzantes" dataDxfId="172"/>
    <tableColumn id="8" xr3:uid="{D4CDD936-97F3-45F3-91FA-AF21A9C64E98}" name="_x000a_Valor Kg Animales" dataDxfId="171"/>
    <tableColumn id="9" xr3:uid="{AD096364-B244-4B93-B1DE-09BA09D98AEF}" name="_x000a_Valor Kg Quimicos" dataDxfId="170"/>
    <tableColumn id="10" xr3:uid="{D033D3AA-7C0C-480F-971B-B216C8C30FD7}" name="HISTORICO_x000a_2024 + IPC 2025 (3%)Biosanitario" dataDxfId="169">
      <calculatedColumnFormula>+'Cotizaciones Empresas'!BD10</calculatedColumnFormula>
    </tableColumn>
    <tableColumn id="16" xr3:uid="{2EB7541B-6252-4C91-9D75-AC8A14D328A9}" name="HISTORICO_x000a_2024  + IPC 2025 (3%) _x000a_Cortopunzantes" dataDxfId="168">
      <calculatedColumnFormula>+'Cotizaciones Empresas'!BE68</calculatedColumnFormula>
    </tableColumn>
    <tableColumn id="17" xr3:uid="{6AE1EB1D-DE7D-4D81-BF2E-CE15448B03F2}" name="HISTORICO_x000a_2024  + IPC 2025 (3%)Animales" dataDxfId="167">
      <calculatedColumnFormula>+'Cotizaciones Empresas'!BF68</calculatedColumnFormula>
    </tableColumn>
    <tableColumn id="18" xr3:uid="{CAC21A29-0296-4F50-B3AE-33570D757F38}" name="HISTORICO_x000a_2024  + IPC 2025 (3%) Quimicos" dataDxfId="166"/>
    <tableColumn id="12" xr3:uid="{E8E439EC-17FE-4E88-A57B-9B27992092F6}" name="Valor promedio de Kilogramo Biosanitario" dataDxfId="165">
      <calculatedColumnFormula>AVERAGE(COTIZACIONES2025288[[#This Row],[EDEPSA 
Valor Kg Biosanitario  ]],COTIZACIONES2025288[[#This Row],[
Valor Kg Biosanitario ]],COTIZACIONES2025288[[#This Row],[HISTORICO
2024 + IPC 2025 (3%)Biosanitario]])</calculatedColumnFormula>
    </tableColumn>
    <tableColumn id="13" xr3:uid="{2703E829-A780-4968-A3F5-FE9686A91809}" name="Valor promedio de Kilogramo Cortopunzantes" dataDxfId="164">
      <calculatedColumnFormula>AVERAGE(COTIZACIONES2025288[[#This Row],[EDEPSA 
Valor Kg Cortopunzantes]],COTIZACIONES2025288[[#This Row],[ 
Valor Kg Cortopunzantes]],COTIZACIONES2025288[[#This Row],[HISTORICO
2024  + IPC 2025 (3%) 
Cortopunzantes]])</calculatedColumnFormula>
    </tableColumn>
    <tableColumn id="14" xr3:uid="{36FA4716-C3BC-43C2-AE99-FE3AF9BCEC6A}" name="Valor promedio de Kilogramog Animales" dataDxfId="163">
      <calculatedColumnFormula>AVERAGE(COTIZACIONES2025288[[#This Row],[EDEPSA 
Valor Kg Animales]],COTIZACIONES2025288[[#This Row],[
Valor Kg Animales]],COTIZACIONES2025288[[#This Row],[HISTORICO
2024  + IPC 2025 (3%)Animales]])</calculatedColumnFormula>
    </tableColumn>
    <tableColumn id="15" xr3:uid="{0BCAAB30-2C62-448E-949D-46AB46174049}" name="Valor promedio de Kilogramo Quimicos" dataDxfId="162">
      <calculatedColumnFormula>AVERAGE(COTIZACIONES2025288[[#This Row],[EDEPSA 
Valor Kg Quimicos]],COTIZACIONES2025288[[#This Row],[
Valor Kg Quimicos]],COTIZACIONES2025288[[#This Row],[HISTORICO
2024  + IPC 2025 (3%) Quimicos]])</calculatedColumnFormula>
    </tableColumn>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8D070C08-5E5B-4E4F-9432-ED6E53341F9A}" name="PRESUPUSTO_2025489" displayName="PRESUPUSTO_2025489" ref="C12:E18" totalsRowCount="1" dataDxfId="160" headerRowBorderDxfId="161" tableBorderDxfId="159">
  <autoFilter ref="C12:E17" xr:uid="{8D070C08-5E5B-4E4F-9432-ED6E53341F9A}"/>
  <tableColumns count="3">
    <tableColumn id="1" xr3:uid="{80633F30-331F-4BF9-9934-5B2DB4B02C80}" name="MUNICIPIO" totalsRowLabel="Total" dataDxfId="158" totalsRowDxfId="157"/>
    <tableColumn id="2" xr3:uid="{51915C81-83C1-4262-B56C-E47F13A0B2D5}" name="PRESUPUESTO 2025" totalsRowFunction="sum" dataDxfId="156" totalsRowDxfId="155"/>
    <tableColumn id="3" xr3:uid="{7C71999C-252E-4757-92DD-198AB69A12D7}" name="Columna1" totalsRowFunction="sum" dataDxfId="154" totalsRowDxfId="153">
      <calculatedColumnFormula>+PRESUPUSTO_2025489[[#This Row],[PRESUPUESTO 2025]]/4</calculatedColumnFormula>
    </tableColumn>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779011C4-F495-42C2-BA88-0091B57DE772}" name="ProyeccionKg20251090" displayName="ProyeccionKg20251090" ref="C21:H27" totalsRowCount="1" headerRowDxfId="152" dataDxfId="151" totalsRowDxfId="149" tableBorderDxfId="150">
  <autoFilter ref="C21:H26" xr:uid="{779011C4-F495-42C2-BA88-0091B57DE772}"/>
  <tableColumns count="6">
    <tableColumn id="1" xr3:uid="{FE5FDB5C-4083-42A6-B831-C0F17C880B3C}" name="MUNICIPIO" totalsRowLabel="Total" dataDxfId="148" totalsRowDxfId="147"/>
    <tableColumn id="2" xr3:uid="{6051EF9E-6EF8-4125-8A07-61BE9258A7ED}" name="Proyección kilogramos 2025 Biosanitario  " totalsRowFunction="sum" dataDxfId="146" totalsRowDxfId="145">
      <calculatedColumnFormula>+H13/P4</calculatedColumnFormula>
    </tableColumn>
    <tableColumn id="3" xr3:uid="{9F1B1D4B-F8D9-4125-B028-EBA0A6066C61}" name="Proyección kilogramos 2025 Cortopunzantes" totalsRowFunction="sum" dataDxfId="144" totalsRowDxfId="143">
      <calculatedColumnFormula>+I13/Q4</calculatedColumnFormula>
    </tableColumn>
    <tableColumn id="4" xr3:uid="{4E7B512C-F01D-46F6-BC3D-21B9179142FE}" name="Proyección kilogramos 2025 Animales" totalsRowFunction="sum" dataDxfId="142" totalsRowDxfId="141">
      <calculatedColumnFormula>+J13/R4</calculatedColumnFormula>
    </tableColumn>
    <tableColumn id="5" xr3:uid="{EC0D75BA-D88C-4358-B29C-BEF581875760}" name="Proyección kilogramos 2025 Quimicos" totalsRowFunction="sum" dataDxfId="140" totalsRowDxfId="139">
      <calculatedColumnFormula>+K13/S4</calculatedColumnFormula>
    </tableColumn>
    <tableColumn id="6" xr3:uid="{9D704D23-B315-4460-9EA7-C024964CE877}" name="TOTAL DE KILOGRAMOS " totalsRowFunction="sum" dataDxfId="138" totalsRowDxfId="137">
      <calculatedColumnFormula>+ProyeccionKg20251090[[#This Row],[Proyección kilogramos 2025 Biosanitario  ]]+ProyeccionKg20251090[[#This Row],[Proyección kilogramos 2025 Cortopunzantes]]+ProyeccionKg20251090[[#This Row],[Proyección kilogramos 2025 Animales]]+ProyeccionKg20251090[[#This Row],[Proyección kilogramos 2025 Quimicos]]</calculatedColumnFormula>
    </tableColumn>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1429AE4F-FE5A-4D6D-865F-5DBFFB023370}" name="DISTRIBUCIÓNPRESUPUESTOTIPODEDESECHO1191" displayName="DISTRIBUCIÓNPRESUPUESTOTIPODEDESECHO1191" ref="G12:K17" totalsRowShown="0" headerRowDxfId="136" dataDxfId="134" headerRowBorderDxfId="135" tableBorderDxfId="133" totalsRowBorderDxfId="132">
  <autoFilter ref="G12:K17" xr:uid="{1429AE4F-FE5A-4D6D-865F-5DBFFB023370}"/>
  <tableColumns count="5">
    <tableColumn id="1" xr3:uid="{C187E715-E4EC-4A5B-94FA-17B0CB9F7BED}" name="MUNICIPIO" dataDxfId="131"/>
    <tableColumn id="2" xr3:uid="{D81553BD-6771-416A-9235-FA9C83ABFE95}" name="PRESUPUESTO 2025 Biosanitario  " dataDxfId="130">
      <calculatedColumnFormula>+PRESUPUSTO_2025489[[#This Row],[Columna1]]</calculatedColumnFormula>
    </tableColumn>
    <tableColumn id="3" xr3:uid="{4049CBEC-433E-47ED-A8FC-6C9374A5E550}" name="PRESUPUESTO 2025 Cortopunzantes" dataDxfId="129">
      <calculatedColumnFormula>+PRESUPUSTO_2025489[[#This Row],[Columna1]]</calculatedColumnFormula>
    </tableColumn>
    <tableColumn id="4" xr3:uid="{C27483E3-1B32-42FD-8093-F9C9CC96A580}" name="PRESUPUESTO 2025 Animales" dataDxfId="128"/>
    <tableColumn id="5" xr3:uid="{5FC4D56F-AD2B-4517-A9E6-E3EEC4EE4A2E}" name="PRESUPUESTO 2025 Quimicos" dataDxfId="127">
      <calculatedColumnFormula>+PRESUPUSTO_2025489[[#This Row],[Columna1]]</calculatedColumnFormula>
    </tableColumn>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44A99B4C-946C-4E5E-BE92-08263743D0A6}" name="COTIZACIONES2025292" displayName="COTIZACIONES2025292" ref="C3:S8" totalsRowShown="0" headerRowDxfId="126" dataDxfId="124" headerRowBorderDxfId="125" tableBorderDxfId="123">
  <autoFilter ref="C3:S8" xr:uid="{44A99B4C-946C-4E5E-BE92-08263743D0A6}"/>
  <tableColumns count="17">
    <tableColumn id="1" xr3:uid="{37E1090F-4699-43D9-8A4D-1D48E54F950E}" name="MUNICIPIO" dataDxfId="122"/>
    <tableColumn id="2" xr3:uid="{D9F0814E-5184-4325-AD21-59F61D266116}" name="EDEPSA _x000a_Valor Kg Biosanitario  " dataDxfId="121">
      <calculatedColumnFormula>+'Cotizaciones Empresas'!K10</calculatedColumnFormula>
    </tableColumn>
    <tableColumn id="3" xr3:uid="{D2594098-58B6-4E57-ADA9-7E8C702259FA}" name="EDEPSA _x000a_Valor Kg Cortopunzantes" dataDxfId="120">
      <calculatedColumnFormula>+'Cotizaciones Empresas'!D68</calculatedColumnFormula>
    </tableColumn>
    <tableColumn id="4" xr3:uid="{A1D6ECA4-EE7B-47AB-AD0A-7323B30A4308}" name="EDEPSA _x000a_Valor Kg Animales" dataDxfId="119">
      <calculatedColumnFormula>+'Cotizaciones Empresas'!E68</calculatedColumnFormula>
    </tableColumn>
    <tableColumn id="5" xr3:uid="{C6A2C4D0-0D29-4208-9C38-3742A041149A}" name="EDEPSA _x000a_Valor Kg Quimicos" dataDxfId="118">
      <calculatedColumnFormula>+'Cotizaciones Empresas'!F68</calculatedColumnFormula>
    </tableColumn>
    <tableColumn id="6" xr3:uid="{AF09AE1B-D99A-4A71-8E0C-DA435F5BC237}" name="_x000a_Valor Kg Biosanitario " dataDxfId="117"/>
    <tableColumn id="7" xr3:uid="{93F88EBF-9317-4642-B445-AAF1CD458F46}" name=" _x000a_Valor Kg Cortopunzantes" dataDxfId="116"/>
    <tableColumn id="8" xr3:uid="{2A7CF4CC-2D1D-4CB4-9710-84A4742C761E}" name="_x000a_Valor Kg Animales" dataDxfId="115"/>
    <tableColumn id="9" xr3:uid="{E600C54A-3F9C-4A49-B0EE-D1C2CE727C28}" name="_x000a_Valor Kg Quimicos" dataDxfId="114"/>
    <tableColumn id="10" xr3:uid="{9DE41F47-999C-4F66-B2C8-8A4028282BDC}" name="HISTORICO_x000a_2024 + IPC 2025 (3%)Biosanitario" dataDxfId="113">
      <calculatedColumnFormula>+'Cotizaciones Empresas'!BD10</calculatedColumnFormula>
    </tableColumn>
    <tableColumn id="16" xr3:uid="{C92AC5A0-4AC0-4EE0-BB1E-1E3B779423D1}" name="HISTORICO_x000a_2024  + IPC 2025 (3%) _x000a_Cortopunzantes" dataDxfId="112">
      <calculatedColumnFormula>+'Cotizaciones Empresas'!BE68</calculatedColumnFormula>
    </tableColumn>
    <tableColumn id="17" xr3:uid="{B75653F7-908E-440A-BC8C-73CCBECEEE6C}" name="HISTORICO_x000a_2024  + IPC 2025 (3%)Animales" dataDxfId="111">
      <calculatedColumnFormula>+'Cotizaciones Empresas'!BF68</calculatedColumnFormula>
    </tableColumn>
    <tableColumn id="18" xr3:uid="{7166464C-B99F-43F0-99F2-F053876CAAD5}" name="HISTORICO_x000a_2024  + IPC 2025 (3%) Quimicos" dataDxfId="110"/>
    <tableColumn id="12" xr3:uid="{0AA2035C-300F-4BBE-8BE8-6A73A9DF75A4}" name="Valor promedio de Kilogramo Biosanitario" dataDxfId="109">
      <calculatedColumnFormula>AVERAGE(COTIZACIONES2025292[[#This Row],[EDEPSA 
Valor Kg Biosanitario  ]],COTIZACIONES2025292[[#This Row],[
Valor Kg Biosanitario ]],COTIZACIONES2025292[[#This Row],[HISTORICO
2024 + IPC 2025 (3%)Biosanitario]])</calculatedColumnFormula>
    </tableColumn>
    <tableColumn id="13" xr3:uid="{067BE98C-D2F6-47E8-AEC2-7D8D4248A7BC}" name="Valor promedio de Kilogramo Cortopunzantes" dataDxfId="108">
      <calculatedColumnFormula>AVERAGE(COTIZACIONES2025292[[#This Row],[EDEPSA 
Valor Kg Cortopunzantes]],COTIZACIONES2025292[[#This Row],[ 
Valor Kg Cortopunzantes]],COTIZACIONES2025292[[#This Row],[HISTORICO
2024  + IPC 2025 (3%) 
Cortopunzantes]])</calculatedColumnFormula>
    </tableColumn>
    <tableColumn id="14" xr3:uid="{F5755195-6DD9-413B-A225-540827603585}" name="Valor promedio de Kilogramog Animales" dataDxfId="107">
      <calculatedColumnFormula>AVERAGE(COTIZACIONES2025292[[#This Row],[EDEPSA 
Valor Kg Animales]],COTIZACIONES2025292[[#This Row],[
Valor Kg Animales]],COTIZACIONES2025292[[#This Row],[HISTORICO
2024  + IPC 2025 (3%)Animales]])</calculatedColumnFormula>
    </tableColumn>
    <tableColumn id="15" xr3:uid="{F4F0F8F4-67A2-4F18-986B-5C241722DFE4}" name="Valor promedio de Kilogramo Quimicos" dataDxfId="106">
      <calculatedColumnFormula>AVERAGE(COTIZACIONES2025292[[#This Row],[EDEPSA 
Valor Kg Quimicos]],COTIZACIONES2025292[[#This Row],[
Valor Kg Quimicos]],COTIZACIONES2025292[[#This Row],[HISTORICO
2024  + IPC 2025 (3%) Quimicos]])</calculatedColumnFormula>
    </tableColumn>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88ECFF8D-F384-478F-A28F-E02518366367}" name="PRESUPUSTO_2025493" displayName="PRESUPUSTO_2025493" ref="C12:E18" totalsRowCount="1" dataDxfId="104" headerRowBorderDxfId="105" tableBorderDxfId="103">
  <autoFilter ref="C12:E17" xr:uid="{88ECFF8D-F384-478F-A28F-E02518366367}"/>
  <tableColumns count="3">
    <tableColumn id="1" xr3:uid="{0A3992D8-250C-4DB4-9F3F-64E77C81E507}" name="MUNICIPIO" totalsRowLabel="Total" dataDxfId="102" totalsRowDxfId="101"/>
    <tableColumn id="2" xr3:uid="{ADA0E103-97C9-4163-8A1C-2A5782669ECC}" name="PRESUPUESTO 2025" totalsRowFunction="sum" dataDxfId="100" totalsRowDxfId="99"/>
    <tableColumn id="3" xr3:uid="{810018A1-1A82-4C52-AE1A-6DD93091B1C1}" name="Columna1" totalsRowFunction="sum" dataDxfId="98" totalsRowDxfId="97">
      <calculatedColumnFormula>+PRESUPUSTO_2025493[[#This Row],[PRESUPUESTO 2025]]/4</calculatedColumnFormula>
    </tableColumn>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0004C2F0-D15C-48CB-952C-D68D4FEE2D17}" name="ProyeccionKg20251094" displayName="ProyeccionKg20251094" ref="C21:H27" totalsRowCount="1" headerRowDxfId="96" dataDxfId="95" totalsRowDxfId="93" tableBorderDxfId="94">
  <autoFilter ref="C21:H26" xr:uid="{0004C2F0-D15C-48CB-952C-D68D4FEE2D17}"/>
  <tableColumns count="6">
    <tableColumn id="1" xr3:uid="{82D4A974-151C-4F1B-8937-7CAC885AB9A8}" name="MUNICIPIO" totalsRowLabel="Total" dataDxfId="92" totalsRowDxfId="91"/>
    <tableColumn id="2" xr3:uid="{329BB7D6-3E70-4561-BD7E-AC1596210C01}" name="Proyección kilogramos 2025 Biosanitario  " totalsRowFunction="sum" dataDxfId="90" totalsRowDxfId="89">
      <calculatedColumnFormula>+H13/P4</calculatedColumnFormula>
    </tableColumn>
    <tableColumn id="3" xr3:uid="{F4860852-455A-470B-ABF8-93A1A5D92AC4}" name="Proyección kilogramos 2025 Cortopunzantes" totalsRowFunction="sum" dataDxfId="88" totalsRowDxfId="87">
      <calculatedColumnFormula>+I13/Q4</calculatedColumnFormula>
    </tableColumn>
    <tableColumn id="4" xr3:uid="{908E1AC9-00BA-42D0-B4AC-87DBE82E2166}" name="Proyección kilogramos 2025 Animales" totalsRowFunction="sum" dataDxfId="86" totalsRowDxfId="85">
      <calculatedColumnFormula>+J13/R4</calculatedColumnFormula>
    </tableColumn>
    <tableColumn id="5" xr3:uid="{89120629-99A5-4D87-9C8B-FFAB78C3892A}" name="Proyección kilogramos 2025 Quimicos" totalsRowFunction="sum" dataDxfId="84" totalsRowDxfId="83">
      <calculatedColumnFormula>+K13/S4</calculatedColumnFormula>
    </tableColumn>
    <tableColumn id="6" xr3:uid="{D02D0D5B-784D-4D08-94B3-1ABFCE81D5C5}" name="TOTAL DE KILOGRAMOS " totalsRowFunction="sum" dataDxfId="82" totalsRowDxfId="81">
      <calculatedColumnFormula>+ProyeccionKg20251094[[#This Row],[Proyección kilogramos 2025 Biosanitario  ]]+ProyeccionKg20251094[[#This Row],[Proyección kilogramos 2025 Cortopunzantes]]+ProyeccionKg20251094[[#This Row],[Proyección kilogramos 2025 Animales]]+ProyeccionKg20251094[[#This Row],[Proyección kilogramos 2025 Quimicos]]</calculatedColumnFormula>
    </tableColumn>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E61A6C80-15A4-420C-A13C-86CF31C0AEDF}" name="DISTRIBUCIÓNPRESUPUESTOTIPODEDESECHO1195" displayName="DISTRIBUCIÓNPRESUPUESTOTIPODEDESECHO1195" ref="G12:K17" totalsRowShown="0" headerRowDxfId="80" dataDxfId="78" headerRowBorderDxfId="79" tableBorderDxfId="77" totalsRowBorderDxfId="76">
  <autoFilter ref="G12:K17" xr:uid="{E61A6C80-15A4-420C-A13C-86CF31C0AEDF}"/>
  <tableColumns count="5">
    <tableColumn id="1" xr3:uid="{87630A7A-56F9-4332-A152-5024EC8ABC9E}" name="MUNICIPIO" dataDxfId="75"/>
    <tableColumn id="2" xr3:uid="{DD896705-DEC7-4242-9E82-D02157D38A12}" name="PRESUPUESTO 2025 Biosanitario  " dataDxfId="74">
      <calculatedColumnFormula>+PRESUPUSTO_2025493[[#This Row],[Columna1]]</calculatedColumnFormula>
    </tableColumn>
    <tableColumn id="3" xr3:uid="{4FD37FA1-726B-4A4C-8BEA-0F9F62EED51C}" name="PRESUPUESTO 2025 Cortopunzantes" dataDxfId="73">
      <calculatedColumnFormula>+PRESUPUSTO_2025493[[#This Row],[Columna1]]</calculatedColumnFormula>
    </tableColumn>
    <tableColumn id="4" xr3:uid="{5E77F7C6-4F5A-4958-9A21-5395EB53AE6B}" name="PRESUPUESTO 2025 Animales" dataDxfId="72"/>
    <tableColumn id="5" xr3:uid="{0E82B0EE-9FC2-4C3B-B663-3F3EDD7CEE08}" name="PRESUPUESTO 2025 Quimicos" dataDxfId="71">
      <calculatedColumnFormula>+PRESUPUSTO_2025493[[#This Row],[Columna1]]</calculatedColumnFormula>
    </tableColumn>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689AFB75-E8B4-4F9E-9983-58DCDEB8CADA}" name="COTIZACIONES2025296" displayName="COTIZACIONES2025296" ref="C3:S8" totalsRowShown="0" headerRowDxfId="70" dataDxfId="68" headerRowBorderDxfId="69" tableBorderDxfId="67">
  <autoFilter ref="C3:S8" xr:uid="{689AFB75-E8B4-4F9E-9983-58DCDEB8CADA}"/>
  <tableColumns count="17">
    <tableColumn id="1" xr3:uid="{23764D31-9F07-42DE-8501-7A7D0F15E36E}" name="MUNICIPIO" dataDxfId="66"/>
    <tableColumn id="2" xr3:uid="{42EE85FE-263C-4845-8B5A-57D534DBFC86}" name="EDEPSA _x000a_Valor Kg Biosanitario  " dataDxfId="65">
      <calculatedColumnFormula>+'Cotizaciones Empresas'!K10</calculatedColumnFormula>
    </tableColumn>
    <tableColumn id="3" xr3:uid="{8B3B840A-2BD3-4D81-8AE5-4F73DE2C19E9}" name="EDEPSA _x000a_Valor Kg Cortopunzantes" dataDxfId="64">
      <calculatedColumnFormula>+'Cotizaciones Empresas'!D68</calculatedColumnFormula>
    </tableColumn>
    <tableColumn id="4" xr3:uid="{2541CD26-D7DB-400E-AAB5-4E49879F0A48}" name="EDEPSA _x000a_Valor Kg Animales" dataDxfId="63">
      <calculatedColumnFormula>+'Cotizaciones Empresas'!E68</calculatedColumnFormula>
    </tableColumn>
    <tableColumn id="5" xr3:uid="{EE75798B-1579-43B2-B9C5-2130262A5DE5}" name="EDEPSA _x000a_Valor Kg Quimicos" dataDxfId="62">
      <calculatedColumnFormula>+'Cotizaciones Empresas'!F68</calculatedColumnFormula>
    </tableColumn>
    <tableColumn id="6" xr3:uid="{E4287A79-A3A9-4DE3-9F26-75200573CB43}" name="_x000a_Valor Kg Biosanitario " dataDxfId="61"/>
    <tableColumn id="7" xr3:uid="{BF455C30-D635-4B7D-91C0-933B8C15DFFC}" name=" _x000a_Valor Kg Cortopunzantes" dataDxfId="60"/>
    <tableColumn id="8" xr3:uid="{05E43A55-F408-4F50-BA29-532452A1D451}" name="_x000a_Valor Kg Animales" dataDxfId="59"/>
    <tableColumn id="9" xr3:uid="{06EDE01F-DC73-49FB-A09C-502FBD0C84AD}" name="_x000a_Valor Kg Quimicos" dataDxfId="58"/>
    <tableColumn id="10" xr3:uid="{1B9F3C0C-CF4E-447C-ACEE-840F8C113A46}" name="HISTORICO_x000a_2024 + IPC 2025 (3%)Biosanitario" dataDxfId="57">
      <calculatedColumnFormula>+'Cotizaciones Empresas'!BD10</calculatedColumnFormula>
    </tableColumn>
    <tableColumn id="16" xr3:uid="{9D017986-94AC-4F69-898B-8CE52349B353}" name="HISTORICO_x000a_2024  + IPC 2025 (3%) _x000a_Cortopunzantes" dataDxfId="56">
      <calculatedColumnFormula>+'Cotizaciones Empresas'!BE68</calculatedColumnFormula>
    </tableColumn>
    <tableColumn id="17" xr3:uid="{E6CEE4C2-1130-47A0-8C6B-AE9AC7CB1CC2}" name="HISTORICO_x000a_2024  + IPC 2025 (3%)Animales" dataDxfId="55">
      <calculatedColumnFormula>+'Cotizaciones Empresas'!BF68</calculatedColumnFormula>
    </tableColumn>
    <tableColumn id="18" xr3:uid="{27BB714A-F09D-47B1-BC5F-00B78DC4214A}" name="HISTORICO_x000a_2024  + IPC 2025 (3%) Quimicos" dataDxfId="54"/>
    <tableColumn id="12" xr3:uid="{5935212B-2131-47E4-A4D7-11764EC5BDC6}" name="Valor promedio de Kilogramo Biosanitario" dataDxfId="53">
      <calculatedColumnFormula>AVERAGE(COTIZACIONES2025296[[#This Row],[EDEPSA 
Valor Kg Biosanitario  ]],COTIZACIONES2025296[[#This Row],[
Valor Kg Biosanitario ]],COTIZACIONES2025296[[#This Row],[HISTORICO
2024 + IPC 2025 (3%)Biosanitario]])</calculatedColumnFormula>
    </tableColumn>
    <tableColumn id="13" xr3:uid="{369C70AD-E1C2-4690-82A1-A1D0A6982786}" name="Valor promedio de Kilogramo Cortopunzantes" dataDxfId="52">
      <calculatedColumnFormula>AVERAGE(COTIZACIONES2025296[[#This Row],[EDEPSA 
Valor Kg Cortopunzantes]],COTIZACIONES2025296[[#This Row],[ 
Valor Kg Cortopunzantes]],COTIZACIONES2025296[[#This Row],[HISTORICO
2024  + IPC 2025 (3%) 
Cortopunzantes]])</calculatedColumnFormula>
    </tableColumn>
    <tableColumn id="14" xr3:uid="{967E6AF5-1402-43C9-AD89-4D89123A273A}" name="Valor promedio de Kilogramog Animales" dataDxfId="51">
      <calculatedColumnFormula>AVERAGE(COTIZACIONES2025296[[#This Row],[EDEPSA 
Valor Kg Animales]],COTIZACIONES2025296[[#This Row],[
Valor Kg Animales]],COTIZACIONES2025296[[#This Row],[HISTORICO
2024  + IPC 2025 (3%)Animales]])</calculatedColumnFormula>
    </tableColumn>
    <tableColumn id="15" xr3:uid="{951D57EB-E58F-4856-AD1E-03F8F5C324F1}" name="Valor promedio de Kilogramo Quimicos" dataDxfId="50">
      <calculatedColumnFormula>AVERAGE(COTIZACIONES2025296[[#This Row],[EDEPSA 
Valor Kg Quimicos]],COTIZACIONES2025296[[#This Row],[
Valor Kg Quimicos]],COTIZACIONES2025296[[#This Row],[HISTORICO
2024  + IPC 2025 (3%) Quimicos]])</calculatedColumnFormula>
    </tableColumn>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1057D56C-B1E2-4DF0-BFD8-C22FF818D363}" name="PRESUPUSTO_2025497" displayName="PRESUPUSTO_2025497" ref="C12:E18" totalsRowCount="1" dataDxfId="48" headerRowBorderDxfId="49" tableBorderDxfId="47">
  <autoFilter ref="C12:E17" xr:uid="{1057D56C-B1E2-4DF0-BFD8-C22FF818D363}"/>
  <tableColumns count="3">
    <tableColumn id="1" xr3:uid="{6FCABB52-A0DE-4BCD-901F-FF405AA2BF72}" name="MUNICIPIO" totalsRowLabel="Total" dataDxfId="46" totalsRowDxfId="45"/>
    <tableColumn id="2" xr3:uid="{CBE6AFC0-D56B-4272-A230-22D4D25BC499}" name="PRESUPUESTO 2025" totalsRowFunction="sum" dataDxfId="44" totalsRowDxfId="43"/>
    <tableColumn id="3" xr3:uid="{A40A24C6-AEC1-483F-91D9-0E3503296365}" name="Columna1" totalsRowFunction="sum" dataDxfId="42" totalsRowDxfId="41">
      <calculatedColumnFormula>+PRESUPUSTO_2025497[[#This Row],[PRESUPUESTO 2025]]/4</calculatedColumnFormula>
    </tableColumn>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244BBFE7-423B-4410-BF3C-20E83BFC9F38}" name="ProyeccionKg20251098" displayName="ProyeccionKg20251098" ref="C21:H27" totalsRowCount="1" headerRowDxfId="40" dataDxfId="39" totalsRowDxfId="37" tableBorderDxfId="38">
  <autoFilter ref="C21:H26" xr:uid="{244BBFE7-423B-4410-BF3C-20E83BFC9F38}"/>
  <tableColumns count="6">
    <tableColumn id="1" xr3:uid="{6A179136-1CE3-4A66-A0A2-9BB678B869DF}" name="MUNICIPIO" totalsRowLabel="Total" dataDxfId="36" totalsRowDxfId="35"/>
    <tableColumn id="2" xr3:uid="{F4C14CA9-C777-482C-9413-D7215DFB308D}" name="Proyección kilogramos 2025 Biosanitario  " totalsRowFunction="sum" dataDxfId="34" totalsRowDxfId="33">
      <calculatedColumnFormula>+H13/P4</calculatedColumnFormula>
    </tableColumn>
    <tableColumn id="3" xr3:uid="{1830550D-7726-40F3-AA5A-F26160AF3CF6}" name="Proyección kilogramos 2025 Cortopunzantes" totalsRowFunction="sum" dataDxfId="32" totalsRowDxfId="31">
      <calculatedColumnFormula>+I13/Q4</calculatedColumnFormula>
    </tableColumn>
    <tableColumn id="4" xr3:uid="{68F98C0D-0F1A-4365-9128-9BD44593E57B}" name="Proyección kilogramos 2025 Animales" totalsRowFunction="sum" dataDxfId="30" totalsRowDxfId="29">
      <calculatedColumnFormula>+J13/R4</calculatedColumnFormula>
    </tableColumn>
    <tableColumn id="5" xr3:uid="{31F523AF-FAD9-407B-B559-035B58FB7D6D}" name="Proyección kilogramos 2025 Quimicos" totalsRowFunction="sum" dataDxfId="28" totalsRowDxfId="27">
      <calculatedColumnFormula>+K13/S4</calculatedColumnFormula>
    </tableColumn>
    <tableColumn id="6" xr3:uid="{46AFBCE8-D933-4FF4-8CB8-D5BDA3A2B95E}" name="TOTAL DE KILOGRAMOS " totalsRowFunction="sum" dataDxfId="26" totalsRowDxfId="25">
      <calculatedColumnFormula>+ProyeccionKg20251098[[#This Row],[Proyección kilogramos 2025 Biosanitario  ]]+ProyeccionKg20251098[[#This Row],[Proyección kilogramos 2025 Cortopunzantes]]+ProyeccionKg20251098[[#This Row],[Proyección kilogramos 2025 Animales]]+ProyeccionKg20251098[[#This Row],[Proyección kilogramos 2025 Quimicos]]</calculatedColumnFormula>
    </tableColumn>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ADD8F573-FF06-48AC-BC3E-77237766D91F}" name="DISTRIBUCIÓNPRESUPUESTOTIPODEDESECHO1199" displayName="DISTRIBUCIÓNPRESUPUESTOTIPODEDESECHO1199" ref="G12:K17" totalsRowShown="0" headerRowDxfId="24" dataDxfId="22" headerRowBorderDxfId="23" tableBorderDxfId="21" totalsRowBorderDxfId="20">
  <autoFilter ref="G12:K17" xr:uid="{ADD8F573-FF06-48AC-BC3E-77237766D91F}"/>
  <tableColumns count="5">
    <tableColumn id="1" xr3:uid="{6B5D9152-0998-4FCD-8C06-07A96A49B7BB}" name="MUNICIPIO" dataDxfId="19"/>
    <tableColumn id="2" xr3:uid="{0864602D-1939-48D1-A112-6D4F80DD2C34}" name="PRESUPUESTO 2025 Biosanitario  " dataDxfId="18">
      <calculatedColumnFormula>+PRESUPUSTO_2025497[[#This Row],[Columna1]]</calculatedColumnFormula>
    </tableColumn>
    <tableColumn id="3" xr3:uid="{AA1E935F-2FF1-4E6A-9CA0-CD738522A78A}" name="PRESUPUESTO 2025 Cortopunzantes" dataDxfId="17">
      <calculatedColumnFormula>+PRESUPUSTO_2025497[[#This Row],[Columna1]]</calculatedColumnFormula>
    </tableColumn>
    <tableColumn id="4" xr3:uid="{6DEA5691-F2ED-4877-9DD2-37DEBB9B0F45}" name="PRESUPUESTO 2025 Animales" dataDxfId="16"/>
    <tableColumn id="5" xr3:uid="{4D18B70A-45F6-4338-AB68-DA2D716CDCE3}" name="PRESUPUESTO 2025 Quimicos" dataDxfId="15">
      <calculatedColumnFormula>+PRESUPUSTO_2025497[[#This Row],[Columna1]]</calculatedColumnFormula>
    </tableColumn>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3.bin"/><Relationship Id="rId5" Type="http://schemas.openxmlformats.org/officeDocument/2006/relationships/table" Target="../tables/table10.xml"/><Relationship Id="rId4" Type="http://schemas.openxmlformats.org/officeDocument/2006/relationships/table" Target="../tables/table9.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table" Target="../tables/table12.xml"/><Relationship Id="rId1" Type="http://schemas.openxmlformats.org/officeDocument/2006/relationships/table" Target="../tables/table11.xml"/><Relationship Id="rId4" Type="http://schemas.openxmlformats.org/officeDocument/2006/relationships/table" Target="../tables/table1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table" Target="../tables/table16.xml"/><Relationship Id="rId1" Type="http://schemas.openxmlformats.org/officeDocument/2006/relationships/table" Target="../tables/table15.xml"/><Relationship Id="rId4" Type="http://schemas.openxmlformats.org/officeDocument/2006/relationships/table" Target="../tables/table18.xml"/></Relationships>
</file>

<file path=xl/worksheets/_rels/sheet7.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table" Target="../tables/table20.xml"/><Relationship Id="rId1" Type="http://schemas.openxmlformats.org/officeDocument/2006/relationships/table" Target="../tables/table19.xml"/><Relationship Id="rId4" Type="http://schemas.openxmlformats.org/officeDocument/2006/relationships/table" Target="../tables/table22.xml"/></Relationships>
</file>

<file path=xl/worksheets/_rels/sheet8.xml.rels><?xml version="1.0" encoding="UTF-8" standalone="yes"?>
<Relationships xmlns="http://schemas.openxmlformats.org/package/2006/relationships"><Relationship Id="rId3" Type="http://schemas.openxmlformats.org/officeDocument/2006/relationships/table" Target="../tables/table25.xml"/><Relationship Id="rId2" Type="http://schemas.openxmlformats.org/officeDocument/2006/relationships/table" Target="../tables/table24.xml"/><Relationship Id="rId1" Type="http://schemas.openxmlformats.org/officeDocument/2006/relationships/table" Target="../tables/table23.xml"/><Relationship Id="rId4" Type="http://schemas.openxmlformats.org/officeDocument/2006/relationships/table" Target="../tables/table26.xml"/></Relationships>
</file>

<file path=xl/worksheets/_rels/sheet9.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table" Target="../tables/table27.xml"/><Relationship Id="rId4" Type="http://schemas.openxmlformats.org/officeDocument/2006/relationships/table" Target="../tables/table30.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33.xml"/><Relationship Id="rId2" Type="http://schemas.openxmlformats.org/officeDocument/2006/relationships/table" Target="../tables/table32.xml"/><Relationship Id="rId1" Type="http://schemas.openxmlformats.org/officeDocument/2006/relationships/table" Target="../tables/table31.xml"/><Relationship Id="rId4" Type="http://schemas.openxmlformats.org/officeDocument/2006/relationships/table" Target="../tables/table34.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37.xml"/><Relationship Id="rId2" Type="http://schemas.openxmlformats.org/officeDocument/2006/relationships/table" Target="../tables/table36.xml"/><Relationship Id="rId1" Type="http://schemas.openxmlformats.org/officeDocument/2006/relationships/table" Target="../tables/table35.xml"/><Relationship Id="rId4" Type="http://schemas.openxmlformats.org/officeDocument/2006/relationships/table" Target="../tables/table38.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table" Target="../tables/table40.xml"/><Relationship Id="rId1" Type="http://schemas.openxmlformats.org/officeDocument/2006/relationships/table" Target="../tables/table39.xml"/><Relationship Id="rId4" Type="http://schemas.openxmlformats.org/officeDocument/2006/relationships/table" Target="../tables/table42.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45.xml"/><Relationship Id="rId2" Type="http://schemas.openxmlformats.org/officeDocument/2006/relationships/table" Target="../tables/table44.xml"/><Relationship Id="rId1" Type="http://schemas.openxmlformats.org/officeDocument/2006/relationships/table" Target="../tables/table43.xml"/><Relationship Id="rId4" Type="http://schemas.openxmlformats.org/officeDocument/2006/relationships/table" Target="../tables/table46.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49.xml"/><Relationship Id="rId2" Type="http://schemas.openxmlformats.org/officeDocument/2006/relationships/table" Target="../tables/table48.xml"/><Relationship Id="rId1" Type="http://schemas.openxmlformats.org/officeDocument/2006/relationships/table" Target="../tables/table47.xml"/><Relationship Id="rId4" Type="http://schemas.openxmlformats.org/officeDocument/2006/relationships/table" Target="../tables/table50.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53.xml"/><Relationship Id="rId2" Type="http://schemas.openxmlformats.org/officeDocument/2006/relationships/table" Target="../tables/table52.xml"/><Relationship Id="rId1" Type="http://schemas.openxmlformats.org/officeDocument/2006/relationships/table" Target="../tables/table51.xml"/><Relationship Id="rId4" Type="http://schemas.openxmlformats.org/officeDocument/2006/relationships/table" Target="../tables/table54.xml"/></Relationships>
</file>

<file path=xl/worksheets/_rels/sheet16.xml.rels><?xml version="1.0" encoding="UTF-8" standalone="yes"?>
<Relationships xmlns="http://schemas.openxmlformats.org/package/2006/relationships"><Relationship Id="rId1" Type="http://schemas.openxmlformats.org/officeDocument/2006/relationships/hyperlink" Target="mailto:dflores@asei.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4B884-F4F3-4E71-B0A8-9799C3B459BC}">
  <dimension ref="A1:BL177"/>
  <sheetViews>
    <sheetView zoomScale="70" zoomScaleNormal="70" workbookViewId="0">
      <pane xSplit="2" ySplit="1" topLeftCell="K2" activePane="bottomRight" state="frozen"/>
      <selection pane="topRight" activeCell="C1" sqref="C1"/>
      <selection pane="bottomLeft" activeCell="A4" sqref="A4"/>
      <selection pane="bottomRight" activeCell="BB199" sqref="BB199"/>
    </sheetView>
  </sheetViews>
  <sheetFormatPr baseColWidth="10" defaultColWidth="11.375" defaultRowHeight="15"/>
  <cols>
    <col min="1" max="1" width="35.875" style="175" bestFit="1" customWidth="1"/>
    <col min="2" max="2" width="45.625" style="170" bestFit="1" customWidth="1"/>
    <col min="3" max="3" width="52.375" style="170" bestFit="1" customWidth="1"/>
    <col min="4" max="4" width="61.125" style="170" bestFit="1" customWidth="1"/>
    <col min="5" max="6" width="50.75" style="170" bestFit="1" customWidth="1"/>
    <col min="7" max="10" width="81.125" style="170" bestFit="1" customWidth="1"/>
    <col min="11" max="11" width="52.375" style="170" bestFit="1" customWidth="1"/>
    <col min="12" max="12" width="61.125" style="170" bestFit="1" customWidth="1"/>
    <col min="13" max="13" width="46.75" style="170" bestFit="1" customWidth="1"/>
    <col min="14" max="14" width="47.125" style="170" bestFit="1" customWidth="1"/>
    <col min="15" max="15" width="30.125" style="170" bestFit="1" customWidth="1"/>
    <col min="16" max="16" width="52.375" style="170" bestFit="1" customWidth="1"/>
    <col min="17" max="17" width="61.125" style="170" bestFit="1" customWidth="1"/>
    <col min="18" max="18" width="46.75" style="170" bestFit="1" customWidth="1"/>
    <col min="19" max="19" width="47.125" style="170" bestFit="1" customWidth="1"/>
    <col min="20" max="20" width="52.375" style="170" bestFit="1" customWidth="1"/>
    <col min="21" max="21" width="61.125" style="170" bestFit="1" customWidth="1"/>
    <col min="22" max="22" width="46.75" style="170" bestFit="1" customWidth="1"/>
    <col min="23" max="23" width="47.125" style="170" bestFit="1" customWidth="1"/>
    <col min="24" max="24" width="52.375" style="170" bestFit="1" customWidth="1"/>
    <col min="25" max="25" width="61.125" style="170" bestFit="1" customWidth="1"/>
    <col min="26" max="26" width="46.75" style="170" bestFit="1" customWidth="1"/>
    <col min="27" max="27" width="47.125" style="170" bestFit="1" customWidth="1"/>
    <col min="28" max="28" width="52.375" style="170" bestFit="1" customWidth="1"/>
    <col min="29" max="29" width="61.125" style="170" bestFit="1" customWidth="1"/>
    <col min="30" max="30" width="46.75" style="170" bestFit="1" customWidth="1"/>
    <col min="31" max="31" width="47.125" style="170" bestFit="1" customWidth="1"/>
    <col min="32" max="32" width="52.375" style="170" bestFit="1" customWidth="1"/>
    <col min="33" max="33" width="61.125" style="170" bestFit="1" customWidth="1"/>
    <col min="34" max="34" width="46.75" style="170" bestFit="1" customWidth="1"/>
    <col min="35" max="35" width="47.125" style="170" bestFit="1" customWidth="1"/>
    <col min="36" max="36" width="52.375" style="170" bestFit="1" customWidth="1"/>
    <col min="37" max="37" width="61.125" style="170" bestFit="1" customWidth="1"/>
    <col min="38" max="38" width="46.75" style="170" bestFit="1" customWidth="1"/>
    <col min="39" max="39" width="47.125" style="170" bestFit="1" customWidth="1"/>
    <col min="40" max="40" width="52.375" style="170" bestFit="1" customWidth="1"/>
    <col min="41" max="41" width="61.125" style="170" bestFit="1" customWidth="1"/>
    <col min="42" max="42" width="46.75" style="170" bestFit="1" customWidth="1"/>
    <col min="43" max="43" width="47.125" style="170" bestFit="1" customWidth="1"/>
    <col min="44" max="44" width="52.375" style="170" bestFit="1" customWidth="1"/>
    <col min="45" max="45" width="61.125" style="170" bestFit="1" customWidth="1"/>
    <col min="46" max="46" width="46.75" style="170" bestFit="1" customWidth="1"/>
    <col min="47" max="47" width="47.125" style="170" bestFit="1" customWidth="1"/>
    <col min="48" max="48" width="52.375" style="170" bestFit="1" customWidth="1"/>
    <col min="49" max="49" width="61.125" style="170" bestFit="1" customWidth="1"/>
    <col min="50" max="50" width="46.75" style="170" bestFit="1" customWidth="1"/>
    <col min="51" max="51" width="47.125" style="170" bestFit="1" customWidth="1"/>
    <col min="52" max="52" width="52.375" style="170" bestFit="1" customWidth="1"/>
    <col min="53" max="53" width="61.125" style="170" bestFit="1" customWidth="1"/>
    <col min="54" max="54" width="46.75" style="170" bestFit="1" customWidth="1"/>
    <col min="55" max="55" width="47.125" style="170" bestFit="1" customWidth="1"/>
    <col min="56" max="56" width="76.875" style="170" bestFit="1" customWidth="1"/>
    <col min="57" max="59" width="78.25" style="170" bestFit="1" customWidth="1"/>
    <col min="60" max="63" width="11.375" style="170"/>
    <col min="64" max="64" width="24.875" style="170" bestFit="1" customWidth="1"/>
    <col min="65" max="16384" width="11.375" style="170"/>
  </cols>
  <sheetData>
    <row r="1" spans="1:64" s="159" customFormat="1" ht="61.5" customHeight="1" thickBot="1">
      <c r="A1" s="155" t="s">
        <v>0</v>
      </c>
      <c r="B1" s="156" t="s">
        <v>19</v>
      </c>
      <c r="C1" s="157" t="s">
        <v>57</v>
      </c>
      <c r="D1" s="157" t="s">
        <v>58</v>
      </c>
      <c r="E1" s="157" t="s">
        <v>60</v>
      </c>
      <c r="F1" s="157" t="s">
        <v>59</v>
      </c>
      <c r="G1" s="157" t="s">
        <v>61</v>
      </c>
      <c r="H1" s="157" t="s">
        <v>62</v>
      </c>
      <c r="I1" s="157" t="s">
        <v>73</v>
      </c>
      <c r="J1" s="157" t="s">
        <v>63</v>
      </c>
      <c r="K1" s="157" t="s">
        <v>64</v>
      </c>
      <c r="L1" s="157" t="s">
        <v>65</v>
      </c>
      <c r="M1" s="157" t="s">
        <v>72</v>
      </c>
      <c r="N1" s="157" t="s">
        <v>66</v>
      </c>
      <c r="O1" s="157" t="s">
        <v>67</v>
      </c>
      <c r="P1" s="157" t="s">
        <v>68</v>
      </c>
      <c r="Q1" s="157" t="s">
        <v>69</v>
      </c>
      <c r="R1" s="157" t="s">
        <v>71</v>
      </c>
      <c r="S1" s="157" t="s">
        <v>70</v>
      </c>
      <c r="T1" s="157" t="s">
        <v>74</v>
      </c>
      <c r="U1" s="157" t="s">
        <v>75</v>
      </c>
      <c r="V1" s="157" t="s">
        <v>76</v>
      </c>
      <c r="W1" s="157" t="s">
        <v>77</v>
      </c>
      <c r="X1" s="157" t="s">
        <v>78</v>
      </c>
      <c r="Y1" s="157" t="s">
        <v>79</v>
      </c>
      <c r="Z1" s="157" t="s">
        <v>81</v>
      </c>
      <c r="AA1" s="157" t="s">
        <v>80</v>
      </c>
      <c r="AB1" s="157" t="s">
        <v>82</v>
      </c>
      <c r="AC1" s="157" t="s">
        <v>83</v>
      </c>
      <c r="AD1" s="157" t="s">
        <v>84</v>
      </c>
      <c r="AE1" s="157" t="s">
        <v>85</v>
      </c>
      <c r="AF1" s="157" t="s">
        <v>86</v>
      </c>
      <c r="AG1" s="157" t="s">
        <v>87</v>
      </c>
      <c r="AH1" s="157" t="s">
        <v>90</v>
      </c>
      <c r="AI1" s="157" t="s">
        <v>88</v>
      </c>
      <c r="AJ1" s="157" t="s">
        <v>89</v>
      </c>
      <c r="AK1" s="157" t="s">
        <v>91</v>
      </c>
      <c r="AL1" s="157" t="s">
        <v>92</v>
      </c>
      <c r="AM1" s="157" t="s">
        <v>93</v>
      </c>
      <c r="AN1" s="157" t="s">
        <v>94</v>
      </c>
      <c r="AO1" s="157" t="s">
        <v>95</v>
      </c>
      <c r="AP1" s="157" t="s">
        <v>96</v>
      </c>
      <c r="AQ1" s="157" t="s">
        <v>97</v>
      </c>
      <c r="AR1" s="157" t="s">
        <v>98</v>
      </c>
      <c r="AS1" s="157" t="s">
        <v>99</v>
      </c>
      <c r="AT1" s="157" t="s">
        <v>100</v>
      </c>
      <c r="AU1" s="157" t="s">
        <v>101</v>
      </c>
      <c r="AV1" s="157" t="s">
        <v>102</v>
      </c>
      <c r="AW1" s="157" t="s">
        <v>103</v>
      </c>
      <c r="AX1" s="157" t="s">
        <v>104</v>
      </c>
      <c r="AY1" s="157" t="s">
        <v>105</v>
      </c>
      <c r="AZ1" s="157" t="s">
        <v>106</v>
      </c>
      <c r="BA1" s="157" t="s">
        <v>107</v>
      </c>
      <c r="BB1" s="157" t="s">
        <v>108</v>
      </c>
      <c r="BC1" s="157" t="s">
        <v>109</v>
      </c>
      <c r="BD1" s="158" t="s">
        <v>337</v>
      </c>
      <c r="BE1" s="158" t="s">
        <v>336</v>
      </c>
      <c r="BF1" s="158" t="s">
        <v>338</v>
      </c>
      <c r="BG1" s="158" t="s">
        <v>339</v>
      </c>
    </row>
    <row r="2" spans="1:64" s="24" customFormat="1" ht="15.75" hidden="1">
      <c r="A2" s="3" t="e" vm="1">
        <v>#VALUE!</v>
      </c>
      <c r="B2" s="16" t="s">
        <v>1</v>
      </c>
      <c r="C2" s="25"/>
      <c r="D2" s="35"/>
      <c r="E2" s="35"/>
      <c r="F2" s="36"/>
      <c r="G2" s="25"/>
      <c r="H2" s="35"/>
      <c r="I2" s="35"/>
      <c r="J2" s="36"/>
      <c r="K2" s="25"/>
      <c r="L2" s="35"/>
      <c r="M2" s="35"/>
      <c r="N2" s="36"/>
      <c r="O2" s="36"/>
      <c r="P2" s="25"/>
      <c r="Q2" s="35"/>
      <c r="R2" s="35"/>
      <c r="S2" s="36"/>
      <c r="T2" s="25"/>
      <c r="U2" s="35"/>
      <c r="V2" s="35"/>
      <c r="W2" s="36"/>
      <c r="X2" s="25"/>
      <c r="Y2" s="35"/>
      <c r="Z2" s="35"/>
      <c r="AA2" s="36"/>
      <c r="AB2" s="25"/>
      <c r="AC2" s="35"/>
      <c r="AD2" s="35"/>
      <c r="AE2" s="36"/>
      <c r="AF2" s="25"/>
      <c r="AG2" s="35"/>
      <c r="AH2" s="35"/>
      <c r="AI2" s="36"/>
      <c r="AJ2" s="25"/>
      <c r="AK2" s="35"/>
      <c r="AL2" s="35"/>
      <c r="AM2" s="36"/>
      <c r="AN2" s="25"/>
      <c r="AO2" s="35"/>
      <c r="AP2" s="35"/>
      <c r="AQ2" s="36"/>
      <c r="AR2" s="25"/>
      <c r="AS2" s="35"/>
      <c r="AT2" s="35"/>
      <c r="AU2" s="36"/>
      <c r="AV2" s="25"/>
      <c r="AW2" s="35"/>
      <c r="AX2" s="35"/>
      <c r="AY2" s="36"/>
      <c r="AZ2" s="25"/>
      <c r="BA2" s="35"/>
      <c r="BB2" s="35"/>
      <c r="BC2" s="36"/>
      <c r="BD2" s="25"/>
      <c r="BE2" s="35"/>
      <c r="BF2" s="35"/>
      <c r="BG2" s="36"/>
      <c r="BK2" s="150">
        <v>3700</v>
      </c>
      <c r="BL2" s="151" t="s">
        <v>331</v>
      </c>
    </row>
    <row r="3" spans="1:64" s="24" customFormat="1" ht="15.75" hidden="1">
      <c r="A3" s="3" t="e" vm="1">
        <v>#VALUE!</v>
      </c>
      <c r="B3" s="17" t="e" vm="2">
        <v>#VALUE!</v>
      </c>
      <c r="C3" s="27"/>
      <c r="D3" s="37"/>
      <c r="E3" s="37"/>
      <c r="F3" s="38"/>
      <c r="G3" s="27"/>
      <c r="H3" s="37"/>
      <c r="I3" s="37"/>
      <c r="J3" s="38"/>
      <c r="K3" s="27"/>
      <c r="L3" s="37"/>
      <c r="M3" s="37"/>
      <c r="N3" s="38"/>
      <c r="O3" s="38"/>
      <c r="P3" s="27"/>
      <c r="Q3" s="37"/>
      <c r="R3" s="37"/>
      <c r="S3" s="38"/>
      <c r="T3" s="27"/>
      <c r="U3" s="37"/>
      <c r="V3" s="37"/>
      <c r="W3" s="38"/>
      <c r="X3" s="27"/>
      <c r="Y3" s="37"/>
      <c r="Z3" s="37"/>
      <c r="AA3" s="38"/>
      <c r="AB3" s="27"/>
      <c r="AC3" s="37"/>
      <c r="AD3" s="37"/>
      <c r="AE3" s="38"/>
      <c r="AF3" s="27"/>
      <c r="AG3" s="37"/>
      <c r="AH3" s="37"/>
      <c r="AI3" s="38"/>
      <c r="AJ3" s="27"/>
      <c r="AK3" s="37"/>
      <c r="AL3" s="37"/>
      <c r="AM3" s="38"/>
      <c r="AN3" s="27"/>
      <c r="AO3" s="37"/>
      <c r="AP3" s="37"/>
      <c r="AQ3" s="38"/>
      <c r="AR3" s="27"/>
      <c r="AS3" s="37"/>
      <c r="AT3" s="37"/>
      <c r="AU3" s="38"/>
      <c r="AV3" s="27"/>
      <c r="AW3" s="37"/>
      <c r="AX3" s="37"/>
      <c r="AY3" s="38"/>
      <c r="AZ3" s="27"/>
      <c r="BA3" s="37"/>
      <c r="BB3" s="37"/>
      <c r="BC3" s="38"/>
      <c r="BD3" s="27"/>
      <c r="BE3" s="37"/>
      <c r="BF3" s="37"/>
      <c r="BG3" s="38"/>
      <c r="BK3" s="152">
        <v>0.03</v>
      </c>
      <c r="BL3" s="153" t="s">
        <v>332</v>
      </c>
    </row>
    <row r="4" spans="1:64" s="24" customFormat="1" ht="15.75" hidden="1">
      <c r="A4" s="3" t="e" vm="1">
        <v>#VALUE!</v>
      </c>
      <c r="B4" s="17" t="e" vm="3">
        <v>#VALUE!</v>
      </c>
      <c r="C4" s="27"/>
      <c r="D4" s="37"/>
      <c r="E4" s="37"/>
      <c r="F4" s="38"/>
      <c r="G4" s="27"/>
      <c r="H4" s="37"/>
      <c r="I4" s="37"/>
      <c r="J4" s="38"/>
      <c r="K4" s="27"/>
      <c r="L4" s="37"/>
      <c r="M4" s="37"/>
      <c r="N4" s="38"/>
      <c r="O4" s="38"/>
      <c r="P4" s="27"/>
      <c r="Q4" s="37"/>
      <c r="R4" s="37"/>
      <c r="S4" s="38"/>
      <c r="T4" s="27"/>
      <c r="U4" s="37"/>
      <c r="V4" s="37"/>
      <c r="W4" s="38"/>
      <c r="X4" s="27"/>
      <c r="Y4" s="37"/>
      <c r="Z4" s="37"/>
      <c r="AA4" s="38"/>
      <c r="AB4" s="27"/>
      <c r="AC4" s="37"/>
      <c r="AD4" s="37"/>
      <c r="AE4" s="38"/>
      <c r="AF4" s="27"/>
      <c r="AG4" s="37"/>
      <c r="AH4" s="37"/>
      <c r="AI4" s="38"/>
      <c r="AJ4" s="27"/>
      <c r="AK4" s="37"/>
      <c r="AL4" s="37"/>
      <c r="AM4" s="38"/>
      <c r="AN4" s="27"/>
      <c r="AO4" s="37"/>
      <c r="AP4" s="37"/>
      <c r="AQ4" s="38"/>
      <c r="AR4" s="27"/>
      <c r="AS4" s="37"/>
      <c r="AT4" s="37"/>
      <c r="AU4" s="38"/>
      <c r="AV4" s="27"/>
      <c r="AW4" s="37"/>
      <c r="AX4" s="37"/>
      <c r="AY4" s="38"/>
      <c r="AZ4" s="27"/>
      <c r="BA4" s="37"/>
      <c r="BB4" s="37"/>
      <c r="BC4" s="38"/>
      <c r="BD4" s="27"/>
      <c r="BE4" s="37"/>
      <c r="BF4" s="37"/>
      <c r="BG4" s="38"/>
      <c r="BK4" s="154">
        <f>+BK2*BK3</f>
        <v>111</v>
      </c>
      <c r="BL4" s="153" t="s">
        <v>333</v>
      </c>
    </row>
    <row r="5" spans="1:64" s="24" customFormat="1" ht="15.75" hidden="1">
      <c r="A5" s="3" t="e" vm="1">
        <v>#VALUE!</v>
      </c>
      <c r="B5" s="17" t="e" vm="4">
        <v>#VALUE!</v>
      </c>
      <c r="C5" s="27"/>
      <c r="D5" s="37"/>
      <c r="E5" s="37"/>
      <c r="F5" s="38"/>
      <c r="G5" s="27"/>
      <c r="H5" s="37"/>
      <c r="I5" s="37"/>
      <c r="J5" s="38"/>
      <c r="K5" s="27"/>
      <c r="L5" s="37"/>
      <c r="M5" s="37"/>
      <c r="N5" s="38"/>
      <c r="O5" s="38"/>
      <c r="P5" s="27"/>
      <c r="Q5" s="37"/>
      <c r="R5" s="37"/>
      <c r="S5" s="38"/>
      <c r="T5" s="27"/>
      <c r="U5" s="37"/>
      <c r="V5" s="37"/>
      <c r="W5" s="38"/>
      <c r="X5" s="27"/>
      <c r="Y5" s="37"/>
      <c r="Z5" s="37"/>
      <c r="AA5" s="38"/>
      <c r="AB5" s="27"/>
      <c r="AC5" s="37"/>
      <c r="AD5" s="37"/>
      <c r="AE5" s="38"/>
      <c r="AF5" s="27"/>
      <c r="AG5" s="37"/>
      <c r="AH5" s="37"/>
      <c r="AI5" s="38"/>
      <c r="AJ5" s="27"/>
      <c r="AK5" s="37"/>
      <c r="AL5" s="37"/>
      <c r="AM5" s="38"/>
      <c r="AN5" s="27"/>
      <c r="AO5" s="37"/>
      <c r="AP5" s="37"/>
      <c r="AQ5" s="38"/>
      <c r="AR5" s="27"/>
      <c r="AS5" s="37"/>
      <c r="AT5" s="37"/>
      <c r="AU5" s="38"/>
      <c r="AV5" s="27"/>
      <c r="AW5" s="37"/>
      <c r="AX5" s="37"/>
      <c r="AY5" s="38"/>
      <c r="AZ5" s="27"/>
      <c r="BA5" s="37"/>
      <c r="BB5" s="37"/>
      <c r="BC5" s="38"/>
      <c r="BD5" s="27"/>
      <c r="BE5" s="37"/>
      <c r="BF5" s="37"/>
      <c r="BG5" s="38"/>
      <c r="BK5" s="154">
        <f>+BK2+BK4</f>
        <v>3811</v>
      </c>
      <c r="BL5" s="153" t="s">
        <v>334</v>
      </c>
    </row>
    <row r="6" spans="1:64" s="24" customFormat="1" ht="15.75" hidden="1">
      <c r="A6" s="3" t="e" vm="1">
        <v>#VALUE!</v>
      </c>
      <c r="B6" s="17" t="e" vm="5">
        <v>#VALUE!</v>
      </c>
      <c r="C6" s="27"/>
      <c r="D6" s="37"/>
      <c r="E6" s="37"/>
      <c r="F6" s="38"/>
      <c r="G6" s="27"/>
      <c r="H6" s="37"/>
      <c r="I6" s="37"/>
      <c r="J6" s="38"/>
      <c r="K6" s="27"/>
      <c r="L6" s="37"/>
      <c r="M6" s="37"/>
      <c r="N6" s="38"/>
      <c r="O6" s="38"/>
      <c r="P6" s="27"/>
      <c r="Q6" s="37"/>
      <c r="R6" s="37"/>
      <c r="S6" s="38"/>
      <c r="T6" s="27"/>
      <c r="U6" s="37"/>
      <c r="V6" s="37"/>
      <c r="W6" s="38"/>
      <c r="X6" s="27"/>
      <c r="Y6" s="37"/>
      <c r="Z6" s="37"/>
      <c r="AA6" s="38"/>
      <c r="AB6" s="27"/>
      <c r="AC6" s="37"/>
      <c r="AD6" s="37"/>
      <c r="AE6" s="38"/>
      <c r="AF6" s="27"/>
      <c r="AG6" s="37"/>
      <c r="AH6" s="37"/>
      <c r="AI6" s="38"/>
      <c r="AJ6" s="27"/>
      <c r="AK6" s="37"/>
      <c r="AL6" s="37"/>
      <c r="AM6" s="38"/>
      <c r="AN6" s="27"/>
      <c r="AO6" s="37"/>
      <c r="AP6" s="37"/>
      <c r="AQ6" s="38"/>
      <c r="AR6" s="27"/>
      <c r="AS6" s="37"/>
      <c r="AT6" s="37"/>
      <c r="AU6" s="38"/>
      <c r="AV6" s="27"/>
      <c r="AW6" s="37"/>
      <c r="AX6" s="37"/>
      <c r="AY6" s="38"/>
      <c r="AZ6" s="27"/>
      <c r="BA6" s="37"/>
      <c r="BB6" s="37"/>
      <c r="BC6" s="38"/>
      <c r="BD6" s="27"/>
      <c r="BE6" s="37"/>
      <c r="BF6" s="37"/>
      <c r="BG6" s="38"/>
    </row>
    <row r="7" spans="1:64" s="24" customFormat="1" ht="15.75" hidden="1">
      <c r="A7" s="3" t="e" vm="1">
        <v>#VALUE!</v>
      </c>
      <c r="B7" s="17" t="e" vm="6">
        <v>#VALUE!</v>
      </c>
      <c r="C7" s="27"/>
      <c r="D7" s="37"/>
      <c r="E7" s="37"/>
      <c r="F7" s="38"/>
      <c r="G7" s="27"/>
      <c r="H7" s="37"/>
      <c r="I7" s="37"/>
      <c r="J7" s="38"/>
      <c r="K7" s="27"/>
      <c r="L7" s="37"/>
      <c r="M7" s="37"/>
      <c r="N7" s="38"/>
      <c r="O7" s="38"/>
      <c r="P7" s="27"/>
      <c r="Q7" s="37"/>
      <c r="R7" s="37"/>
      <c r="S7" s="38"/>
      <c r="T7" s="27"/>
      <c r="U7" s="37"/>
      <c r="V7" s="37"/>
      <c r="W7" s="38"/>
      <c r="X7" s="27"/>
      <c r="Y7" s="37"/>
      <c r="Z7" s="37"/>
      <c r="AA7" s="38"/>
      <c r="AB7" s="27"/>
      <c r="AC7" s="37"/>
      <c r="AD7" s="37"/>
      <c r="AE7" s="38"/>
      <c r="AF7" s="27"/>
      <c r="AG7" s="37"/>
      <c r="AH7" s="37"/>
      <c r="AI7" s="38"/>
      <c r="AJ7" s="27"/>
      <c r="AK7" s="37"/>
      <c r="AL7" s="37"/>
      <c r="AM7" s="38"/>
      <c r="AN7" s="27"/>
      <c r="AO7" s="37"/>
      <c r="AP7" s="37"/>
      <c r="AQ7" s="38"/>
      <c r="AR7" s="27"/>
      <c r="AS7" s="37"/>
      <c r="AT7" s="37"/>
      <c r="AU7" s="38"/>
      <c r="AV7" s="27"/>
      <c r="AW7" s="37"/>
      <c r="AX7" s="37"/>
      <c r="AY7" s="38"/>
      <c r="AZ7" s="27"/>
      <c r="BA7" s="37"/>
      <c r="BB7" s="37"/>
      <c r="BC7" s="38"/>
      <c r="BD7" s="27"/>
      <c r="BE7" s="37"/>
      <c r="BF7" s="37"/>
      <c r="BG7" s="38"/>
    </row>
    <row r="8" spans="1:64" s="24" customFormat="1" ht="15.75" hidden="1">
      <c r="A8" s="3" t="e" vm="1">
        <v>#VALUE!</v>
      </c>
      <c r="B8" s="17" t="e" vm="7">
        <v>#VALUE!</v>
      </c>
      <c r="C8" s="27"/>
      <c r="D8" s="37"/>
      <c r="E8" s="37"/>
      <c r="F8" s="38"/>
      <c r="G8" s="27"/>
      <c r="H8" s="37"/>
      <c r="I8" s="37"/>
      <c r="J8" s="38"/>
      <c r="K8" s="27"/>
      <c r="L8" s="37"/>
      <c r="M8" s="37"/>
      <c r="N8" s="38"/>
      <c r="O8" s="38"/>
      <c r="P8" s="27"/>
      <c r="Q8" s="37"/>
      <c r="R8" s="37"/>
      <c r="S8" s="38"/>
      <c r="T8" s="27"/>
      <c r="U8" s="37"/>
      <c r="V8" s="37"/>
      <c r="W8" s="38"/>
      <c r="X8" s="27"/>
      <c r="Y8" s="37"/>
      <c r="Z8" s="37"/>
      <c r="AA8" s="38"/>
      <c r="AB8" s="27"/>
      <c r="AC8" s="37"/>
      <c r="AD8" s="37"/>
      <c r="AE8" s="38"/>
      <c r="AF8" s="27"/>
      <c r="AG8" s="37"/>
      <c r="AH8" s="37"/>
      <c r="AI8" s="38"/>
      <c r="AJ8" s="27"/>
      <c r="AK8" s="37"/>
      <c r="AL8" s="37"/>
      <c r="AM8" s="38"/>
      <c r="AN8" s="27"/>
      <c r="AO8" s="37"/>
      <c r="AP8" s="37"/>
      <c r="AQ8" s="38"/>
      <c r="AR8" s="27"/>
      <c r="AS8" s="37"/>
      <c r="AT8" s="37"/>
      <c r="AU8" s="38"/>
      <c r="AV8" s="27"/>
      <c r="AW8" s="37"/>
      <c r="AX8" s="37"/>
      <c r="AY8" s="38"/>
      <c r="AZ8" s="27"/>
      <c r="BA8" s="37"/>
      <c r="BB8" s="37"/>
      <c r="BC8" s="38"/>
      <c r="BD8" s="27"/>
      <c r="BE8" s="37"/>
      <c r="BF8" s="37"/>
      <c r="BG8" s="38"/>
    </row>
    <row r="9" spans="1:64" s="24" customFormat="1" ht="15.75" hidden="1">
      <c r="A9" s="3" t="e" vm="1">
        <v>#VALUE!</v>
      </c>
      <c r="B9" s="17" t="e" vm="8">
        <v>#VALUE!</v>
      </c>
      <c r="C9" s="27"/>
      <c r="D9" s="37"/>
      <c r="E9" s="37"/>
      <c r="F9" s="38"/>
      <c r="G9" s="27"/>
      <c r="H9" s="37"/>
      <c r="I9" s="37"/>
      <c r="J9" s="38"/>
      <c r="K9" s="27"/>
      <c r="L9" s="37"/>
      <c r="M9" s="37"/>
      <c r="N9" s="38"/>
      <c r="O9" s="38"/>
      <c r="P9" s="27"/>
      <c r="Q9" s="37"/>
      <c r="R9" s="37"/>
      <c r="S9" s="38"/>
      <c r="T9" s="27"/>
      <c r="U9" s="37"/>
      <c r="V9" s="37"/>
      <c r="W9" s="38"/>
      <c r="X9" s="27"/>
      <c r="Y9" s="37"/>
      <c r="Z9" s="37"/>
      <c r="AA9" s="38"/>
      <c r="AB9" s="27"/>
      <c r="AC9" s="37"/>
      <c r="AD9" s="37"/>
      <c r="AE9" s="38"/>
      <c r="AF9" s="27"/>
      <c r="AG9" s="37"/>
      <c r="AH9" s="37"/>
      <c r="AI9" s="38"/>
      <c r="AJ9" s="27"/>
      <c r="AK9" s="37"/>
      <c r="AL9" s="37"/>
      <c r="AM9" s="38"/>
      <c r="AN9" s="27"/>
      <c r="AO9" s="37"/>
      <c r="AP9" s="37"/>
      <c r="AQ9" s="38"/>
      <c r="AR9" s="27"/>
      <c r="AS9" s="37"/>
      <c r="AT9" s="37"/>
      <c r="AU9" s="38"/>
      <c r="AV9" s="27"/>
      <c r="AW9" s="37"/>
      <c r="AX9" s="37"/>
      <c r="AY9" s="38"/>
      <c r="AZ9" s="27"/>
      <c r="BA9" s="37"/>
      <c r="BB9" s="37"/>
      <c r="BC9" s="38"/>
      <c r="BD9" s="27"/>
      <c r="BE9" s="37"/>
      <c r="BF9" s="37"/>
      <c r="BG9" s="38"/>
    </row>
    <row r="10" spans="1:64" s="24" customFormat="1" ht="16.5" hidden="1" thickBot="1">
      <c r="A10" s="3" t="e" vm="1">
        <v>#VALUE!</v>
      </c>
      <c r="B10" s="18" t="e" vm="9">
        <v>#VALUE!</v>
      </c>
      <c r="C10" s="28"/>
      <c r="D10" s="39"/>
      <c r="E10" s="39"/>
      <c r="F10" s="40"/>
      <c r="G10" s="28"/>
      <c r="H10" s="39"/>
      <c r="I10" s="39"/>
      <c r="J10" s="40"/>
      <c r="K10" s="28"/>
      <c r="L10" s="39"/>
      <c r="M10" s="39"/>
      <c r="N10" s="40"/>
      <c r="O10" s="40"/>
      <c r="P10" s="28"/>
      <c r="Q10" s="39"/>
      <c r="R10" s="39"/>
      <c r="S10" s="40"/>
      <c r="T10" s="28"/>
      <c r="U10" s="39"/>
      <c r="V10" s="39"/>
      <c r="W10" s="40"/>
      <c r="X10" s="28"/>
      <c r="Y10" s="39"/>
      <c r="Z10" s="39"/>
      <c r="AA10" s="40"/>
      <c r="AB10" s="28"/>
      <c r="AC10" s="39"/>
      <c r="AD10" s="39"/>
      <c r="AE10" s="40"/>
      <c r="AF10" s="28"/>
      <c r="AG10" s="39"/>
      <c r="AH10" s="39"/>
      <c r="AI10" s="40"/>
      <c r="AJ10" s="28"/>
      <c r="AK10" s="39"/>
      <c r="AL10" s="39"/>
      <c r="AM10" s="40"/>
      <c r="AN10" s="28"/>
      <c r="AO10" s="39"/>
      <c r="AP10" s="39"/>
      <c r="AQ10" s="40"/>
      <c r="AR10" s="28"/>
      <c r="AS10" s="39"/>
      <c r="AT10" s="39"/>
      <c r="AU10" s="40"/>
      <c r="AV10" s="28"/>
      <c r="AW10" s="39"/>
      <c r="AX10" s="39"/>
      <c r="AY10" s="40"/>
      <c r="AZ10" s="28"/>
      <c r="BA10" s="39"/>
      <c r="BB10" s="39"/>
      <c r="BC10" s="40"/>
      <c r="BD10" s="28"/>
      <c r="BE10" s="39"/>
      <c r="BF10" s="39"/>
      <c r="BG10" s="40"/>
    </row>
    <row r="11" spans="1:64" s="24" customFormat="1">
      <c r="A11" s="3" t="e" vm="10">
        <v>#VALUE!</v>
      </c>
      <c r="B11" s="19" t="e" vm="10">
        <v>#VALUE!</v>
      </c>
      <c r="C11" s="29"/>
      <c r="D11" s="41"/>
      <c r="E11" s="41"/>
      <c r="F11" s="42"/>
      <c r="G11" s="29"/>
      <c r="H11" s="41"/>
      <c r="I11" s="41"/>
      <c r="J11" s="42"/>
      <c r="K11" s="29">
        <v>8000</v>
      </c>
      <c r="L11" s="41">
        <v>8000</v>
      </c>
      <c r="M11" s="41">
        <v>8000</v>
      </c>
      <c r="N11" s="42">
        <v>8000</v>
      </c>
      <c r="O11" s="42">
        <v>120000</v>
      </c>
      <c r="P11" s="29"/>
      <c r="Q11" s="41"/>
      <c r="R11" s="41"/>
      <c r="S11" s="42"/>
      <c r="T11" s="29"/>
      <c r="U11" s="41"/>
      <c r="V11" s="41"/>
      <c r="W11" s="42"/>
      <c r="X11" s="29"/>
      <c r="Y11" s="41"/>
      <c r="Z11" s="41"/>
      <c r="AA11" s="42"/>
      <c r="AB11" s="29"/>
      <c r="AC11" s="41"/>
      <c r="AD11" s="41"/>
      <c r="AE11" s="42"/>
      <c r="AF11" s="29"/>
      <c r="AG11" s="41"/>
      <c r="AH11" s="41"/>
      <c r="AI11" s="42"/>
      <c r="AJ11" s="29"/>
      <c r="AK11" s="41"/>
      <c r="AL11" s="41"/>
      <c r="AM11" s="42"/>
      <c r="AN11" s="29"/>
      <c r="AO11" s="41"/>
      <c r="AP11" s="41"/>
      <c r="AQ11" s="42"/>
      <c r="AR11" s="29"/>
      <c r="AS11" s="41"/>
      <c r="AT11" s="41"/>
      <c r="AU11" s="42"/>
      <c r="AV11" s="29"/>
      <c r="AW11" s="41"/>
      <c r="AX11" s="41"/>
      <c r="AY11" s="42"/>
      <c r="AZ11" s="29"/>
      <c r="BA11" s="41"/>
      <c r="BB11" s="41"/>
      <c r="BC11" s="42"/>
      <c r="BD11" s="29">
        <v>5356</v>
      </c>
      <c r="BE11" s="29">
        <v>5356</v>
      </c>
      <c r="BF11" s="29">
        <v>5356</v>
      </c>
      <c r="BG11" s="29">
        <v>5356</v>
      </c>
    </row>
    <row r="12" spans="1:64" s="24" customFormat="1">
      <c r="A12" s="3" t="e" vm="10">
        <v>#VALUE!</v>
      </c>
      <c r="B12" s="17" t="e" vm="11">
        <v>#VALUE!</v>
      </c>
      <c r="C12" s="26"/>
      <c r="D12" s="37"/>
      <c r="E12" s="37"/>
      <c r="F12" s="38"/>
      <c r="G12" s="26"/>
      <c r="H12" s="37"/>
      <c r="I12" s="37"/>
      <c r="J12" s="38"/>
      <c r="K12" s="26">
        <v>8000</v>
      </c>
      <c r="L12" s="37">
        <v>8000</v>
      </c>
      <c r="M12" s="37">
        <v>8000</v>
      </c>
      <c r="N12" s="38">
        <v>8000</v>
      </c>
      <c r="O12" s="38">
        <v>120000</v>
      </c>
      <c r="P12" s="26"/>
      <c r="Q12" s="37"/>
      <c r="R12" s="37"/>
      <c r="S12" s="38"/>
      <c r="T12" s="26"/>
      <c r="U12" s="37"/>
      <c r="V12" s="37"/>
      <c r="W12" s="38"/>
      <c r="X12" s="26"/>
      <c r="Y12" s="37"/>
      <c r="Z12" s="37"/>
      <c r="AA12" s="38"/>
      <c r="AB12" s="26"/>
      <c r="AC12" s="37"/>
      <c r="AD12" s="37"/>
      <c r="AE12" s="38"/>
      <c r="AF12" s="26"/>
      <c r="AG12" s="37"/>
      <c r="AH12" s="37"/>
      <c r="AI12" s="38"/>
      <c r="AJ12" s="26"/>
      <c r="AK12" s="37"/>
      <c r="AL12" s="37"/>
      <c r="AM12" s="38"/>
      <c r="AN12" s="26"/>
      <c r="AO12" s="37"/>
      <c r="AP12" s="37"/>
      <c r="AQ12" s="38"/>
      <c r="AR12" s="26"/>
      <c r="AS12" s="37"/>
      <c r="AT12" s="37"/>
      <c r="AU12" s="38"/>
      <c r="AV12" s="26"/>
      <c r="AW12" s="37"/>
      <c r="AX12" s="37"/>
      <c r="AY12" s="38"/>
      <c r="AZ12" s="26"/>
      <c r="BA12" s="37"/>
      <c r="BB12" s="37"/>
      <c r="BC12" s="38"/>
      <c r="BD12" s="29">
        <v>5356</v>
      </c>
      <c r="BE12" s="29">
        <v>5356</v>
      </c>
      <c r="BF12" s="29">
        <v>5356</v>
      </c>
      <c r="BG12" s="29">
        <v>5356</v>
      </c>
    </row>
    <row r="13" spans="1:64" s="24" customFormat="1">
      <c r="A13" s="3" t="e" vm="10">
        <v>#VALUE!</v>
      </c>
      <c r="B13" s="17" t="e" vm="12">
        <v>#VALUE!</v>
      </c>
      <c r="C13" s="26"/>
      <c r="D13" s="37"/>
      <c r="E13" s="37"/>
      <c r="F13" s="38"/>
      <c r="G13" s="26"/>
      <c r="H13" s="37"/>
      <c r="I13" s="37"/>
      <c r="J13" s="38"/>
      <c r="K13" s="26">
        <v>8000</v>
      </c>
      <c r="L13" s="37">
        <v>8000</v>
      </c>
      <c r="M13" s="37">
        <v>8000</v>
      </c>
      <c r="N13" s="38">
        <v>8000</v>
      </c>
      <c r="O13" s="38">
        <v>120000</v>
      </c>
      <c r="P13" s="26"/>
      <c r="Q13" s="37"/>
      <c r="R13" s="37"/>
      <c r="S13" s="38"/>
      <c r="T13" s="26"/>
      <c r="U13" s="37"/>
      <c r="V13" s="37"/>
      <c r="W13" s="38"/>
      <c r="X13" s="26"/>
      <c r="Y13" s="37"/>
      <c r="Z13" s="37"/>
      <c r="AA13" s="38"/>
      <c r="AB13" s="26"/>
      <c r="AC13" s="37"/>
      <c r="AD13" s="37"/>
      <c r="AE13" s="38"/>
      <c r="AF13" s="26"/>
      <c r="AG13" s="37"/>
      <c r="AH13" s="37"/>
      <c r="AI13" s="38"/>
      <c r="AJ13" s="26"/>
      <c r="AK13" s="37"/>
      <c r="AL13" s="37"/>
      <c r="AM13" s="38"/>
      <c r="AN13" s="26"/>
      <c r="AO13" s="37"/>
      <c r="AP13" s="37"/>
      <c r="AQ13" s="38"/>
      <c r="AR13" s="26"/>
      <c r="AS13" s="37"/>
      <c r="AT13" s="37"/>
      <c r="AU13" s="38"/>
      <c r="AV13" s="26"/>
      <c r="AW13" s="37"/>
      <c r="AX13" s="37"/>
      <c r="AY13" s="38"/>
      <c r="AZ13" s="26"/>
      <c r="BA13" s="37"/>
      <c r="BB13" s="37"/>
      <c r="BC13" s="38"/>
      <c r="BD13" s="29">
        <v>5356</v>
      </c>
      <c r="BE13" s="29">
        <v>5356</v>
      </c>
      <c r="BF13" s="29">
        <v>5356</v>
      </c>
      <c r="BG13" s="29">
        <v>5356</v>
      </c>
    </row>
    <row r="14" spans="1:64" s="24" customFormat="1">
      <c r="A14" s="3" t="e" vm="10">
        <v>#VALUE!</v>
      </c>
      <c r="B14" s="20" t="e" vm="13">
        <v>#VALUE!</v>
      </c>
      <c r="C14" s="30"/>
      <c r="D14" s="43"/>
      <c r="E14" s="43"/>
      <c r="F14" s="44"/>
      <c r="G14" s="30"/>
      <c r="H14" s="43"/>
      <c r="I14" s="43"/>
      <c r="J14" s="44"/>
      <c r="K14" s="30">
        <v>8000</v>
      </c>
      <c r="L14" s="43">
        <v>8000</v>
      </c>
      <c r="M14" s="43">
        <v>8000</v>
      </c>
      <c r="N14" s="44">
        <v>8000</v>
      </c>
      <c r="O14" s="44">
        <v>120000</v>
      </c>
      <c r="P14" s="30"/>
      <c r="Q14" s="43"/>
      <c r="R14" s="43"/>
      <c r="S14" s="44"/>
      <c r="T14" s="30"/>
      <c r="U14" s="43"/>
      <c r="V14" s="43"/>
      <c r="W14" s="44"/>
      <c r="X14" s="30"/>
      <c r="Y14" s="43"/>
      <c r="Z14" s="43"/>
      <c r="AA14" s="44"/>
      <c r="AB14" s="30"/>
      <c r="AC14" s="43"/>
      <c r="AD14" s="43"/>
      <c r="AE14" s="44"/>
      <c r="AF14" s="30"/>
      <c r="AG14" s="43"/>
      <c r="AH14" s="43"/>
      <c r="AI14" s="44"/>
      <c r="AJ14" s="30"/>
      <c r="AK14" s="43"/>
      <c r="AL14" s="43"/>
      <c r="AM14" s="44"/>
      <c r="AN14" s="30"/>
      <c r="AO14" s="43"/>
      <c r="AP14" s="43"/>
      <c r="AQ14" s="44"/>
      <c r="AR14" s="30"/>
      <c r="AS14" s="43"/>
      <c r="AT14" s="43"/>
      <c r="AU14" s="44"/>
      <c r="AV14" s="30"/>
      <c r="AW14" s="43"/>
      <c r="AX14" s="43"/>
      <c r="AY14" s="44"/>
      <c r="AZ14" s="30"/>
      <c r="BA14" s="43"/>
      <c r="BB14" s="43"/>
      <c r="BC14" s="44"/>
      <c r="BD14" s="29">
        <v>5356</v>
      </c>
      <c r="BE14" s="29">
        <v>5356</v>
      </c>
      <c r="BF14" s="29">
        <v>5356</v>
      </c>
      <c r="BG14" s="29">
        <v>5356</v>
      </c>
    </row>
    <row r="15" spans="1:64" s="24" customFormat="1" ht="15.75" hidden="1" thickBot="1">
      <c r="A15" s="3" t="e" vm="14">
        <v>#VALUE!</v>
      </c>
      <c r="B15" s="21" t="e" vm="15">
        <v>#VALUE!</v>
      </c>
      <c r="C15" s="31"/>
      <c r="D15" s="45"/>
      <c r="E15" s="45"/>
      <c r="F15" s="46"/>
      <c r="G15" s="31"/>
      <c r="H15" s="45"/>
      <c r="I15" s="45"/>
      <c r="J15" s="46"/>
      <c r="K15" s="31"/>
      <c r="L15" s="45"/>
      <c r="M15" s="45"/>
      <c r="N15" s="46"/>
      <c r="O15" s="46"/>
      <c r="P15" s="31"/>
      <c r="Q15" s="45"/>
      <c r="R15" s="45"/>
      <c r="S15" s="46"/>
      <c r="T15" s="31"/>
      <c r="U15" s="45"/>
      <c r="V15" s="45"/>
      <c r="W15" s="46"/>
      <c r="X15" s="31"/>
      <c r="Y15" s="45"/>
      <c r="Z15" s="45"/>
      <c r="AA15" s="46"/>
      <c r="AB15" s="31"/>
      <c r="AC15" s="45"/>
      <c r="AD15" s="45"/>
      <c r="AE15" s="46"/>
      <c r="AF15" s="31"/>
      <c r="AG15" s="45"/>
      <c r="AH15" s="45"/>
      <c r="AI15" s="46"/>
      <c r="AJ15" s="31"/>
      <c r="AK15" s="45"/>
      <c r="AL15" s="45"/>
      <c r="AM15" s="46"/>
      <c r="AN15" s="31"/>
      <c r="AO15" s="45"/>
      <c r="AP15" s="45"/>
      <c r="AQ15" s="46"/>
      <c r="AR15" s="31"/>
      <c r="AS15" s="45"/>
      <c r="AT15" s="45"/>
      <c r="AU15" s="46"/>
      <c r="AV15" s="31"/>
      <c r="AW15" s="45"/>
      <c r="AX15" s="45"/>
      <c r="AY15" s="46"/>
      <c r="AZ15" s="31"/>
      <c r="BA15" s="45"/>
      <c r="BB15" s="45"/>
      <c r="BC15" s="46"/>
      <c r="BD15" s="31"/>
      <c r="BE15" s="45"/>
      <c r="BF15" s="45"/>
      <c r="BG15" s="46"/>
    </row>
    <row r="16" spans="1:64" s="24" customFormat="1" hidden="1">
      <c r="A16" s="3" t="e" vm="16">
        <v>#VALUE!</v>
      </c>
      <c r="B16" s="19" t="e" vm="17">
        <v>#VALUE!</v>
      </c>
      <c r="C16" s="29"/>
      <c r="D16" s="41"/>
      <c r="E16" s="41"/>
      <c r="F16" s="42"/>
      <c r="G16" s="29"/>
      <c r="H16" s="41"/>
      <c r="I16" s="41"/>
      <c r="J16" s="42"/>
      <c r="K16" s="29"/>
      <c r="L16" s="41"/>
      <c r="M16" s="41"/>
      <c r="N16" s="42"/>
      <c r="O16" s="42"/>
      <c r="P16" s="29"/>
      <c r="Q16" s="41"/>
      <c r="R16" s="41"/>
      <c r="S16" s="42"/>
      <c r="T16" s="29"/>
      <c r="U16" s="41"/>
      <c r="V16" s="41"/>
      <c r="W16" s="42"/>
      <c r="X16" s="29"/>
      <c r="Y16" s="41"/>
      <c r="Z16" s="41"/>
      <c r="AA16" s="42"/>
      <c r="AB16" s="29"/>
      <c r="AC16" s="41"/>
      <c r="AD16" s="41"/>
      <c r="AE16" s="42"/>
      <c r="AF16" s="29"/>
      <c r="AG16" s="41"/>
      <c r="AH16" s="41"/>
      <c r="AI16" s="42"/>
      <c r="AJ16" s="29"/>
      <c r="AK16" s="41"/>
      <c r="AL16" s="41"/>
      <c r="AM16" s="42"/>
      <c r="AN16" s="29"/>
      <c r="AO16" s="41"/>
      <c r="AP16" s="41"/>
      <c r="AQ16" s="42"/>
      <c r="AR16" s="29"/>
      <c r="AS16" s="41"/>
      <c r="AT16" s="41"/>
      <c r="AU16" s="42"/>
      <c r="AV16" s="29"/>
      <c r="AW16" s="41"/>
      <c r="AX16" s="41"/>
      <c r="AY16" s="42"/>
      <c r="AZ16" s="29"/>
      <c r="BA16" s="41"/>
      <c r="BB16" s="41"/>
      <c r="BC16" s="42"/>
      <c r="BD16" s="29"/>
      <c r="BE16" s="41"/>
      <c r="BF16" s="41"/>
      <c r="BG16" s="42"/>
    </row>
    <row r="17" spans="1:59" s="24" customFormat="1" hidden="1">
      <c r="A17" s="3" t="e" vm="16">
        <v>#VALUE!</v>
      </c>
      <c r="B17" s="17" t="e" vm="18">
        <v>#VALUE!</v>
      </c>
      <c r="C17" s="26"/>
      <c r="D17" s="37"/>
      <c r="E17" s="37"/>
      <c r="F17" s="38"/>
      <c r="G17" s="26"/>
      <c r="H17" s="37"/>
      <c r="I17" s="37"/>
      <c r="J17" s="38"/>
      <c r="K17" s="26"/>
      <c r="L17" s="37"/>
      <c r="M17" s="37"/>
      <c r="N17" s="38"/>
      <c r="O17" s="38"/>
      <c r="P17" s="26"/>
      <c r="Q17" s="37"/>
      <c r="R17" s="37"/>
      <c r="S17" s="38"/>
      <c r="T17" s="26"/>
      <c r="U17" s="37"/>
      <c r="V17" s="37"/>
      <c r="W17" s="38"/>
      <c r="X17" s="26"/>
      <c r="Y17" s="37"/>
      <c r="Z17" s="37"/>
      <c r="AA17" s="38"/>
      <c r="AB17" s="26"/>
      <c r="AC17" s="37"/>
      <c r="AD17" s="37"/>
      <c r="AE17" s="38"/>
      <c r="AF17" s="26"/>
      <c r="AG17" s="37"/>
      <c r="AH17" s="37"/>
      <c r="AI17" s="38"/>
      <c r="AJ17" s="26"/>
      <c r="AK17" s="37"/>
      <c r="AL17" s="37"/>
      <c r="AM17" s="38"/>
      <c r="AN17" s="26"/>
      <c r="AO17" s="37"/>
      <c r="AP17" s="37"/>
      <c r="AQ17" s="38"/>
      <c r="AR17" s="26"/>
      <c r="AS17" s="37"/>
      <c r="AT17" s="37"/>
      <c r="AU17" s="38"/>
      <c r="AV17" s="26"/>
      <c r="AW17" s="37"/>
      <c r="AX17" s="37"/>
      <c r="AY17" s="38"/>
      <c r="AZ17" s="26"/>
      <c r="BA17" s="37"/>
      <c r="BB17" s="37"/>
      <c r="BC17" s="38"/>
      <c r="BD17" s="26"/>
      <c r="BE17" s="37"/>
      <c r="BF17" s="37"/>
      <c r="BG17" s="38"/>
    </row>
    <row r="18" spans="1:59" s="24" customFormat="1" hidden="1">
      <c r="A18" s="3" t="e" vm="16">
        <v>#VALUE!</v>
      </c>
      <c r="B18" s="17" t="e" vm="19">
        <v>#VALUE!</v>
      </c>
      <c r="C18" s="26"/>
      <c r="D18" s="37"/>
      <c r="E18" s="37"/>
      <c r="F18" s="38"/>
      <c r="G18" s="26"/>
      <c r="H18" s="37"/>
      <c r="I18" s="37"/>
      <c r="J18" s="38"/>
      <c r="K18" s="26"/>
      <c r="L18" s="37"/>
      <c r="M18" s="37"/>
      <c r="N18" s="38"/>
      <c r="O18" s="38"/>
      <c r="P18" s="26"/>
      <c r="Q18" s="37"/>
      <c r="R18" s="37"/>
      <c r="S18" s="38"/>
      <c r="T18" s="26"/>
      <c r="U18" s="37"/>
      <c r="V18" s="37"/>
      <c r="W18" s="38"/>
      <c r="X18" s="26"/>
      <c r="Y18" s="37"/>
      <c r="Z18" s="37"/>
      <c r="AA18" s="38"/>
      <c r="AB18" s="26"/>
      <c r="AC18" s="37"/>
      <c r="AD18" s="37"/>
      <c r="AE18" s="38"/>
      <c r="AF18" s="26"/>
      <c r="AG18" s="37"/>
      <c r="AH18" s="37"/>
      <c r="AI18" s="38"/>
      <c r="AJ18" s="26"/>
      <c r="AK18" s="37"/>
      <c r="AL18" s="37"/>
      <c r="AM18" s="38"/>
      <c r="AN18" s="26"/>
      <c r="AO18" s="37"/>
      <c r="AP18" s="37"/>
      <c r="AQ18" s="38"/>
      <c r="AR18" s="26"/>
      <c r="AS18" s="37"/>
      <c r="AT18" s="37"/>
      <c r="AU18" s="38"/>
      <c r="AV18" s="26"/>
      <c r="AW18" s="37"/>
      <c r="AX18" s="37"/>
      <c r="AY18" s="38"/>
      <c r="AZ18" s="26"/>
      <c r="BA18" s="37"/>
      <c r="BB18" s="37"/>
      <c r="BC18" s="38"/>
      <c r="BD18" s="26"/>
      <c r="BE18" s="37"/>
      <c r="BF18" s="37"/>
      <c r="BG18" s="38"/>
    </row>
    <row r="19" spans="1:59" s="24" customFormat="1" hidden="1">
      <c r="A19" s="3" t="e" vm="16">
        <v>#VALUE!</v>
      </c>
      <c r="B19" s="17" t="e" vm="20">
        <v>#VALUE!</v>
      </c>
      <c r="C19" s="26"/>
      <c r="D19" s="37"/>
      <c r="E19" s="37"/>
      <c r="F19" s="38"/>
      <c r="G19" s="26"/>
      <c r="H19" s="37"/>
      <c r="I19" s="37"/>
      <c r="J19" s="38"/>
      <c r="K19" s="26"/>
      <c r="L19" s="37"/>
      <c r="M19" s="37"/>
      <c r="N19" s="38"/>
      <c r="O19" s="38"/>
      <c r="P19" s="26"/>
      <c r="Q19" s="37"/>
      <c r="R19" s="37"/>
      <c r="S19" s="38"/>
      <c r="T19" s="26"/>
      <c r="U19" s="37"/>
      <c r="V19" s="37"/>
      <c r="W19" s="38"/>
      <c r="X19" s="26"/>
      <c r="Y19" s="37"/>
      <c r="Z19" s="37"/>
      <c r="AA19" s="38"/>
      <c r="AB19" s="26"/>
      <c r="AC19" s="37"/>
      <c r="AD19" s="37"/>
      <c r="AE19" s="38"/>
      <c r="AF19" s="26"/>
      <c r="AG19" s="37"/>
      <c r="AH19" s="37"/>
      <c r="AI19" s="38"/>
      <c r="AJ19" s="26"/>
      <c r="AK19" s="37"/>
      <c r="AL19" s="37"/>
      <c r="AM19" s="38"/>
      <c r="AN19" s="26"/>
      <c r="AO19" s="37"/>
      <c r="AP19" s="37"/>
      <c r="AQ19" s="38"/>
      <c r="AR19" s="26"/>
      <c r="AS19" s="37"/>
      <c r="AT19" s="37"/>
      <c r="AU19" s="38"/>
      <c r="AV19" s="26"/>
      <c r="AW19" s="37"/>
      <c r="AX19" s="37"/>
      <c r="AY19" s="38"/>
      <c r="AZ19" s="26"/>
      <c r="BA19" s="37"/>
      <c r="BB19" s="37"/>
      <c r="BC19" s="38"/>
      <c r="BD19" s="26"/>
      <c r="BE19" s="37"/>
      <c r="BF19" s="37"/>
      <c r="BG19" s="38"/>
    </row>
    <row r="20" spans="1:59" s="24" customFormat="1" hidden="1">
      <c r="A20" s="3" t="e" vm="16">
        <v>#VALUE!</v>
      </c>
      <c r="B20" s="20" t="e" vm="21">
        <v>#VALUE!</v>
      </c>
      <c r="C20" s="30"/>
      <c r="D20" s="43"/>
      <c r="E20" s="43"/>
      <c r="F20" s="44"/>
      <c r="G20" s="30"/>
      <c r="H20" s="43"/>
      <c r="I20" s="43"/>
      <c r="J20" s="44"/>
      <c r="K20" s="30"/>
      <c r="L20" s="43"/>
      <c r="M20" s="43"/>
      <c r="N20" s="44"/>
      <c r="O20" s="44"/>
      <c r="P20" s="30"/>
      <c r="Q20" s="43"/>
      <c r="R20" s="43"/>
      <c r="S20" s="44"/>
      <c r="T20" s="30"/>
      <c r="U20" s="43"/>
      <c r="V20" s="43"/>
      <c r="W20" s="44"/>
      <c r="X20" s="30"/>
      <c r="Y20" s="43"/>
      <c r="Z20" s="43"/>
      <c r="AA20" s="44"/>
      <c r="AB20" s="30"/>
      <c r="AC20" s="43"/>
      <c r="AD20" s="43"/>
      <c r="AE20" s="44"/>
      <c r="AF20" s="30"/>
      <c r="AG20" s="43"/>
      <c r="AH20" s="43"/>
      <c r="AI20" s="44"/>
      <c r="AJ20" s="30"/>
      <c r="AK20" s="43"/>
      <c r="AL20" s="43"/>
      <c r="AM20" s="44"/>
      <c r="AN20" s="30"/>
      <c r="AO20" s="43"/>
      <c r="AP20" s="43"/>
      <c r="AQ20" s="44"/>
      <c r="AR20" s="30"/>
      <c r="AS20" s="43"/>
      <c r="AT20" s="43"/>
      <c r="AU20" s="44"/>
      <c r="AV20" s="30"/>
      <c r="AW20" s="43"/>
      <c r="AX20" s="43"/>
      <c r="AY20" s="44"/>
      <c r="AZ20" s="30"/>
      <c r="BA20" s="43"/>
      <c r="BB20" s="43"/>
      <c r="BC20" s="44"/>
      <c r="BD20" s="30"/>
      <c r="BE20" s="43"/>
      <c r="BF20" s="43"/>
      <c r="BG20" s="44"/>
    </row>
    <row r="21" spans="1:59" s="24" customFormat="1" hidden="1">
      <c r="A21" s="3" t="e" vm="22">
        <v>#VALUE!</v>
      </c>
      <c r="B21" s="16" t="e" vm="23">
        <v>#VALUE!</v>
      </c>
      <c r="C21" s="32"/>
      <c r="D21" s="35"/>
      <c r="E21" s="35"/>
      <c r="F21" s="36"/>
      <c r="G21" s="32"/>
      <c r="H21" s="35"/>
      <c r="I21" s="35"/>
      <c r="J21" s="36"/>
      <c r="K21" s="32">
        <v>8000</v>
      </c>
      <c r="L21" s="35">
        <v>8000</v>
      </c>
      <c r="M21" s="35">
        <v>8000</v>
      </c>
      <c r="N21" s="36">
        <v>8000</v>
      </c>
      <c r="O21" s="36">
        <v>120000</v>
      </c>
      <c r="P21" s="32"/>
      <c r="Q21" s="35"/>
      <c r="R21" s="35"/>
      <c r="S21" s="36"/>
      <c r="T21" s="32"/>
      <c r="U21" s="35"/>
      <c r="V21" s="35"/>
      <c r="W21" s="36"/>
      <c r="X21" s="32"/>
      <c r="Y21" s="35"/>
      <c r="Z21" s="35"/>
      <c r="AA21" s="36"/>
      <c r="AB21" s="32"/>
      <c r="AC21" s="35"/>
      <c r="AD21" s="35"/>
      <c r="AE21" s="36"/>
      <c r="AF21" s="32"/>
      <c r="AG21" s="35"/>
      <c r="AH21" s="35"/>
      <c r="AI21" s="36"/>
      <c r="AJ21" s="32">
        <v>4500</v>
      </c>
      <c r="AK21" s="35">
        <v>4500</v>
      </c>
      <c r="AL21" s="35">
        <v>4500</v>
      </c>
      <c r="AM21" s="36">
        <v>4700</v>
      </c>
      <c r="AN21" s="32"/>
      <c r="AO21" s="35"/>
      <c r="AP21" s="35"/>
      <c r="AQ21" s="36"/>
      <c r="AR21" s="32"/>
      <c r="AS21" s="35"/>
      <c r="AT21" s="35"/>
      <c r="AU21" s="36"/>
      <c r="AV21" s="32"/>
      <c r="AW21" s="35"/>
      <c r="AX21" s="35"/>
      <c r="AY21" s="36"/>
      <c r="AZ21" s="32"/>
      <c r="BA21" s="35"/>
      <c r="BB21" s="35"/>
      <c r="BC21" s="36"/>
      <c r="BD21" s="32"/>
      <c r="BE21" s="35"/>
      <c r="BF21" s="35"/>
      <c r="BG21" s="36"/>
    </row>
    <row r="22" spans="1:59" s="24" customFormat="1" hidden="1">
      <c r="A22" s="3" t="e" vm="22">
        <v>#VALUE!</v>
      </c>
      <c r="B22" s="17" t="e" vm="24">
        <v>#VALUE!</v>
      </c>
      <c r="C22" s="26"/>
      <c r="D22" s="37"/>
      <c r="E22" s="37"/>
      <c r="F22" s="38"/>
      <c r="G22" s="26"/>
      <c r="H22" s="37"/>
      <c r="I22" s="37"/>
      <c r="J22" s="38"/>
      <c r="K22" s="26">
        <v>8000</v>
      </c>
      <c r="L22" s="37">
        <v>8000</v>
      </c>
      <c r="M22" s="37">
        <v>8000</v>
      </c>
      <c r="N22" s="38">
        <v>8000</v>
      </c>
      <c r="O22" s="38">
        <v>120000</v>
      </c>
      <c r="P22" s="26"/>
      <c r="Q22" s="37"/>
      <c r="R22" s="37"/>
      <c r="S22" s="38"/>
      <c r="T22" s="26"/>
      <c r="U22" s="37"/>
      <c r="V22" s="37"/>
      <c r="W22" s="38"/>
      <c r="X22" s="26"/>
      <c r="Y22" s="37"/>
      <c r="Z22" s="37"/>
      <c r="AA22" s="38"/>
      <c r="AB22" s="26"/>
      <c r="AC22" s="37"/>
      <c r="AD22" s="37"/>
      <c r="AE22" s="38"/>
      <c r="AF22" s="26"/>
      <c r="AG22" s="37"/>
      <c r="AH22" s="37"/>
      <c r="AI22" s="38"/>
      <c r="AJ22" s="26">
        <v>4500</v>
      </c>
      <c r="AK22" s="37">
        <v>4500</v>
      </c>
      <c r="AL22" s="37">
        <v>4500</v>
      </c>
      <c r="AM22" s="38">
        <v>4700</v>
      </c>
      <c r="AN22" s="26"/>
      <c r="AO22" s="37"/>
      <c r="AP22" s="37"/>
      <c r="AQ22" s="38"/>
      <c r="AR22" s="26"/>
      <c r="AS22" s="37"/>
      <c r="AT22" s="37"/>
      <c r="AU22" s="38"/>
      <c r="AV22" s="26"/>
      <c r="AW22" s="37"/>
      <c r="AX22" s="37"/>
      <c r="AY22" s="38"/>
      <c r="AZ22" s="26"/>
      <c r="BA22" s="37"/>
      <c r="BB22" s="37"/>
      <c r="BC22" s="38"/>
      <c r="BD22" s="26"/>
      <c r="BE22" s="37"/>
      <c r="BF22" s="37"/>
      <c r="BG22" s="38"/>
    </row>
    <row r="23" spans="1:59" s="24" customFormat="1" hidden="1">
      <c r="A23" s="3" t="e" vm="22">
        <v>#VALUE!</v>
      </c>
      <c r="B23" s="17" t="e" vm="25">
        <v>#VALUE!</v>
      </c>
      <c r="C23" s="26"/>
      <c r="D23" s="37"/>
      <c r="E23" s="37"/>
      <c r="F23" s="38"/>
      <c r="G23" s="26"/>
      <c r="H23" s="37"/>
      <c r="I23" s="37"/>
      <c r="J23" s="38"/>
      <c r="K23" s="26">
        <v>8000</v>
      </c>
      <c r="L23" s="37">
        <v>8000</v>
      </c>
      <c r="M23" s="37">
        <v>8000</v>
      </c>
      <c r="N23" s="38">
        <v>8000</v>
      </c>
      <c r="O23" s="38">
        <v>120000</v>
      </c>
      <c r="P23" s="26"/>
      <c r="Q23" s="37"/>
      <c r="R23" s="37"/>
      <c r="S23" s="38"/>
      <c r="T23" s="26"/>
      <c r="U23" s="37"/>
      <c r="V23" s="37"/>
      <c r="W23" s="38"/>
      <c r="X23" s="26"/>
      <c r="Y23" s="37"/>
      <c r="Z23" s="37"/>
      <c r="AA23" s="38"/>
      <c r="AB23" s="26"/>
      <c r="AC23" s="37"/>
      <c r="AD23" s="37"/>
      <c r="AE23" s="38"/>
      <c r="AF23" s="26"/>
      <c r="AG23" s="37"/>
      <c r="AH23" s="37"/>
      <c r="AI23" s="38"/>
      <c r="AJ23" s="26">
        <v>4500</v>
      </c>
      <c r="AK23" s="37">
        <v>4500</v>
      </c>
      <c r="AL23" s="37">
        <v>4500</v>
      </c>
      <c r="AM23" s="38">
        <v>4700</v>
      </c>
      <c r="AN23" s="26"/>
      <c r="AO23" s="37"/>
      <c r="AP23" s="37"/>
      <c r="AQ23" s="38"/>
      <c r="AR23" s="26"/>
      <c r="AS23" s="37"/>
      <c r="AT23" s="37"/>
      <c r="AU23" s="38"/>
      <c r="AV23" s="26"/>
      <c r="AW23" s="37"/>
      <c r="AX23" s="37"/>
      <c r="AY23" s="38"/>
      <c r="AZ23" s="26"/>
      <c r="BA23" s="37"/>
      <c r="BB23" s="37"/>
      <c r="BC23" s="38"/>
      <c r="BD23" s="26"/>
      <c r="BE23" s="37"/>
      <c r="BF23" s="37"/>
      <c r="BG23" s="38"/>
    </row>
    <row r="24" spans="1:59" s="24" customFormat="1" hidden="1">
      <c r="A24" s="3" t="e" vm="22">
        <v>#VALUE!</v>
      </c>
      <c r="B24" s="17" t="e" vm="26">
        <v>#VALUE!</v>
      </c>
      <c r="C24" s="26"/>
      <c r="D24" s="37"/>
      <c r="E24" s="37"/>
      <c r="F24" s="38"/>
      <c r="G24" s="26"/>
      <c r="H24" s="37"/>
      <c r="I24" s="37"/>
      <c r="J24" s="38"/>
      <c r="K24" s="26">
        <v>8000</v>
      </c>
      <c r="L24" s="37">
        <v>8000</v>
      </c>
      <c r="M24" s="37">
        <v>8000</v>
      </c>
      <c r="N24" s="38">
        <v>8000</v>
      </c>
      <c r="O24" s="38">
        <v>120000</v>
      </c>
      <c r="P24" s="26"/>
      <c r="Q24" s="37"/>
      <c r="R24" s="37"/>
      <c r="S24" s="38"/>
      <c r="T24" s="26"/>
      <c r="U24" s="37"/>
      <c r="V24" s="37"/>
      <c r="W24" s="38"/>
      <c r="X24" s="26"/>
      <c r="Y24" s="37"/>
      <c r="Z24" s="37"/>
      <c r="AA24" s="38"/>
      <c r="AB24" s="26"/>
      <c r="AC24" s="37"/>
      <c r="AD24" s="37"/>
      <c r="AE24" s="38"/>
      <c r="AF24" s="26"/>
      <c r="AG24" s="37"/>
      <c r="AH24" s="37"/>
      <c r="AI24" s="38"/>
      <c r="AJ24" s="26">
        <v>4500</v>
      </c>
      <c r="AK24" s="37">
        <v>4500</v>
      </c>
      <c r="AL24" s="37">
        <v>4500</v>
      </c>
      <c r="AM24" s="38">
        <v>4700</v>
      </c>
      <c r="AN24" s="26"/>
      <c r="AO24" s="37"/>
      <c r="AP24" s="37"/>
      <c r="AQ24" s="38"/>
      <c r="AR24" s="26"/>
      <c r="AS24" s="37"/>
      <c r="AT24" s="37"/>
      <c r="AU24" s="38"/>
      <c r="AV24" s="26"/>
      <c r="AW24" s="37"/>
      <c r="AX24" s="37"/>
      <c r="AY24" s="38"/>
      <c r="AZ24" s="26"/>
      <c r="BA24" s="37"/>
      <c r="BB24" s="37"/>
      <c r="BC24" s="38"/>
      <c r="BD24" s="26"/>
      <c r="BE24" s="37"/>
      <c r="BF24" s="37"/>
      <c r="BG24" s="38"/>
    </row>
    <row r="25" spans="1:59" s="24" customFormat="1" hidden="1">
      <c r="A25" s="3" t="e" vm="22">
        <v>#VALUE!</v>
      </c>
      <c r="B25" s="17" t="e" vm="27">
        <v>#VALUE!</v>
      </c>
      <c r="C25" s="26"/>
      <c r="D25" s="37"/>
      <c r="E25" s="37"/>
      <c r="F25" s="38"/>
      <c r="G25" s="26"/>
      <c r="H25" s="37"/>
      <c r="I25" s="37"/>
      <c r="J25" s="38"/>
      <c r="K25" s="26">
        <v>8000</v>
      </c>
      <c r="L25" s="37">
        <v>8000</v>
      </c>
      <c r="M25" s="37">
        <v>8000</v>
      </c>
      <c r="N25" s="38">
        <v>8000</v>
      </c>
      <c r="O25" s="38">
        <v>120000</v>
      </c>
      <c r="P25" s="26"/>
      <c r="Q25" s="37"/>
      <c r="R25" s="37"/>
      <c r="S25" s="38"/>
      <c r="T25" s="26"/>
      <c r="U25" s="37"/>
      <c r="V25" s="37"/>
      <c r="W25" s="38"/>
      <c r="X25" s="26"/>
      <c r="Y25" s="37"/>
      <c r="Z25" s="37"/>
      <c r="AA25" s="38"/>
      <c r="AB25" s="26"/>
      <c r="AC25" s="37"/>
      <c r="AD25" s="37"/>
      <c r="AE25" s="38"/>
      <c r="AF25" s="26"/>
      <c r="AG25" s="37"/>
      <c r="AH25" s="37"/>
      <c r="AI25" s="38"/>
      <c r="AJ25" s="26">
        <v>4500</v>
      </c>
      <c r="AK25" s="37">
        <v>4500</v>
      </c>
      <c r="AL25" s="37">
        <v>4500</v>
      </c>
      <c r="AM25" s="38">
        <v>4700</v>
      </c>
      <c r="AN25" s="26"/>
      <c r="AO25" s="37"/>
      <c r="AP25" s="37"/>
      <c r="AQ25" s="38"/>
      <c r="AR25" s="26"/>
      <c r="AS25" s="37"/>
      <c r="AT25" s="37"/>
      <c r="AU25" s="38"/>
      <c r="AV25" s="26"/>
      <c r="AW25" s="37"/>
      <c r="AX25" s="37"/>
      <c r="AY25" s="38"/>
      <c r="AZ25" s="26"/>
      <c r="BA25" s="37"/>
      <c r="BB25" s="37"/>
      <c r="BC25" s="38"/>
      <c r="BD25" s="26"/>
      <c r="BE25" s="37"/>
      <c r="BF25" s="37"/>
      <c r="BG25" s="38"/>
    </row>
    <row r="26" spans="1:59" s="24" customFormat="1" hidden="1">
      <c r="A26" s="3" t="e" vm="22">
        <v>#VALUE!</v>
      </c>
      <c r="B26" s="17" t="e" vm="28">
        <v>#VALUE!</v>
      </c>
      <c r="C26" s="26"/>
      <c r="D26" s="37"/>
      <c r="E26" s="37"/>
      <c r="F26" s="38"/>
      <c r="G26" s="26"/>
      <c r="H26" s="37"/>
      <c r="I26" s="37"/>
      <c r="J26" s="38"/>
      <c r="K26" s="26">
        <v>8000</v>
      </c>
      <c r="L26" s="37">
        <v>8000</v>
      </c>
      <c r="M26" s="37">
        <v>8000</v>
      </c>
      <c r="N26" s="38">
        <v>8000</v>
      </c>
      <c r="O26" s="38">
        <v>120000</v>
      </c>
      <c r="P26" s="26"/>
      <c r="Q26" s="37"/>
      <c r="R26" s="37"/>
      <c r="S26" s="38"/>
      <c r="T26" s="26"/>
      <c r="U26" s="37"/>
      <c r="V26" s="37"/>
      <c r="W26" s="38"/>
      <c r="X26" s="26"/>
      <c r="Y26" s="37"/>
      <c r="Z26" s="37"/>
      <c r="AA26" s="38"/>
      <c r="AB26" s="26"/>
      <c r="AC26" s="37"/>
      <c r="AD26" s="37"/>
      <c r="AE26" s="38"/>
      <c r="AF26" s="26"/>
      <c r="AG26" s="37"/>
      <c r="AH26" s="37"/>
      <c r="AI26" s="38"/>
      <c r="AJ26" s="26">
        <v>4500</v>
      </c>
      <c r="AK26" s="37">
        <v>4500</v>
      </c>
      <c r="AL26" s="37">
        <v>4500</v>
      </c>
      <c r="AM26" s="38">
        <v>4700</v>
      </c>
      <c r="AN26" s="26"/>
      <c r="AO26" s="37"/>
      <c r="AP26" s="37"/>
      <c r="AQ26" s="38"/>
      <c r="AR26" s="26"/>
      <c r="AS26" s="37"/>
      <c r="AT26" s="37"/>
      <c r="AU26" s="38"/>
      <c r="AV26" s="26"/>
      <c r="AW26" s="37"/>
      <c r="AX26" s="37"/>
      <c r="AY26" s="38"/>
      <c r="AZ26" s="26"/>
      <c r="BA26" s="37"/>
      <c r="BB26" s="37"/>
      <c r="BC26" s="38"/>
      <c r="BD26" s="26"/>
      <c r="BE26" s="37"/>
      <c r="BF26" s="37"/>
      <c r="BG26" s="38"/>
    </row>
    <row r="27" spans="1:59" s="24" customFormat="1" hidden="1">
      <c r="A27" s="3" t="e" vm="22">
        <v>#VALUE!</v>
      </c>
      <c r="B27" s="17" t="e" vm="29">
        <v>#VALUE!</v>
      </c>
      <c r="C27" s="26"/>
      <c r="D27" s="37"/>
      <c r="E27" s="37"/>
      <c r="F27" s="38"/>
      <c r="G27" s="26"/>
      <c r="H27" s="37"/>
      <c r="I27" s="37"/>
      <c r="J27" s="38"/>
      <c r="K27" s="26">
        <v>8000</v>
      </c>
      <c r="L27" s="37">
        <v>8000</v>
      </c>
      <c r="M27" s="37">
        <v>8000</v>
      </c>
      <c r="N27" s="38">
        <v>8000</v>
      </c>
      <c r="O27" s="38">
        <v>120000</v>
      </c>
      <c r="P27" s="26"/>
      <c r="Q27" s="37"/>
      <c r="R27" s="37"/>
      <c r="S27" s="38"/>
      <c r="T27" s="26"/>
      <c r="U27" s="37"/>
      <c r="V27" s="37"/>
      <c r="W27" s="38"/>
      <c r="X27" s="26"/>
      <c r="Y27" s="37"/>
      <c r="Z27" s="37"/>
      <c r="AA27" s="38"/>
      <c r="AB27" s="26"/>
      <c r="AC27" s="37"/>
      <c r="AD27" s="37"/>
      <c r="AE27" s="38"/>
      <c r="AF27" s="26"/>
      <c r="AG27" s="37"/>
      <c r="AH27" s="37"/>
      <c r="AI27" s="38"/>
      <c r="AJ27" s="26">
        <v>4500</v>
      </c>
      <c r="AK27" s="37">
        <v>4500</v>
      </c>
      <c r="AL27" s="37">
        <v>4500</v>
      </c>
      <c r="AM27" s="38">
        <v>4700</v>
      </c>
      <c r="AN27" s="26"/>
      <c r="AO27" s="37"/>
      <c r="AP27" s="37"/>
      <c r="AQ27" s="38"/>
      <c r="AR27" s="26"/>
      <c r="AS27" s="37"/>
      <c r="AT27" s="37"/>
      <c r="AU27" s="38"/>
      <c r="AV27" s="26"/>
      <c r="AW27" s="37"/>
      <c r="AX27" s="37"/>
      <c r="AY27" s="38"/>
      <c r="AZ27" s="26"/>
      <c r="BA27" s="37"/>
      <c r="BB27" s="37"/>
      <c r="BC27" s="38"/>
      <c r="BD27" s="26"/>
      <c r="BE27" s="37"/>
      <c r="BF27" s="37"/>
      <c r="BG27" s="38"/>
    </row>
    <row r="28" spans="1:59" s="24" customFormat="1" hidden="1">
      <c r="A28" s="3" t="e" vm="22">
        <v>#VALUE!</v>
      </c>
      <c r="B28" s="17" t="e" vm="30">
        <v>#VALUE!</v>
      </c>
      <c r="C28" s="26"/>
      <c r="D28" s="37"/>
      <c r="E28" s="37"/>
      <c r="F28" s="38"/>
      <c r="G28" s="26"/>
      <c r="H28" s="37"/>
      <c r="I28" s="37"/>
      <c r="J28" s="38"/>
      <c r="K28" s="26">
        <v>8000</v>
      </c>
      <c r="L28" s="37">
        <v>8000</v>
      </c>
      <c r="M28" s="37">
        <v>8000</v>
      </c>
      <c r="N28" s="38">
        <v>8000</v>
      </c>
      <c r="O28" s="38">
        <v>120000</v>
      </c>
      <c r="P28" s="26"/>
      <c r="Q28" s="37"/>
      <c r="R28" s="37"/>
      <c r="S28" s="38"/>
      <c r="T28" s="26"/>
      <c r="U28" s="37"/>
      <c r="V28" s="37"/>
      <c r="W28" s="38"/>
      <c r="X28" s="26"/>
      <c r="Y28" s="37"/>
      <c r="Z28" s="37"/>
      <c r="AA28" s="38"/>
      <c r="AB28" s="26"/>
      <c r="AC28" s="37"/>
      <c r="AD28" s="37"/>
      <c r="AE28" s="38"/>
      <c r="AF28" s="26"/>
      <c r="AG28" s="37"/>
      <c r="AH28" s="37"/>
      <c r="AI28" s="38"/>
      <c r="AJ28" s="26">
        <v>4500</v>
      </c>
      <c r="AK28" s="37">
        <v>4500</v>
      </c>
      <c r="AL28" s="37">
        <v>4500</v>
      </c>
      <c r="AM28" s="38">
        <v>4700</v>
      </c>
      <c r="AN28" s="26"/>
      <c r="AO28" s="37"/>
      <c r="AP28" s="37"/>
      <c r="AQ28" s="38"/>
      <c r="AR28" s="26"/>
      <c r="AS28" s="37"/>
      <c r="AT28" s="37"/>
      <c r="AU28" s="38"/>
      <c r="AV28" s="26"/>
      <c r="AW28" s="37"/>
      <c r="AX28" s="37"/>
      <c r="AY28" s="38"/>
      <c r="AZ28" s="26"/>
      <c r="BA28" s="37"/>
      <c r="BB28" s="37"/>
      <c r="BC28" s="38"/>
      <c r="BD28" s="26"/>
      <c r="BE28" s="37"/>
      <c r="BF28" s="37"/>
      <c r="BG28" s="38"/>
    </row>
    <row r="29" spans="1:59" s="24" customFormat="1" hidden="1">
      <c r="A29" s="3" t="e" vm="22">
        <v>#VALUE!</v>
      </c>
      <c r="B29" s="17" t="e" vm="31">
        <v>#VALUE!</v>
      </c>
      <c r="C29" s="26"/>
      <c r="D29" s="37"/>
      <c r="E29" s="37"/>
      <c r="F29" s="38"/>
      <c r="G29" s="26"/>
      <c r="H29" s="37"/>
      <c r="I29" s="37"/>
      <c r="J29" s="38"/>
      <c r="K29" s="26">
        <v>8000</v>
      </c>
      <c r="L29" s="37">
        <v>8000</v>
      </c>
      <c r="M29" s="37">
        <v>8000</v>
      </c>
      <c r="N29" s="38">
        <v>8000</v>
      </c>
      <c r="O29" s="38">
        <v>120000</v>
      </c>
      <c r="P29" s="26"/>
      <c r="Q29" s="37"/>
      <c r="R29" s="37"/>
      <c r="S29" s="38"/>
      <c r="T29" s="26"/>
      <c r="U29" s="37"/>
      <c r="V29" s="37"/>
      <c r="W29" s="38"/>
      <c r="X29" s="26"/>
      <c r="Y29" s="37"/>
      <c r="Z29" s="37"/>
      <c r="AA29" s="38"/>
      <c r="AB29" s="26"/>
      <c r="AC29" s="37"/>
      <c r="AD29" s="37"/>
      <c r="AE29" s="38"/>
      <c r="AF29" s="26"/>
      <c r="AG29" s="37"/>
      <c r="AH29" s="37"/>
      <c r="AI29" s="38"/>
      <c r="AJ29" s="26">
        <v>4500</v>
      </c>
      <c r="AK29" s="37">
        <v>4500</v>
      </c>
      <c r="AL29" s="37">
        <v>4500</v>
      </c>
      <c r="AM29" s="38">
        <v>4700</v>
      </c>
      <c r="AN29" s="26"/>
      <c r="AO29" s="37"/>
      <c r="AP29" s="37"/>
      <c r="AQ29" s="38"/>
      <c r="AR29" s="26"/>
      <c r="AS29" s="37"/>
      <c r="AT29" s="37"/>
      <c r="AU29" s="38"/>
      <c r="AV29" s="26"/>
      <c r="AW29" s="37"/>
      <c r="AX29" s="37"/>
      <c r="AY29" s="38"/>
      <c r="AZ29" s="26"/>
      <c r="BA29" s="37"/>
      <c r="BB29" s="37"/>
      <c r="BC29" s="38"/>
      <c r="BD29" s="26"/>
      <c r="BE29" s="37"/>
      <c r="BF29" s="37"/>
      <c r="BG29" s="38"/>
    </row>
    <row r="30" spans="1:59" s="24" customFormat="1" ht="15.75" hidden="1" thickBot="1">
      <c r="A30" s="3" t="e" vm="22">
        <v>#VALUE!</v>
      </c>
      <c r="B30" s="18" t="e" vm="32">
        <v>#VALUE!</v>
      </c>
      <c r="C30" s="33"/>
      <c r="D30" s="39"/>
      <c r="E30" s="39"/>
      <c r="F30" s="40"/>
      <c r="G30" s="33"/>
      <c r="H30" s="39"/>
      <c r="I30" s="39"/>
      <c r="J30" s="40"/>
      <c r="K30" s="33">
        <v>8000</v>
      </c>
      <c r="L30" s="39">
        <v>8000</v>
      </c>
      <c r="M30" s="39">
        <v>8000</v>
      </c>
      <c r="N30" s="40">
        <v>8000</v>
      </c>
      <c r="O30" s="40">
        <v>120000</v>
      </c>
      <c r="P30" s="33"/>
      <c r="Q30" s="39"/>
      <c r="R30" s="39"/>
      <c r="S30" s="40"/>
      <c r="T30" s="33"/>
      <c r="U30" s="39"/>
      <c r="V30" s="39"/>
      <c r="W30" s="40"/>
      <c r="X30" s="33"/>
      <c r="Y30" s="39"/>
      <c r="Z30" s="39"/>
      <c r="AA30" s="40"/>
      <c r="AB30" s="33"/>
      <c r="AC30" s="39"/>
      <c r="AD30" s="39"/>
      <c r="AE30" s="40"/>
      <c r="AF30" s="33"/>
      <c r="AG30" s="39"/>
      <c r="AH30" s="39"/>
      <c r="AI30" s="40"/>
      <c r="AJ30" s="33">
        <v>4500</v>
      </c>
      <c r="AK30" s="39">
        <v>4500</v>
      </c>
      <c r="AL30" s="39">
        <v>4500</v>
      </c>
      <c r="AM30" s="40">
        <v>4700</v>
      </c>
      <c r="AN30" s="33"/>
      <c r="AO30" s="39"/>
      <c r="AP30" s="39"/>
      <c r="AQ30" s="40"/>
      <c r="AR30" s="33"/>
      <c r="AS30" s="39"/>
      <c r="AT30" s="39"/>
      <c r="AU30" s="40"/>
      <c r="AV30" s="33"/>
      <c r="AW30" s="39"/>
      <c r="AX30" s="39"/>
      <c r="AY30" s="40"/>
      <c r="AZ30" s="33"/>
      <c r="BA30" s="39"/>
      <c r="BB30" s="39"/>
      <c r="BC30" s="40"/>
      <c r="BD30" s="33"/>
      <c r="BE30" s="39"/>
      <c r="BF30" s="39"/>
      <c r="BG30" s="40"/>
    </row>
    <row r="31" spans="1:59" s="24" customFormat="1" hidden="1">
      <c r="A31" s="3" t="e" vm="33">
        <v>#VALUE!</v>
      </c>
      <c r="B31" s="22" t="e" vm="34">
        <v>#VALUE!</v>
      </c>
      <c r="C31" s="29"/>
      <c r="D31" s="41"/>
      <c r="E31" s="41"/>
      <c r="F31" s="42"/>
      <c r="G31" s="29"/>
      <c r="H31" s="41"/>
      <c r="I31" s="41"/>
      <c r="J31" s="42"/>
      <c r="K31" s="29"/>
      <c r="L31" s="41"/>
      <c r="M31" s="41"/>
      <c r="N31" s="42"/>
      <c r="O31" s="42"/>
      <c r="P31" s="29"/>
      <c r="Q31" s="41"/>
      <c r="R31" s="41"/>
      <c r="S31" s="42"/>
      <c r="T31" s="29"/>
      <c r="U31" s="41"/>
      <c r="V31" s="41"/>
      <c r="W31" s="42"/>
      <c r="X31" s="29"/>
      <c r="Y31" s="41"/>
      <c r="Z31" s="41"/>
      <c r="AA31" s="42"/>
      <c r="AB31" s="29"/>
      <c r="AC31" s="41"/>
      <c r="AD31" s="41"/>
      <c r="AE31" s="42"/>
      <c r="AF31" s="29"/>
      <c r="AG31" s="41"/>
      <c r="AH31" s="41"/>
      <c r="AI31" s="42"/>
      <c r="AJ31" s="29"/>
      <c r="AK31" s="41"/>
      <c r="AL31" s="41"/>
      <c r="AM31" s="42"/>
      <c r="AN31" s="29"/>
      <c r="AO31" s="41"/>
      <c r="AP31" s="41"/>
      <c r="AQ31" s="42"/>
      <c r="AR31" s="29"/>
      <c r="AS31" s="41"/>
      <c r="AT31" s="41"/>
      <c r="AU31" s="42"/>
      <c r="AV31" s="29"/>
      <c r="AW31" s="41"/>
      <c r="AX31" s="41"/>
      <c r="AY31" s="42"/>
      <c r="AZ31" s="29"/>
      <c r="BA31" s="41"/>
      <c r="BB31" s="41"/>
      <c r="BC31" s="42"/>
      <c r="BD31" s="29"/>
      <c r="BE31" s="41"/>
      <c r="BF31" s="41"/>
      <c r="BG31" s="42"/>
    </row>
    <row r="32" spans="1:59" s="24" customFormat="1" hidden="1">
      <c r="A32" s="3" t="e" vm="33">
        <v>#VALUE!</v>
      </c>
      <c r="B32" s="20" t="e" vm="35">
        <v>#VALUE!</v>
      </c>
      <c r="C32" s="30"/>
      <c r="D32" s="43"/>
      <c r="E32" s="43"/>
      <c r="F32" s="44"/>
      <c r="G32" s="30"/>
      <c r="H32" s="43"/>
      <c r="I32" s="43"/>
      <c r="J32" s="44"/>
      <c r="K32" s="30"/>
      <c r="L32" s="43"/>
      <c r="M32" s="43"/>
      <c r="N32" s="44"/>
      <c r="O32" s="44"/>
      <c r="P32" s="30"/>
      <c r="Q32" s="43"/>
      <c r="R32" s="43"/>
      <c r="S32" s="44"/>
      <c r="T32" s="30"/>
      <c r="U32" s="43"/>
      <c r="V32" s="43"/>
      <c r="W32" s="44"/>
      <c r="X32" s="30"/>
      <c r="Y32" s="43"/>
      <c r="Z32" s="43"/>
      <c r="AA32" s="44"/>
      <c r="AB32" s="30"/>
      <c r="AC32" s="43"/>
      <c r="AD32" s="43"/>
      <c r="AE32" s="44"/>
      <c r="AF32" s="30"/>
      <c r="AG32" s="43"/>
      <c r="AH32" s="43"/>
      <c r="AI32" s="44"/>
      <c r="AJ32" s="30"/>
      <c r="AK32" s="43"/>
      <c r="AL32" s="43"/>
      <c r="AM32" s="44"/>
      <c r="AN32" s="30"/>
      <c r="AO32" s="43"/>
      <c r="AP32" s="43"/>
      <c r="AQ32" s="44"/>
      <c r="AR32" s="30"/>
      <c r="AS32" s="43"/>
      <c r="AT32" s="43"/>
      <c r="AU32" s="44"/>
      <c r="AV32" s="30"/>
      <c r="AW32" s="43"/>
      <c r="AX32" s="43"/>
      <c r="AY32" s="44"/>
      <c r="AZ32" s="30"/>
      <c r="BA32" s="43"/>
      <c r="BB32" s="43"/>
      <c r="BC32" s="44"/>
      <c r="BD32" s="30"/>
      <c r="BE32" s="43"/>
      <c r="BF32" s="43"/>
      <c r="BG32" s="44"/>
    </row>
    <row r="33" spans="1:59" s="24" customFormat="1" hidden="1">
      <c r="A33" s="3" t="e" vm="36">
        <v>#VALUE!</v>
      </c>
      <c r="B33" s="16" t="e" vm="37">
        <v>#VALUE!</v>
      </c>
      <c r="C33" s="32"/>
      <c r="D33" s="35"/>
      <c r="E33" s="35"/>
      <c r="F33" s="36"/>
      <c r="G33" s="32"/>
      <c r="H33" s="35"/>
      <c r="I33" s="35"/>
      <c r="J33" s="36"/>
      <c r="K33" s="32"/>
      <c r="L33" s="35"/>
      <c r="M33" s="35"/>
      <c r="N33" s="36"/>
      <c r="O33" s="36"/>
      <c r="P33" s="32"/>
      <c r="Q33" s="35"/>
      <c r="R33" s="35"/>
      <c r="S33" s="36"/>
      <c r="T33" s="32"/>
      <c r="U33" s="35"/>
      <c r="V33" s="43"/>
      <c r="W33" s="44"/>
      <c r="X33" s="32"/>
      <c r="Y33" s="35"/>
      <c r="Z33" s="35"/>
      <c r="AA33" s="36"/>
      <c r="AB33" s="32"/>
      <c r="AC33" s="35"/>
      <c r="AD33" s="35"/>
      <c r="AE33" s="36"/>
      <c r="AF33" s="32"/>
      <c r="AG33" s="35"/>
      <c r="AH33" s="35"/>
      <c r="AI33" s="36"/>
      <c r="AJ33" s="32"/>
      <c r="AK33" s="35"/>
      <c r="AL33" s="35"/>
      <c r="AM33" s="36"/>
      <c r="AN33" s="32"/>
      <c r="AO33" s="35"/>
      <c r="AP33" s="35"/>
      <c r="AQ33" s="36"/>
      <c r="AR33" s="32"/>
      <c r="AS33" s="35"/>
      <c r="AT33" s="35"/>
      <c r="AU33" s="36"/>
      <c r="AV33" s="32"/>
      <c r="AW33" s="35"/>
      <c r="AX33" s="35"/>
      <c r="AY33" s="36"/>
      <c r="AZ33" s="32"/>
      <c r="BA33" s="35"/>
      <c r="BB33" s="35"/>
      <c r="BC33" s="36"/>
      <c r="BD33" s="32"/>
      <c r="BE33" s="35"/>
      <c r="BF33" s="35"/>
      <c r="BG33" s="36"/>
    </row>
    <row r="34" spans="1:59" s="24" customFormat="1" hidden="1">
      <c r="A34" s="3" t="e" vm="36">
        <v>#VALUE!</v>
      </c>
      <c r="B34" s="17" t="e" vm="38">
        <v>#VALUE!</v>
      </c>
      <c r="C34" s="26"/>
      <c r="D34" s="37"/>
      <c r="E34" s="37"/>
      <c r="F34" s="38"/>
      <c r="G34" s="26"/>
      <c r="H34" s="37"/>
      <c r="I34" s="37"/>
      <c r="J34" s="38"/>
      <c r="K34" s="26"/>
      <c r="L34" s="37"/>
      <c r="M34" s="37"/>
      <c r="N34" s="38"/>
      <c r="O34" s="38"/>
      <c r="P34" s="26"/>
      <c r="Q34" s="37"/>
      <c r="R34" s="37"/>
      <c r="S34" s="38"/>
      <c r="T34" s="26"/>
      <c r="U34" s="37"/>
      <c r="V34" s="43"/>
      <c r="W34" s="44"/>
      <c r="X34" s="26"/>
      <c r="Y34" s="37"/>
      <c r="Z34" s="37"/>
      <c r="AA34" s="38"/>
      <c r="AB34" s="26"/>
      <c r="AC34" s="37"/>
      <c r="AD34" s="37"/>
      <c r="AE34" s="38"/>
      <c r="AF34" s="26"/>
      <c r="AG34" s="37"/>
      <c r="AH34" s="37"/>
      <c r="AI34" s="38"/>
      <c r="AJ34" s="26"/>
      <c r="AK34" s="37"/>
      <c r="AL34" s="37"/>
      <c r="AM34" s="38"/>
      <c r="AN34" s="26"/>
      <c r="AO34" s="37"/>
      <c r="AP34" s="37"/>
      <c r="AQ34" s="38"/>
      <c r="AR34" s="26"/>
      <c r="AS34" s="37"/>
      <c r="AT34" s="37"/>
      <c r="AU34" s="38"/>
      <c r="AV34" s="26"/>
      <c r="AW34" s="37"/>
      <c r="AX34" s="37"/>
      <c r="AY34" s="38"/>
      <c r="AZ34" s="26"/>
      <c r="BA34" s="37"/>
      <c r="BB34" s="37"/>
      <c r="BC34" s="38"/>
      <c r="BD34" s="26"/>
      <c r="BE34" s="37"/>
      <c r="BF34" s="37"/>
      <c r="BG34" s="38"/>
    </row>
    <row r="35" spans="1:59" s="24" customFormat="1" hidden="1">
      <c r="A35" s="3" t="e" vm="36">
        <v>#VALUE!</v>
      </c>
      <c r="B35" s="17" t="e" vm="39">
        <v>#VALUE!</v>
      </c>
      <c r="C35" s="26"/>
      <c r="D35" s="37"/>
      <c r="E35" s="37"/>
      <c r="F35" s="38"/>
      <c r="G35" s="26"/>
      <c r="H35" s="37"/>
      <c r="I35" s="37"/>
      <c r="J35" s="38"/>
      <c r="K35" s="26"/>
      <c r="L35" s="37"/>
      <c r="M35" s="37"/>
      <c r="N35" s="38"/>
      <c r="O35" s="38"/>
      <c r="P35" s="26"/>
      <c r="Q35" s="37"/>
      <c r="R35" s="37"/>
      <c r="S35" s="38"/>
      <c r="T35" s="26"/>
      <c r="U35" s="37"/>
      <c r="V35" s="43"/>
      <c r="W35" s="44"/>
      <c r="X35" s="26"/>
      <c r="Y35" s="37"/>
      <c r="Z35" s="37"/>
      <c r="AA35" s="38"/>
      <c r="AB35" s="26"/>
      <c r="AC35" s="37"/>
      <c r="AD35" s="37"/>
      <c r="AE35" s="38"/>
      <c r="AF35" s="26"/>
      <c r="AG35" s="37"/>
      <c r="AH35" s="37"/>
      <c r="AI35" s="38"/>
      <c r="AJ35" s="26"/>
      <c r="AK35" s="37"/>
      <c r="AL35" s="37"/>
      <c r="AM35" s="38"/>
      <c r="AN35" s="26"/>
      <c r="AO35" s="37"/>
      <c r="AP35" s="37"/>
      <c r="AQ35" s="38"/>
      <c r="AR35" s="26"/>
      <c r="AS35" s="37"/>
      <c r="AT35" s="37"/>
      <c r="AU35" s="38"/>
      <c r="AV35" s="26"/>
      <c r="AW35" s="37"/>
      <c r="AX35" s="37"/>
      <c r="AY35" s="38"/>
      <c r="AZ35" s="26"/>
      <c r="BA35" s="37"/>
      <c r="BB35" s="37"/>
      <c r="BC35" s="38"/>
      <c r="BD35" s="26"/>
      <c r="BE35" s="37"/>
      <c r="BF35" s="37"/>
      <c r="BG35" s="38"/>
    </row>
    <row r="36" spans="1:59" s="24" customFormat="1" hidden="1">
      <c r="A36" s="3" t="e" vm="36">
        <v>#VALUE!</v>
      </c>
      <c r="B36" s="17" t="e" vm="40">
        <v>#VALUE!</v>
      </c>
      <c r="C36" s="26"/>
      <c r="D36" s="37"/>
      <c r="E36" s="37"/>
      <c r="F36" s="38"/>
      <c r="G36" s="26"/>
      <c r="H36" s="37"/>
      <c r="I36" s="37"/>
      <c r="J36" s="38"/>
      <c r="K36" s="26"/>
      <c r="L36" s="37"/>
      <c r="M36" s="37"/>
      <c r="N36" s="38"/>
      <c r="O36" s="38"/>
      <c r="P36" s="26"/>
      <c r="Q36" s="37"/>
      <c r="R36" s="37"/>
      <c r="S36" s="38"/>
      <c r="T36" s="26"/>
      <c r="U36" s="37"/>
      <c r="V36" s="43"/>
      <c r="W36" s="44"/>
      <c r="X36" s="26"/>
      <c r="Y36" s="37"/>
      <c r="Z36" s="37"/>
      <c r="AA36" s="38"/>
      <c r="AB36" s="26"/>
      <c r="AC36" s="37"/>
      <c r="AD36" s="37"/>
      <c r="AE36" s="38"/>
      <c r="AF36" s="26"/>
      <c r="AG36" s="37"/>
      <c r="AH36" s="37"/>
      <c r="AI36" s="38"/>
      <c r="AJ36" s="26"/>
      <c r="AK36" s="37"/>
      <c r="AL36" s="37"/>
      <c r="AM36" s="38"/>
      <c r="AN36" s="26"/>
      <c r="AO36" s="37"/>
      <c r="AP36" s="37"/>
      <c r="AQ36" s="38"/>
      <c r="AR36" s="26"/>
      <c r="AS36" s="37"/>
      <c r="AT36" s="37"/>
      <c r="AU36" s="38"/>
      <c r="AV36" s="26"/>
      <c r="AW36" s="37"/>
      <c r="AX36" s="37"/>
      <c r="AY36" s="38"/>
      <c r="AZ36" s="26"/>
      <c r="BA36" s="37"/>
      <c r="BB36" s="37"/>
      <c r="BC36" s="38"/>
      <c r="BD36" s="26"/>
      <c r="BE36" s="37"/>
      <c r="BF36" s="37"/>
      <c r="BG36" s="38"/>
    </row>
    <row r="37" spans="1:59" s="24" customFormat="1" hidden="1">
      <c r="A37" s="3" t="e" vm="36">
        <v>#VALUE!</v>
      </c>
      <c r="B37" s="17" t="s">
        <v>21</v>
      </c>
      <c r="C37" s="26"/>
      <c r="D37" s="37"/>
      <c r="E37" s="37"/>
      <c r="F37" s="38"/>
      <c r="G37" s="26"/>
      <c r="H37" s="37"/>
      <c r="I37" s="37"/>
      <c r="J37" s="38"/>
      <c r="K37" s="26"/>
      <c r="L37" s="37"/>
      <c r="M37" s="37"/>
      <c r="N37" s="38"/>
      <c r="O37" s="38"/>
      <c r="P37" s="26"/>
      <c r="Q37" s="37"/>
      <c r="R37" s="37"/>
      <c r="S37" s="38"/>
      <c r="T37" s="26"/>
      <c r="U37" s="37"/>
      <c r="V37" s="37"/>
      <c r="W37" s="38"/>
      <c r="X37" s="26"/>
      <c r="Y37" s="37"/>
      <c r="Z37" s="37"/>
      <c r="AA37" s="38"/>
      <c r="AB37" s="26"/>
      <c r="AC37" s="37"/>
      <c r="AD37" s="37"/>
      <c r="AE37" s="38"/>
      <c r="AF37" s="26"/>
      <c r="AG37" s="37"/>
      <c r="AH37" s="37"/>
      <c r="AI37" s="38"/>
      <c r="AJ37" s="26"/>
      <c r="AK37" s="37"/>
      <c r="AL37" s="37"/>
      <c r="AM37" s="38"/>
      <c r="AN37" s="26"/>
      <c r="AO37" s="37"/>
      <c r="AP37" s="37"/>
      <c r="AQ37" s="38"/>
      <c r="AR37" s="26"/>
      <c r="AS37" s="37"/>
      <c r="AT37" s="37"/>
      <c r="AU37" s="38"/>
      <c r="AV37" s="26"/>
      <c r="AW37" s="37"/>
      <c r="AX37" s="37"/>
      <c r="AY37" s="38"/>
      <c r="AZ37" s="26"/>
      <c r="BA37" s="37"/>
      <c r="BB37" s="37"/>
      <c r="BC37" s="38"/>
      <c r="BD37" s="26"/>
      <c r="BE37" s="37"/>
      <c r="BF37" s="37"/>
      <c r="BG37" s="38"/>
    </row>
    <row r="38" spans="1:59" s="24" customFormat="1" hidden="1">
      <c r="A38" s="3" t="e" vm="36">
        <v>#VALUE!</v>
      </c>
      <c r="B38" s="17" t="e" vm="41">
        <v>#VALUE!</v>
      </c>
      <c r="C38" s="26"/>
      <c r="D38" s="37"/>
      <c r="E38" s="37"/>
      <c r="F38" s="38"/>
      <c r="G38" s="26"/>
      <c r="H38" s="37"/>
      <c r="I38" s="37"/>
      <c r="J38" s="38"/>
      <c r="K38" s="26"/>
      <c r="L38" s="37"/>
      <c r="M38" s="37"/>
      <c r="N38" s="38"/>
      <c r="O38" s="38"/>
      <c r="P38" s="26"/>
      <c r="Q38" s="37"/>
      <c r="R38" s="37"/>
      <c r="S38" s="38"/>
      <c r="T38" s="26"/>
      <c r="U38" s="37"/>
      <c r="V38" s="37"/>
      <c r="W38" s="38"/>
      <c r="X38" s="26"/>
      <c r="Y38" s="37"/>
      <c r="Z38" s="37"/>
      <c r="AA38" s="38"/>
      <c r="AB38" s="26"/>
      <c r="AC38" s="37"/>
      <c r="AD38" s="37"/>
      <c r="AE38" s="38"/>
      <c r="AF38" s="26"/>
      <c r="AG38" s="37"/>
      <c r="AH38" s="37"/>
      <c r="AI38" s="38"/>
      <c r="AJ38" s="26"/>
      <c r="AK38" s="37"/>
      <c r="AL38" s="37"/>
      <c r="AM38" s="38"/>
      <c r="AN38" s="26"/>
      <c r="AO38" s="37"/>
      <c r="AP38" s="37"/>
      <c r="AQ38" s="38"/>
      <c r="AR38" s="26"/>
      <c r="AS38" s="37"/>
      <c r="AT38" s="37"/>
      <c r="AU38" s="38"/>
      <c r="AV38" s="26"/>
      <c r="AW38" s="37"/>
      <c r="AX38" s="37"/>
      <c r="AY38" s="38"/>
      <c r="AZ38" s="26"/>
      <c r="BA38" s="37"/>
      <c r="BB38" s="37"/>
      <c r="BC38" s="38"/>
      <c r="BD38" s="26"/>
      <c r="BE38" s="37"/>
      <c r="BF38" s="37"/>
      <c r="BG38" s="38"/>
    </row>
    <row r="39" spans="1:59" s="24" customFormat="1" ht="15.75" hidden="1" thickBot="1">
      <c r="A39" s="3" t="e" vm="36">
        <v>#VALUE!</v>
      </c>
      <c r="B39" s="18" t="e" vm="42">
        <v>#VALUE!</v>
      </c>
      <c r="C39" s="33"/>
      <c r="D39" s="39"/>
      <c r="E39" s="39"/>
      <c r="F39" s="40"/>
      <c r="G39" s="33"/>
      <c r="H39" s="39"/>
      <c r="I39" s="39"/>
      <c r="J39" s="40"/>
      <c r="K39" s="33"/>
      <c r="L39" s="39"/>
      <c r="M39" s="39"/>
      <c r="N39" s="40"/>
      <c r="O39" s="40"/>
      <c r="P39" s="33"/>
      <c r="Q39" s="39"/>
      <c r="R39" s="39"/>
      <c r="S39" s="40"/>
      <c r="T39" s="33"/>
      <c r="U39" s="39"/>
      <c r="V39" s="39"/>
      <c r="W39" s="40"/>
      <c r="X39" s="33"/>
      <c r="Y39" s="39"/>
      <c r="Z39" s="39"/>
      <c r="AA39" s="40"/>
      <c r="AB39" s="33"/>
      <c r="AC39" s="39"/>
      <c r="AD39" s="39"/>
      <c r="AE39" s="40"/>
      <c r="AF39" s="33"/>
      <c r="AG39" s="39"/>
      <c r="AH39" s="39"/>
      <c r="AI39" s="40"/>
      <c r="AJ39" s="33"/>
      <c r="AK39" s="39"/>
      <c r="AL39" s="39"/>
      <c r="AM39" s="40"/>
      <c r="AN39" s="33"/>
      <c r="AO39" s="39"/>
      <c r="AP39" s="39"/>
      <c r="AQ39" s="40"/>
      <c r="AR39" s="33"/>
      <c r="AS39" s="39"/>
      <c r="AT39" s="39"/>
      <c r="AU39" s="40"/>
      <c r="AV39" s="33"/>
      <c r="AW39" s="39"/>
      <c r="AX39" s="39"/>
      <c r="AY39" s="40"/>
      <c r="AZ39" s="33"/>
      <c r="BA39" s="39"/>
      <c r="BB39" s="39"/>
      <c r="BC39" s="40"/>
      <c r="BD39" s="33"/>
      <c r="BE39" s="39"/>
      <c r="BF39" s="39"/>
      <c r="BG39" s="40"/>
    </row>
    <row r="40" spans="1:59" s="24" customFormat="1" hidden="1">
      <c r="A40" s="3" t="e" vm="43">
        <v>#VALUE!</v>
      </c>
      <c r="B40" s="19" t="e" vm="44">
        <v>#VALUE!</v>
      </c>
      <c r="C40" s="29"/>
      <c r="D40" s="41"/>
      <c r="E40" s="41"/>
      <c r="F40" s="42"/>
      <c r="G40" s="29"/>
      <c r="H40" s="41"/>
      <c r="I40" s="41"/>
      <c r="J40" s="42"/>
      <c r="K40" s="29"/>
      <c r="L40" s="41"/>
      <c r="M40" s="41"/>
      <c r="N40" s="42"/>
      <c r="O40" s="42"/>
      <c r="P40" s="29"/>
      <c r="Q40" s="41"/>
      <c r="R40" s="41"/>
      <c r="S40" s="42"/>
      <c r="T40" s="29"/>
      <c r="U40" s="41"/>
      <c r="V40" s="41"/>
      <c r="W40" s="42"/>
      <c r="X40" s="29"/>
      <c r="Y40" s="41"/>
      <c r="Z40" s="41"/>
      <c r="AA40" s="42"/>
      <c r="AB40" s="29"/>
      <c r="AC40" s="41"/>
      <c r="AD40" s="41"/>
      <c r="AE40" s="42"/>
      <c r="AF40" s="29"/>
      <c r="AG40" s="41"/>
      <c r="AH40" s="41"/>
      <c r="AI40" s="42"/>
      <c r="AJ40" s="29">
        <v>4500</v>
      </c>
      <c r="AK40" s="41">
        <v>4500</v>
      </c>
      <c r="AL40" s="41">
        <v>4500</v>
      </c>
      <c r="AM40" s="42">
        <v>4700</v>
      </c>
      <c r="AN40" s="29"/>
      <c r="AO40" s="41"/>
      <c r="AP40" s="41"/>
      <c r="AQ40" s="42"/>
      <c r="AR40" s="29"/>
      <c r="AS40" s="41"/>
      <c r="AT40" s="41"/>
      <c r="AU40" s="42"/>
      <c r="AV40" s="29"/>
      <c r="AW40" s="41"/>
      <c r="AX40" s="41"/>
      <c r="AY40" s="42"/>
      <c r="AZ40" s="29"/>
      <c r="BA40" s="41"/>
      <c r="BB40" s="41"/>
      <c r="BC40" s="42"/>
      <c r="BD40" s="29"/>
      <c r="BE40" s="41"/>
      <c r="BF40" s="41"/>
      <c r="BG40" s="42"/>
    </row>
    <row r="41" spans="1:59" s="24" customFormat="1" hidden="1">
      <c r="A41" s="3" t="e" vm="43">
        <v>#VALUE!</v>
      </c>
      <c r="B41" s="17" t="e" vm="45">
        <v>#VALUE!</v>
      </c>
      <c r="C41" s="26"/>
      <c r="D41" s="37"/>
      <c r="E41" s="37"/>
      <c r="F41" s="38"/>
      <c r="G41" s="26"/>
      <c r="H41" s="37"/>
      <c r="I41" s="37"/>
      <c r="J41" s="38"/>
      <c r="K41" s="26"/>
      <c r="L41" s="37"/>
      <c r="M41" s="37"/>
      <c r="N41" s="38"/>
      <c r="O41" s="38"/>
      <c r="P41" s="26"/>
      <c r="Q41" s="37"/>
      <c r="R41" s="37"/>
      <c r="S41" s="38"/>
      <c r="T41" s="26"/>
      <c r="U41" s="37"/>
      <c r="V41" s="37"/>
      <c r="W41" s="38"/>
      <c r="X41" s="26"/>
      <c r="Y41" s="37"/>
      <c r="Z41" s="37"/>
      <c r="AA41" s="38"/>
      <c r="AB41" s="26"/>
      <c r="AC41" s="37"/>
      <c r="AD41" s="37"/>
      <c r="AE41" s="38"/>
      <c r="AF41" s="26"/>
      <c r="AG41" s="37"/>
      <c r="AH41" s="37"/>
      <c r="AI41" s="38"/>
      <c r="AJ41" s="26">
        <v>4500</v>
      </c>
      <c r="AK41" s="37">
        <v>4500</v>
      </c>
      <c r="AL41" s="37">
        <v>4500</v>
      </c>
      <c r="AM41" s="38">
        <v>4700</v>
      </c>
      <c r="AN41" s="26"/>
      <c r="AO41" s="37"/>
      <c r="AP41" s="37"/>
      <c r="AQ41" s="38"/>
      <c r="AR41" s="26"/>
      <c r="AS41" s="37"/>
      <c r="AT41" s="37"/>
      <c r="AU41" s="38"/>
      <c r="AV41" s="26"/>
      <c r="AW41" s="37"/>
      <c r="AX41" s="37"/>
      <c r="AY41" s="38"/>
      <c r="AZ41" s="26"/>
      <c r="BA41" s="37"/>
      <c r="BB41" s="37"/>
      <c r="BC41" s="38"/>
      <c r="BD41" s="26"/>
      <c r="BE41" s="37"/>
      <c r="BF41" s="37"/>
      <c r="BG41" s="38"/>
    </row>
    <row r="42" spans="1:59" s="24" customFormat="1" hidden="1">
      <c r="A42" s="3" t="e" vm="43">
        <v>#VALUE!</v>
      </c>
      <c r="B42" s="17" t="e" vm="46">
        <v>#VALUE!</v>
      </c>
      <c r="C42" s="26"/>
      <c r="D42" s="37"/>
      <c r="E42" s="37"/>
      <c r="F42" s="38"/>
      <c r="G42" s="26"/>
      <c r="H42" s="37"/>
      <c r="I42" s="37"/>
      <c r="J42" s="38"/>
      <c r="K42" s="26"/>
      <c r="L42" s="37"/>
      <c r="M42" s="37"/>
      <c r="N42" s="38"/>
      <c r="O42" s="38"/>
      <c r="P42" s="26"/>
      <c r="Q42" s="37"/>
      <c r="R42" s="37"/>
      <c r="S42" s="38"/>
      <c r="T42" s="26"/>
      <c r="U42" s="37"/>
      <c r="V42" s="37"/>
      <c r="W42" s="38"/>
      <c r="X42" s="26"/>
      <c r="Y42" s="37"/>
      <c r="Z42" s="37"/>
      <c r="AA42" s="38"/>
      <c r="AB42" s="26"/>
      <c r="AC42" s="37"/>
      <c r="AD42" s="37"/>
      <c r="AE42" s="38"/>
      <c r="AF42" s="26"/>
      <c r="AG42" s="37"/>
      <c r="AH42" s="37"/>
      <c r="AI42" s="38"/>
      <c r="AJ42" s="26">
        <v>4500</v>
      </c>
      <c r="AK42" s="37">
        <v>4500</v>
      </c>
      <c r="AL42" s="37">
        <v>4500</v>
      </c>
      <c r="AM42" s="38">
        <v>4700</v>
      </c>
      <c r="AN42" s="26"/>
      <c r="AO42" s="37"/>
      <c r="AP42" s="37"/>
      <c r="AQ42" s="38"/>
      <c r="AR42" s="26"/>
      <c r="AS42" s="37"/>
      <c r="AT42" s="37"/>
      <c r="AU42" s="38"/>
      <c r="AV42" s="26"/>
      <c r="AW42" s="37"/>
      <c r="AX42" s="37"/>
      <c r="AY42" s="38"/>
      <c r="AZ42" s="26"/>
      <c r="BA42" s="37"/>
      <c r="BB42" s="37"/>
      <c r="BC42" s="38"/>
      <c r="BD42" s="26"/>
      <c r="BE42" s="37"/>
      <c r="BF42" s="37"/>
      <c r="BG42" s="38"/>
    </row>
    <row r="43" spans="1:59" s="24" customFormat="1" hidden="1">
      <c r="A43" s="3" t="e" vm="43">
        <v>#VALUE!</v>
      </c>
      <c r="B43" s="17" t="e" vm="47">
        <v>#VALUE!</v>
      </c>
      <c r="C43" s="26"/>
      <c r="D43" s="37"/>
      <c r="E43" s="37"/>
      <c r="F43" s="38"/>
      <c r="G43" s="26"/>
      <c r="H43" s="37"/>
      <c r="I43" s="37"/>
      <c r="J43" s="38"/>
      <c r="K43" s="26"/>
      <c r="L43" s="37"/>
      <c r="M43" s="37"/>
      <c r="N43" s="38"/>
      <c r="O43" s="38"/>
      <c r="P43" s="26"/>
      <c r="Q43" s="37"/>
      <c r="R43" s="37"/>
      <c r="S43" s="38"/>
      <c r="T43" s="26"/>
      <c r="U43" s="37"/>
      <c r="V43" s="37"/>
      <c r="W43" s="38"/>
      <c r="X43" s="26"/>
      <c r="Y43" s="37"/>
      <c r="Z43" s="37"/>
      <c r="AA43" s="38"/>
      <c r="AB43" s="26"/>
      <c r="AC43" s="37"/>
      <c r="AD43" s="37"/>
      <c r="AE43" s="38"/>
      <c r="AF43" s="26"/>
      <c r="AG43" s="37"/>
      <c r="AH43" s="37"/>
      <c r="AI43" s="38"/>
      <c r="AJ43" s="26">
        <v>4500</v>
      </c>
      <c r="AK43" s="37">
        <v>4500</v>
      </c>
      <c r="AL43" s="37">
        <v>4500</v>
      </c>
      <c r="AM43" s="38">
        <v>4700</v>
      </c>
      <c r="AN43" s="26"/>
      <c r="AO43" s="37"/>
      <c r="AP43" s="37"/>
      <c r="AQ43" s="38"/>
      <c r="AR43" s="26"/>
      <c r="AS43" s="37"/>
      <c r="AT43" s="37"/>
      <c r="AU43" s="38"/>
      <c r="AV43" s="26"/>
      <c r="AW43" s="37"/>
      <c r="AX43" s="37"/>
      <c r="AY43" s="38"/>
      <c r="AZ43" s="26"/>
      <c r="BA43" s="37"/>
      <c r="BB43" s="37"/>
      <c r="BC43" s="38"/>
      <c r="BD43" s="26"/>
      <c r="BE43" s="37"/>
      <c r="BF43" s="37"/>
      <c r="BG43" s="38"/>
    </row>
    <row r="44" spans="1:59" s="24" customFormat="1" hidden="1">
      <c r="A44" s="3" t="e" vm="43">
        <v>#VALUE!</v>
      </c>
      <c r="B44" s="17" t="e" vm="48">
        <v>#VALUE!</v>
      </c>
      <c r="C44" s="26"/>
      <c r="D44" s="37"/>
      <c r="E44" s="37"/>
      <c r="F44" s="38"/>
      <c r="G44" s="26"/>
      <c r="H44" s="37"/>
      <c r="I44" s="37"/>
      <c r="J44" s="38"/>
      <c r="K44" s="26"/>
      <c r="L44" s="37"/>
      <c r="M44" s="37"/>
      <c r="N44" s="38"/>
      <c r="O44" s="38"/>
      <c r="P44" s="26"/>
      <c r="Q44" s="37"/>
      <c r="R44" s="37"/>
      <c r="S44" s="38"/>
      <c r="T44" s="26"/>
      <c r="U44" s="37"/>
      <c r="V44" s="37"/>
      <c r="W44" s="38"/>
      <c r="X44" s="26"/>
      <c r="Y44" s="37"/>
      <c r="Z44" s="37"/>
      <c r="AA44" s="38"/>
      <c r="AB44" s="26"/>
      <c r="AC44" s="37"/>
      <c r="AD44" s="37"/>
      <c r="AE44" s="38"/>
      <c r="AF44" s="26"/>
      <c r="AG44" s="37"/>
      <c r="AH44" s="37"/>
      <c r="AI44" s="38"/>
      <c r="AJ44" s="26">
        <v>4500</v>
      </c>
      <c r="AK44" s="37">
        <v>4500</v>
      </c>
      <c r="AL44" s="37">
        <v>4500</v>
      </c>
      <c r="AM44" s="38">
        <v>4700</v>
      </c>
      <c r="AN44" s="26"/>
      <c r="AO44" s="37"/>
      <c r="AP44" s="37"/>
      <c r="AQ44" s="38"/>
      <c r="AR44" s="26"/>
      <c r="AS44" s="37"/>
      <c r="AT44" s="37"/>
      <c r="AU44" s="38"/>
      <c r="AV44" s="26"/>
      <c r="AW44" s="37"/>
      <c r="AX44" s="37"/>
      <c r="AY44" s="38"/>
      <c r="AZ44" s="26"/>
      <c r="BA44" s="37"/>
      <c r="BB44" s="37"/>
      <c r="BC44" s="38"/>
      <c r="BD44" s="26"/>
      <c r="BE44" s="37"/>
      <c r="BF44" s="37"/>
      <c r="BG44" s="38"/>
    </row>
    <row r="45" spans="1:59" s="24" customFormat="1" hidden="1">
      <c r="A45" s="3" t="e" vm="43">
        <v>#VALUE!</v>
      </c>
      <c r="B45" s="17" t="e" vm="49">
        <v>#VALUE!</v>
      </c>
      <c r="C45" s="26"/>
      <c r="D45" s="37"/>
      <c r="E45" s="37"/>
      <c r="F45" s="38"/>
      <c r="G45" s="26"/>
      <c r="H45" s="37"/>
      <c r="I45" s="37"/>
      <c r="J45" s="38"/>
      <c r="K45" s="26"/>
      <c r="L45" s="37"/>
      <c r="M45" s="37"/>
      <c r="N45" s="38"/>
      <c r="O45" s="38"/>
      <c r="P45" s="26"/>
      <c r="Q45" s="37"/>
      <c r="R45" s="37"/>
      <c r="S45" s="38"/>
      <c r="T45" s="26"/>
      <c r="U45" s="37"/>
      <c r="V45" s="37"/>
      <c r="W45" s="38"/>
      <c r="X45" s="26"/>
      <c r="Y45" s="37"/>
      <c r="Z45" s="37"/>
      <c r="AA45" s="38"/>
      <c r="AB45" s="26"/>
      <c r="AC45" s="37"/>
      <c r="AD45" s="37"/>
      <c r="AE45" s="38"/>
      <c r="AF45" s="26"/>
      <c r="AG45" s="37"/>
      <c r="AH45" s="37"/>
      <c r="AI45" s="38"/>
      <c r="AJ45" s="26">
        <v>4500</v>
      </c>
      <c r="AK45" s="37">
        <v>4500</v>
      </c>
      <c r="AL45" s="37">
        <v>4500</v>
      </c>
      <c r="AM45" s="38">
        <v>4700</v>
      </c>
      <c r="AN45" s="26"/>
      <c r="AO45" s="37"/>
      <c r="AP45" s="37"/>
      <c r="AQ45" s="38"/>
      <c r="AR45" s="26"/>
      <c r="AS45" s="37"/>
      <c r="AT45" s="37"/>
      <c r="AU45" s="38"/>
      <c r="AV45" s="26"/>
      <c r="AW45" s="37"/>
      <c r="AX45" s="37"/>
      <c r="AY45" s="38"/>
      <c r="AZ45" s="26"/>
      <c r="BA45" s="37"/>
      <c r="BB45" s="37"/>
      <c r="BC45" s="38"/>
      <c r="BD45" s="26"/>
      <c r="BE45" s="37"/>
      <c r="BF45" s="37"/>
      <c r="BG45" s="38"/>
    </row>
    <row r="46" spans="1:59" s="24" customFormat="1" hidden="1">
      <c r="A46" s="3" t="e" vm="43">
        <v>#VALUE!</v>
      </c>
      <c r="B46" s="20" t="e" vm="50">
        <v>#VALUE!</v>
      </c>
      <c r="C46" s="30"/>
      <c r="D46" s="43"/>
      <c r="E46" s="43"/>
      <c r="F46" s="44"/>
      <c r="G46" s="30"/>
      <c r="H46" s="43"/>
      <c r="I46" s="43"/>
      <c r="J46" s="44"/>
      <c r="K46" s="30"/>
      <c r="L46" s="43"/>
      <c r="M46" s="43"/>
      <c r="N46" s="44"/>
      <c r="O46" s="44"/>
      <c r="P46" s="30"/>
      <c r="Q46" s="43"/>
      <c r="R46" s="43"/>
      <c r="S46" s="44"/>
      <c r="T46" s="30"/>
      <c r="U46" s="43"/>
      <c r="V46" s="43"/>
      <c r="W46" s="44"/>
      <c r="X46" s="30"/>
      <c r="Y46" s="43"/>
      <c r="Z46" s="43"/>
      <c r="AA46" s="44"/>
      <c r="AB46" s="30"/>
      <c r="AC46" s="43"/>
      <c r="AD46" s="43"/>
      <c r="AE46" s="44"/>
      <c r="AF46" s="30"/>
      <c r="AG46" s="43"/>
      <c r="AH46" s="43"/>
      <c r="AI46" s="44"/>
      <c r="AJ46" s="30">
        <v>4500</v>
      </c>
      <c r="AK46" s="43">
        <v>4500</v>
      </c>
      <c r="AL46" s="43">
        <v>4500</v>
      </c>
      <c r="AM46" s="44">
        <v>4700</v>
      </c>
      <c r="AN46" s="30"/>
      <c r="AO46" s="43"/>
      <c r="AP46" s="43"/>
      <c r="AQ46" s="44"/>
      <c r="AR46" s="30"/>
      <c r="AS46" s="43"/>
      <c r="AT46" s="43"/>
      <c r="AU46" s="44"/>
      <c r="AV46" s="30"/>
      <c r="AW46" s="43"/>
      <c r="AX46" s="43"/>
      <c r="AY46" s="44"/>
      <c r="AZ46" s="30"/>
      <c r="BA46" s="43"/>
      <c r="BB46" s="43"/>
      <c r="BC46" s="44"/>
      <c r="BD46" s="30"/>
      <c r="BE46" s="43"/>
      <c r="BF46" s="43"/>
      <c r="BG46" s="44"/>
    </row>
    <row r="47" spans="1:59" s="24" customFormat="1" hidden="1">
      <c r="A47" s="3" t="e" vm="51">
        <v>#VALUE!</v>
      </c>
      <c r="B47" s="16" t="e" vm="52">
        <v>#VALUE!</v>
      </c>
      <c r="C47" s="32"/>
      <c r="D47" s="35"/>
      <c r="E47" s="35"/>
      <c r="F47" s="36"/>
      <c r="G47" s="32"/>
      <c r="H47" s="35"/>
      <c r="I47" s="35"/>
      <c r="J47" s="36"/>
      <c r="K47" s="32"/>
      <c r="L47" s="35"/>
      <c r="M47" s="35"/>
      <c r="N47" s="36"/>
      <c r="O47" s="36"/>
      <c r="P47" s="32"/>
      <c r="Q47" s="35"/>
      <c r="R47" s="35"/>
      <c r="S47" s="36"/>
      <c r="T47" s="32"/>
      <c r="U47" s="35"/>
      <c r="V47" s="35"/>
      <c r="W47" s="36"/>
      <c r="X47" s="32"/>
      <c r="Y47" s="35"/>
      <c r="Z47" s="35"/>
      <c r="AA47" s="36"/>
      <c r="AB47" s="32"/>
      <c r="AC47" s="35"/>
      <c r="AD47" s="35"/>
      <c r="AE47" s="36"/>
      <c r="AF47" s="32"/>
      <c r="AG47" s="35"/>
      <c r="AH47" s="35"/>
      <c r="AI47" s="36"/>
      <c r="AJ47" s="32"/>
      <c r="AK47" s="35"/>
      <c r="AL47" s="35"/>
      <c r="AM47" s="36"/>
      <c r="AN47" s="32"/>
      <c r="AO47" s="35"/>
      <c r="AP47" s="35"/>
      <c r="AQ47" s="36"/>
      <c r="AR47" s="32"/>
      <c r="AS47" s="35"/>
      <c r="AT47" s="35"/>
      <c r="AU47" s="36"/>
      <c r="AV47" s="32"/>
      <c r="AW47" s="35"/>
      <c r="AX47" s="35"/>
      <c r="AY47" s="36"/>
      <c r="AZ47" s="32"/>
      <c r="BA47" s="35"/>
      <c r="BB47" s="35"/>
      <c r="BC47" s="36"/>
      <c r="BD47" s="32"/>
      <c r="BE47" s="35"/>
      <c r="BF47" s="35"/>
      <c r="BG47" s="36"/>
    </row>
    <row r="48" spans="1:59" s="24" customFormat="1" hidden="1">
      <c r="A48" s="3" t="e" vm="51">
        <v>#VALUE!</v>
      </c>
      <c r="B48" s="17" t="e" vm="53">
        <v>#VALUE!</v>
      </c>
      <c r="C48" s="26"/>
      <c r="D48" s="37"/>
      <c r="E48" s="37"/>
      <c r="F48" s="38"/>
      <c r="G48" s="26"/>
      <c r="H48" s="37"/>
      <c r="I48" s="37"/>
      <c r="J48" s="38"/>
      <c r="K48" s="26"/>
      <c r="L48" s="37"/>
      <c r="M48" s="37"/>
      <c r="N48" s="38"/>
      <c r="O48" s="38"/>
      <c r="P48" s="26"/>
      <c r="Q48" s="37"/>
      <c r="R48" s="37"/>
      <c r="S48" s="38"/>
      <c r="T48" s="26"/>
      <c r="U48" s="37"/>
      <c r="V48" s="37"/>
      <c r="W48" s="38"/>
      <c r="X48" s="26"/>
      <c r="Y48" s="37"/>
      <c r="Z48" s="37"/>
      <c r="AA48" s="38"/>
      <c r="AB48" s="26"/>
      <c r="AC48" s="37"/>
      <c r="AD48" s="37"/>
      <c r="AE48" s="38"/>
      <c r="AF48" s="26"/>
      <c r="AG48" s="37"/>
      <c r="AH48" s="37"/>
      <c r="AI48" s="38"/>
      <c r="AJ48" s="26"/>
      <c r="AK48" s="37"/>
      <c r="AL48" s="37"/>
      <c r="AM48" s="38"/>
      <c r="AN48" s="26"/>
      <c r="AO48" s="37"/>
      <c r="AP48" s="37"/>
      <c r="AQ48" s="38"/>
      <c r="AR48" s="26"/>
      <c r="AS48" s="37"/>
      <c r="AT48" s="37"/>
      <c r="AU48" s="38"/>
      <c r="AV48" s="26"/>
      <c r="AW48" s="37"/>
      <c r="AX48" s="37"/>
      <c r="AY48" s="38"/>
      <c r="AZ48" s="26"/>
      <c r="BA48" s="37"/>
      <c r="BB48" s="37"/>
      <c r="BC48" s="38"/>
      <c r="BD48" s="26"/>
      <c r="BE48" s="37"/>
      <c r="BF48" s="37"/>
      <c r="BG48" s="38"/>
    </row>
    <row r="49" spans="1:59" s="24" customFormat="1" ht="15.75" hidden="1" thickBot="1">
      <c r="A49" s="3" t="e" vm="51">
        <v>#VALUE!</v>
      </c>
      <c r="B49" s="18" t="e" vm="54">
        <v>#VALUE!</v>
      </c>
      <c r="C49" s="33"/>
      <c r="D49" s="39"/>
      <c r="E49" s="39"/>
      <c r="F49" s="40"/>
      <c r="G49" s="33"/>
      <c r="H49" s="39"/>
      <c r="I49" s="39"/>
      <c r="J49" s="40"/>
      <c r="K49" s="33"/>
      <c r="L49" s="39"/>
      <c r="M49" s="39"/>
      <c r="N49" s="40"/>
      <c r="O49" s="40"/>
      <c r="P49" s="33"/>
      <c r="Q49" s="39"/>
      <c r="R49" s="39"/>
      <c r="S49" s="40"/>
      <c r="T49" s="33"/>
      <c r="U49" s="39"/>
      <c r="V49" s="39"/>
      <c r="W49" s="40"/>
      <c r="X49" s="33"/>
      <c r="Y49" s="39"/>
      <c r="Z49" s="39"/>
      <c r="AA49" s="40"/>
      <c r="AB49" s="33"/>
      <c r="AC49" s="39"/>
      <c r="AD49" s="39"/>
      <c r="AE49" s="40"/>
      <c r="AF49" s="33"/>
      <c r="AG49" s="39"/>
      <c r="AH49" s="39"/>
      <c r="AI49" s="40"/>
      <c r="AJ49" s="33"/>
      <c r="AK49" s="39"/>
      <c r="AL49" s="39"/>
      <c r="AM49" s="40"/>
      <c r="AN49" s="33"/>
      <c r="AO49" s="39"/>
      <c r="AP49" s="39"/>
      <c r="AQ49" s="40"/>
      <c r="AR49" s="33"/>
      <c r="AS49" s="39"/>
      <c r="AT49" s="39"/>
      <c r="AU49" s="40"/>
      <c r="AV49" s="33"/>
      <c r="AW49" s="39"/>
      <c r="AX49" s="39"/>
      <c r="AY49" s="40"/>
      <c r="AZ49" s="33"/>
      <c r="BA49" s="39"/>
      <c r="BB49" s="39"/>
      <c r="BC49" s="40"/>
      <c r="BD49" s="33"/>
      <c r="BE49" s="39"/>
      <c r="BF49" s="39"/>
      <c r="BG49" s="40"/>
    </row>
    <row r="50" spans="1:59" s="24" customFormat="1" hidden="1">
      <c r="A50" s="3" t="e" vm="55">
        <v>#VALUE!</v>
      </c>
      <c r="B50" s="19" t="e" vm="56">
        <v>#VALUE!</v>
      </c>
      <c r="C50" s="29"/>
      <c r="D50" s="41"/>
      <c r="E50" s="41"/>
      <c r="F50" s="42"/>
      <c r="G50" s="29"/>
      <c r="H50" s="41"/>
      <c r="I50" s="41"/>
      <c r="J50" s="42"/>
      <c r="K50" s="29"/>
      <c r="L50" s="41"/>
      <c r="M50" s="41"/>
      <c r="N50" s="42"/>
      <c r="O50" s="42"/>
      <c r="P50" s="29"/>
      <c r="Q50" s="41"/>
      <c r="R50" s="41"/>
      <c r="S50" s="42"/>
      <c r="T50" s="29"/>
      <c r="U50" s="41"/>
      <c r="V50" s="41"/>
      <c r="W50" s="42"/>
      <c r="X50" s="29"/>
      <c r="Y50" s="41"/>
      <c r="Z50" s="41"/>
      <c r="AA50" s="42"/>
      <c r="AB50" s="29"/>
      <c r="AC50" s="41"/>
      <c r="AD50" s="41"/>
      <c r="AE50" s="42"/>
      <c r="AF50" s="29"/>
      <c r="AG50" s="41"/>
      <c r="AH50" s="41"/>
      <c r="AI50" s="42"/>
      <c r="AJ50" s="29">
        <v>4500</v>
      </c>
      <c r="AK50" s="41">
        <v>4500</v>
      </c>
      <c r="AL50" s="41">
        <v>4500</v>
      </c>
      <c r="AM50" s="42">
        <v>4700</v>
      </c>
      <c r="AN50" s="29"/>
      <c r="AO50" s="41"/>
      <c r="AP50" s="41"/>
      <c r="AQ50" s="42"/>
      <c r="AR50" s="29"/>
      <c r="AS50" s="41"/>
      <c r="AT50" s="41"/>
      <c r="AU50" s="42"/>
      <c r="AV50" s="29"/>
      <c r="AW50" s="41"/>
      <c r="AX50" s="41"/>
      <c r="AY50" s="42"/>
      <c r="AZ50" s="29"/>
      <c r="BA50" s="41"/>
      <c r="BB50" s="41"/>
      <c r="BC50" s="42"/>
      <c r="BD50" s="29"/>
      <c r="BE50" s="41"/>
      <c r="BF50" s="41"/>
      <c r="BG50" s="42"/>
    </row>
    <row r="51" spans="1:59" s="24" customFormat="1" hidden="1">
      <c r="A51" s="3" t="e" vm="55">
        <v>#VALUE!</v>
      </c>
      <c r="B51" s="17" t="e" vm="57">
        <v>#VALUE!</v>
      </c>
      <c r="C51" s="26"/>
      <c r="D51" s="37"/>
      <c r="E51" s="37"/>
      <c r="F51" s="38"/>
      <c r="G51" s="26"/>
      <c r="H51" s="37"/>
      <c r="I51" s="37"/>
      <c r="J51" s="38"/>
      <c r="K51" s="26"/>
      <c r="L51" s="37"/>
      <c r="M51" s="37"/>
      <c r="N51" s="38"/>
      <c r="O51" s="38"/>
      <c r="P51" s="26"/>
      <c r="Q51" s="37"/>
      <c r="R51" s="37"/>
      <c r="S51" s="38"/>
      <c r="T51" s="26"/>
      <c r="U51" s="37"/>
      <c r="V51" s="37"/>
      <c r="W51" s="38"/>
      <c r="X51" s="26"/>
      <c r="Y51" s="37"/>
      <c r="Z51" s="37"/>
      <c r="AA51" s="38"/>
      <c r="AB51" s="26"/>
      <c r="AC51" s="37"/>
      <c r="AD51" s="37"/>
      <c r="AE51" s="38"/>
      <c r="AF51" s="26"/>
      <c r="AG51" s="37"/>
      <c r="AH51" s="37"/>
      <c r="AI51" s="38"/>
      <c r="AJ51" s="26">
        <v>4500</v>
      </c>
      <c r="AK51" s="37">
        <v>4500</v>
      </c>
      <c r="AL51" s="37">
        <v>4500</v>
      </c>
      <c r="AM51" s="38">
        <v>4700</v>
      </c>
      <c r="AN51" s="26"/>
      <c r="AO51" s="37"/>
      <c r="AP51" s="37"/>
      <c r="AQ51" s="38"/>
      <c r="AR51" s="26"/>
      <c r="AS51" s="37"/>
      <c r="AT51" s="37"/>
      <c r="AU51" s="38"/>
      <c r="AV51" s="26"/>
      <c r="AW51" s="37"/>
      <c r="AX51" s="37"/>
      <c r="AY51" s="38"/>
      <c r="AZ51" s="26"/>
      <c r="BA51" s="37"/>
      <c r="BB51" s="37"/>
      <c r="BC51" s="38"/>
      <c r="BD51" s="26"/>
      <c r="BE51" s="37"/>
      <c r="BF51" s="37"/>
      <c r="BG51" s="38"/>
    </row>
    <row r="52" spans="1:59" s="24" customFormat="1" hidden="1">
      <c r="A52" s="3" t="e" vm="55">
        <v>#VALUE!</v>
      </c>
      <c r="B52" s="17" t="e" vm="58">
        <v>#VALUE!</v>
      </c>
      <c r="C52" s="26"/>
      <c r="D52" s="37"/>
      <c r="E52" s="37"/>
      <c r="F52" s="38"/>
      <c r="G52" s="26"/>
      <c r="H52" s="37"/>
      <c r="I52" s="37"/>
      <c r="J52" s="38"/>
      <c r="K52" s="26"/>
      <c r="L52" s="37"/>
      <c r="M52" s="37"/>
      <c r="N52" s="38"/>
      <c r="O52" s="38"/>
      <c r="P52" s="26"/>
      <c r="Q52" s="37"/>
      <c r="R52" s="37"/>
      <c r="S52" s="38"/>
      <c r="T52" s="26"/>
      <c r="U52" s="37"/>
      <c r="V52" s="37"/>
      <c r="W52" s="38"/>
      <c r="X52" s="26"/>
      <c r="Y52" s="37"/>
      <c r="Z52" s="37"/>
      <c r="AA52" s="38"/>
      <c r="AB52" s="26"/>
      <c r="AC52" s="37"/>
      <c r="AD52" s="37"/>
      <c r="AE52" s="38"/>
      <c r="AF52" s="26"/>
      <c r="AG52" s="37"/>
      <c r="AH52" s="37"/>
      <c r="AI52" s="38"/>
      <c r="AJ52" s="26">
        <v>4500</v>
      </c>
      <c r="AK52" s="37">
        <v>4500</v>
      </c>
      <c r="AL52" s="37">
        <v>4500</v>
      </c>
      <c r="AM52" s="38">
        <v>4700</v>
      </c>
      <c r="AN52" s="26"/>
      <c r="AO52" s="37"/>
      <c r="AP52" s="37"/>
      <c r="AQ52" s="38"/>
      <c r="AR52" s="26"/>
      <c r="AS52" s="37"/>
      <c r="AT52" s="37"/>
      <c r="AU52" s="38"/>
      <c r="AV52" s="26"/>
      <c r="AW52" s="37"/>
      <c r="AX52" s="37"/>
      <c r="AY52" s="38"/>
      <c r="AZ52" s="26"/>
      <c r="BA52" s="37"/>
      <c r="BB52" s="37"/>
      <c r="BC52" s="38"/>
      <c r="BD52" s="26"/>
      <c r="BE52" s="37"/>
      <c r="BF52" s="37"/>
      <c r="BG52" s="38"/>
    </row>
    <row r="53" spans="1:59" s="24" customFormat="1" hidden="1">
      <c r="A53" s="3" t="e" vm="55">
        <v>#VALUE!</v>
      </c>
      <c r="B53" s="17" t="e" vm="59">
        <v>#VALUE!</v>
      </c>
      <c r="C53" s="26"/>
      <c r="D53" s="37"/>
      <c r="E53" s="37"/>
      <c r="F53" s="38"/>
      <c r="G53" s="26"/>
      <c r="H53" s="37"/>
      <c r="I53" s="37"/>
      <c r="J53" s="38"/>
      <c r="K53" s="26"/>
      <c r="L53" s="37"/>
      <c r="M53" s="37"/>
      <c r="N53" s="38"/>
      <c r="O53" s="38"/>
      <c r="P53" s="26"/>
      <c r="Q53" s="37"/>
      <c r="R53" s="37"/>
      <c r="S53" s="38"/>
      <c r="T53" s="26"/>
      <c r="U53" s="37"/>
      <c r="V53" s="37"/>
      <c r="W53" s="38"/>
      <c r="X53" s="26"/>
      <c r="Y53" s="37"/>
      <c r="Z53" s="37"/>
      <c r="AA53" s="38"/>
      <c r="AB53" s="26"/>
      <c r="AC53" s="37"/>
      <c r="AD53" s="37"/>
      <c r="AE53" s="38"/>
      <c r="AF53" s="26"/>
      <c r="AG53" s="37"/>
      <c r="AH53" s="37"/>
      <c r="AI53" s="38"/>
      <c r="AJ53" s="26">
        <v>4500</v>
      </c>
      <c r="AK53" s="37">
        <v>4500</v>
      </c>
      <c r="AL53" s="37">
        <v>4500</v>
      </c>
      <c r="AM53" s="38">
        <v>4700</v>
      </c>
      <c r="AN53" s="26"/>
      <c r="AO53" s="37"/>
      <c r="AP53" s="37"/>
      <c r="AQ53" s="38"/>
      <c r="AR53" s="26"/>
      <c r="AS53" s="37"/>
      <c r="AT53" s="37"/>
      <c r="AU53" s="38"/>
      <c r="AV53" s="26"/>
      <c r="AW53" s="37"/>
      <c r="AX53" s="37"/>
      <c r="AY53" s="38"/>
      <c r="AZ53" s="26"/>
      <c r="BA53" s="37"/>
      <c r="BB53" s="37"/>
      <c r="BC53" s="38"/>
      <c r="BD53" s="26"/>
      <c r="BE53" s="37"/>
      <c r="BF53" s="37"/>
      <c r="BG53" s="38"/>
    </row>
    <row r="54" spans="1:59" s="24" customFormat="1" hidden="1">
      <c r="A54" s="3" t="e" vm="55">
        <v>#VALUE!</v>
      </c>
      <c r="B54" s="17" t="e" vm="60">
        <v>#VALUE!</v>
      </c>
      <c r="C54" s="26"/>
      <c r="D54" s="37"/>
      <c r="E54" s="37"/>
      <c r="F54" s="38"/>
      <c r="G54" s="26"/>
      <c r="H54" s="37"/>
      <c r="I54" s="37"/>
      <c r="J54" s="38"/>
      <c r="K54" s="26"/>
      <c r="L54" s="37"/>
      <c r="M54" s="37"/>
      <c r="N54" s="38"/>
      <c r="O54" s="38"/>
      <c r="P54" s="26"/>
      <c r="Q54" s="37"/>
      <c r="R54" s="37"/>
      <c r="S54" s="38"/>
      <c r="T54" s="26"/>
      <c r="U54" s="37"/>
      <c r="V54" s="37"/>
      <c r="W54" s="38"/>
      <c r="X54" s="26"/>
      <c r="Y54" s="37"/>
      <c r="Z54" s="37"/>
      <c r="AA54" s="38"/>
      <c r="AB54" s="26"/>
      <c r="AC54" s="37"/>
      <c r="AD54" s="37"/>
      <c r="AE54" s="38"/>
      <c r="AF54" s="26"/>
      <c r="AG54" s="37"/>
      <c r="AH54" s="37"/>
      <c r="AI54" s="38"/>
      <c r="AJ54" s="26">
        <v>4500</v>
      </c>
      <c r="AK54" s="37">
        <v>4500</v>
      </c>
      <c r="AL54" s="37">
        <v>4500</v>
      </c>
      <c r="AM54" s="38">
        <v>4700</v>
      </c>
      <c r="AN54" s="26"/>
      <c r="AO54" s="37"/>
      <c r="AP54" s="37"/>
      <c r="AQ54" s="38"/>
      <c r="AR54" s="26"/>
      <c r="AS54" s="37"/>
      <c r="AT54" s="37"/>
      <c r="AU54" s="38"/>
      <c r="AV54" s="26"/>
      <c r="AW54" s="37"/>
      <c r="AX54" s="37"/>
      <c r="AY54" s="38"/>
      <c r="AZ54" s="26"/>
      <c r="BA54" s="37"/>
      <c r="BB54" s="37"/>
      <c r="BC54" s="38"/>
      <c r="BD54" s="26"/>
      <c r="BE54" s="37"/>
      <c r="BF54" s="37"/>
      <c r="BG54" s="38"/>
    </row>
    <row r="55" spans="1:59" s="24" customFormat="1" hidden="1">
      <c r="A55" s="3" t="e" vm="55">
        <v>#VALUE!</v>
      </c>
      <c r="B55" s="17" t="e" vm="61">
        <v>#VALUE!</v>
      </c>
      <c r="C55" s="26"/>
      <c r="D55" s="37"/>
      <c r="E55" s="37"/>
      <c r="F55" s="38"/>
      <c r="G55" s="26"/>
      <c r="H55" s="37"/>
      <c r="I55" s="37"/>
      <c r="J55" s="38"/>
      <c r="K55" s="26"/>
      <c r="L55" s="37"/>
      <c r="M55" s="37"/>
      <c r="N55" s="38"/>
      <c r="O55" s="38"/>
      <c r="P55" s="26"/>
      <c r="Q55" s="37"/>
      <c r="R55" s="37"/>
      <c r="S55" s="38"/>
      <c r="T55" s="26"/>
      <c r="U55" s="37"/>
      <c r="V55" s="37"/>
      <c r="W55" s="38"/>
      <c r="X55" s="26"/>
      <c r="Y55" s="37"/>
      <c r="Z55" s="37"/>
      <c r="AA55" s="38"/>
      <c r="AB55" s="26"/>
      <c r="AC55" s="37"/>
      <c r="AD55" s="37"/>
      <c r="AE55" s="38"/>
      <c r="AF55" s="26"/>
      <c r="AG55" s="37"/>
      <c r="AH55" s="37"/>
      <c r="AI55" s="38"/>
      <c r="AJ55" s="26">
        <v>4500</v>
      </c>
      <c r="AK55" s="37">
        <v>4500</v>
      </c>
      <c r="AL55" s="37">
        <v>4500</v>
      </c>
      <c r="AM55" s="38">
        <v>4700</v>
      </c>
      <c r="AN55" s="26"/>
      <c r="AO55" s="37"/>
      <c r="AP55" s="37"/>
      <c r="AQ55" s="38"/>
      <c r="AR55" s="26"/>
      <c r="AS55" s="37"/>
      <c r="AT55" s="37"/>
      <c r="AU55" s="38"/>
      <c r="AV55" s="26"/>
      <c r="AW55" s="37"/>
      <c r="AX55" s="37"/>
      <c r="AY55" s="38"/>
      <c r="AZ55" s="26"/>
      <c r="BA55" s="37"/>
      <c r="BB55" s="37"/>
      <c r="BC55" s="38"/>
      <c r="BD55" s="26"/>
      <c r="BE55" s="37"/>
      <c r="BF55" s="37"/>
      <c r="BG55" s="38"/>
    </row>
    <row r="56" spans="1:59" s="24" customFormat="1" hidden="1">
      <c r="A56" s="3" t="e" vm="62">
        <v>#VALUE!</v>
      </c>
      <c r="B56" s="17" t="e" vm="63">
        <v>#VALUE!</v>
      </c>
      <c r="C56" s="26"/>
      <c r="D56" s="37"/>
      <c r="E56" s="37"/>
      <c r="F56" s="38"/>
      <c r="G56" s="26"/>
      <c r="H56" s="37"/>
      <c r="I56" s="37"/>
      <c r="J56" s="38"/>
      <c r="K56" s="26"/>
      <c r="L56" s="37"/>
      <c r="M56" s="37"/>
      <c r="N56" s="38"/>
      <c r="O56" s="38"/>
      <c r="P56" s="26"/>
      <c r="Q56" s="37"/>
      <c r="R56" s="37"/>
      <c r="S56" s="38"/>
      <c r="T56" s="26"/>
      <c r="U56" s="37"/>
      <c r="V56" s="37"/>
      <c r="W56" s="38"/>
      <c r="X56" s="26"/>
      <c r="Y56" s="37"/>
      <c r="Z56" s="37"/>
      <c r="AA56" s="38"/>
      <c r="AB56" s="26"/>
      <c r="AC56" s="37"/>
      <c r="AD56" s="37"/>
      <c r="AE56" s="38"/>
      <c r="AF56" s="26"/>
      <c r="AG56" s="37"/>
      <c r="AH56" s="37"/>
      <c r="AI56" s="38"/>
      <c r="AJ56" s="26">
        <v>4500</v>
      </c>
      <c r="AK56" s="37">
        <v>4500</v>
      </c>
      <c r="AL56" s="37">
        <v>4500</v>
      </c>
      <c r="AM56" s="38">
        <v>4700</v>
      </c>
      <c r="AN56" s="26"/>
      <c r="AO56" s="37"/>
      <c r="AP56" s="37"/>
      <c r="AQ56" s="38"/>
      <c r="AR56" s="26"/>
      <c r="AS56" s="37"/>
      <c r="AT56" s="37"/>
      <c r="AU56" s="38"/>
      <c r="AV56" s="26"/>
      <c r="AW56" s="37"/>
      <c r="AX56" s="37"/>
      <c r="AY56" s="38"/>
      <c r="AZ56" s="26"/>
      <c r="BA56" s="37"/>
      <c r="BB56" s="37"/>
      <c r="BC56" s="38"/>
      <c r="BD56" s="26"/>
      <c r="BE56" s="37"/>
      <c r="BF56" s="37"/>
      <c r="BG56" s="38"/>
    </row>
    <row r="57" spans="1:59" s="24" customFormat="1" hidden="1">
      <c r="A57" s="3" t="e" vm="62">
        <v>#VALUE!</v>
      </c>
      <c r="B57" s="20" t="e" vm="62">
        <v>#VALUE!</v>
      </c>
      <c r="C57" s="30"/>
      <c r="D57" s="43"/>
      <c r="E57" s="43"/>
      <c r="F57" s="44"/>
      <c r="G57" s="30"/>
      <c r="H57" s="43"/>
      <c r="I57" s="43"/>
      <c r="J57" s="44"/>
      <c r="K57" s="30"/>
      <c r="L57" s="43"/>
      <c r="M57" s="43"/>
      <c r="N57" s="44"/>
      <c r="O57" s="44"/>
      <c r="P57" s="30"/>
      <c r="Q57" s="43"/>
      <c r="R57" s="43"/>
      <c r="S57" s="44"/>
      <c r="T57" s="30"/>
      <c r="U57" s="43"/>
      <c r="V57" s="43"/>
      <c r="W57" s="44"/>
      <c r="X57" s="30"/>
      <c r="Y57" s="43"/>
      <c r="Z57" s="43"/>
      <c r="AA57" s="44"/>
      <c r="AB57" s="30"/>
      <c r="AC57" s="43"/>
      <c r="AD57" s="43"/>
      <c r="AE57" s="44"/>
      <c r="AF57" s="30"/>
      <c r="AG57" s="43"/>
      <c r="AH57" s="43"/>
      <c r="AI57" s="44"/>
      <c r="AJ57" s="30">
        <v>4500</v>
      </c>
      <c r="AK57" s="43">
        <v>4500</v>
      </c>
      <c r="AL57" s="43">
        <v>4500</v>
      </c>
      <c r="AM57" s="44">
        <v>4700</v>
      </c>
      <c r="AN57" s="30"/>
      <c r="AO57" s="43"/>
      <c r="AP57" s="43"/>
      <c r="AQ57" s="44"/>
      <c r="AR57" s="30"/>
      <c r="AS57" s="43"/>
      <c r="AT57" s="43"/>
      <c r="AU57" s="44"/>
      <c r="AV57" s="30"/>
      <c r="AW57" s="43"/>
      <c r="AX57" s="43"/>
      <c r="AY57" s="44"/>
      <c r="AZ57" s="30"/>
      <c r="BA57" s="43"/>
      <c r="BB57" s="43"/>
      <c r="BC57" s="44"/>
      <c r="BD57" s="30"/>
      <c r="BE57" s="43"/>
      <c r="BF57" s="43"/>
      <c r="BG57" s="44"/>
    </row>
    <row r="58" spans="1:59" s="24" customFormat="1" hidden="1">
      <c r="A58" s="3" t="e" vm="64">
        <v>#VALUE!</v>
      </c>
      <c r="B58" s="16" t="e" vm="65">
        <v>#VALUE!</v>
      </c>
      <c r="C58" s="32"/>
      <c r="D58" s="35"/>
      <c r="E58" s="35"/>
      <c r="F58" s="36"/>
      <c r="G58" s="32"/>
      <c r="H58" s="35"/>
      <c r="I58" s="35"/>
      <c r="J58" s="36"/>
      <c r="K58" s="32"/>
      <c r="L58" s="35"/>
      <c r="M58" s="35"/>
      <c r="N58" s="36"/>
      <c r="O58" s="36"/>
      <c r="P58" s="32"/>
      <c r="Q58" s="35"/>
      <c r="R58" s="35"/>
      <c r="S58" s="36"/>
      <c r="T58" s="32"/>
      <c r="U58" s="35"/>
      <c r="V58" s="35"/>
      <c r="W58" s="36"/>
      <c r="X58" s="32"/>
      <c r="Y58" s="35"/>
      <c r="Z58" s="35"/>
      <c r="AA58" s="36"/>
      <c r="AB58" s="32"/>
      <c r="AC58" s="35"/>
      <c r="AD58" s="35"/>
      <c r="AE58" s="36"/>
      <c r="AF58" s="32"/>
      <c r="AG58" s="35"/>
      <c r="AH58" s="35"/>
      <c r="AI58" s="36"/>
      <c r="AJ58" s="32"/>
      <c r="AK58" s="35"/>
      <c r="AL58" s="35"/>
      <c r="AM58" s="36"/>
      <c r="AN58" s="32">
        <v>2950</v>
      </c>
      <c r="AO58" s="35">
        <v>2950</v>
      </c>
      <c r="AP58" s="35">
        <v>2950</v>
      </c>
      <c r="AQ58" s="36">
        <v>2950</v>
      </c>
      <c r="AR58" s="32"/>
      <c r="AS58" s="35"/>
      <c r="AT58" s="35"/>
      <c r="AU58" s="36"/>
      <c r="AV58" s="32"/>
      <c r="AW58" s="35"/>
      <c r="AX58" s="35"/>
      <c r="AY58" s="36"/>
      <c r="AZ58" s="32"/>
      <c r="BA58" s="35"/>
      <c r="BB58" s="35"/>
      <c r="BC58" s="36"/>
      <c r="BD58" s="32"/>
      <c r="BE58" s="35"/>
      <c r="BF58" s="35"/>
      <c r="BG58" s="36"/>
    </row>
    <row r="59" spans="1:59" s="24" customFormat="1" hidden="1">
      <c r="A59" s="3" t="e" vm="64">
        <v>#VALUE!</v>
      </c>
      <c r="B59" s="17" t="e" vm="66">
        <v>#VALUE!</v>
      </c>
      <c r="C59" s="26"/>
      <c r="D59" s="37"/>
      <c r="E59" s="37"/>
      <c r="F59" s="38"/>
      <c r="G59" s="26"/>
      <c r="H59" s="37"/>
      <c r="I59" s="37"/>
      <c r="J59" s="38"/>
      <c r="K59" s="26"/>
      <c r="L59" s="37"/>
      <c r="M59" s="37"/>
      <c r="N59" s="38"/>
      <c r="O59" s="38"/>
      <c r="P59" s="26"/>
      <c r="Q59" s="37"/>
      <c r="R59" s="37"/>
      <c r="S59" s="38"/>
      <c r="T59" s="26"/>
      <c r="U59" s="37"/>
      <c r="V59" s="37"/>
      <c r="W59" s="38"/>
      <c r="X59" s="26"/>
      <c r="Y59" s="37"/>
      <c r="Z59" s="37"/>
      <c r="AA59" s="38"/>
      <c r="AB59" s="26"/>
      <c r="AC59" s="37"/>
      <c r="AD59" s="37"/>
      <c r="AE59" s="38"/>
      <c r="AF59" s="26"/>
      <c r="AG59" s="37"/>
      <c r="AH59" s="37"/>
      <c r="AI59" s="38"/>
      <c r="AJ59" s="26"/>
      <c r="AK59" s="37"/>
      <c r="AL59" s="37"/>
      <c r="AM59" s="38"/>
      <c r="AN59" s="26">
        <v>2950</v>
      </c>
      <c r="AO59" s="37">
        <v>2950</v>
      </c>
      <c r="AP59" s="37">
        <v>2950</v>
      </c>
      <c r="AQ59" s="38">
        <v>2950</v>
      </c>
      <c r="AR59" s="26"/>
      <c r="AS59" s="37"/>
      <c r="AT59" s="37"/>
      <c r="AU59" s="38"/>
      <c r="AV59" s="26"/>
      <c r="AW59" s="37"/>
      <c r="AX59" s="37"/>
      <c r="AY59" s="38"/>
      <c r="AZ59" s="26"/>
      <c r="BA59" s="37"/>
      <c r="BB59" s="37"/>
      <c r="BC59" s="38"/>
      <c r="BD59" s="26"/>
      <c r="BE59" s="37"/>
      <c r="BF59" s="37"/>
      <c r="BG59" s="38"/>
    </row>
    <row r="60" spans="1:59" s="24" customFormat="1" hidden="1">
      <c r="A60" s="3" t="e" vm="64">
        <v>#VALUE!</v>
      </c>
      <c r="B60" s="17" t="e" vm="67">
        <v>#VALUE!</v>
      </c>
      <c r="C60" s="26"/>
      <c r="D60" s="37"/>
      <c r="E60" s="37"/>
      <c r="F60" s="38"/>
      <c r="G60" s="26"/>
      <c r="H60" s="37"/>
      <c r="I60" s="37"/>
      <c r="J60" s="38"/>
      <c r="K60" s="26"/>
      <c r="L60" s="37"/>
      <c r="M60" s="37"/>
      <c r="N60" s="38"/>
      <c r="O60" s="38"/>
      <c r="P60" s="26"/>
      <c r="Q60" s="37"/>
      <c r="R60" s="37"/>
      <c r="S60" s="38"/>
      <c r="T60" s="26"/>
      <c r="U60" s="37"/>
      <c r="V60" s="37"/>
      <c r="W60" s="38"/>
      <c r="X60" s="26"/>
      <c r="Y60" s="37"/>
      <c r="Z60" s="37"/>
      <c r="AA60" s="38"/>
      <c r="AB60" s="26"/>
      <c r="AC60" s="37"/>
      <c r="AD60" s="37"/>
      <c r="AE60" s="38"/>
      <c r="AF60" s="26"/>
      <c r="AG60" s="37"/>
      <c r="AH60" s="37"/>
      <c r="AI60" s="38"/>
      <c r="AJ60" s="26"/>
      <c r="AK60" s="37"/>
      <c r="AL60" s="37"/>
      <c r="AM60" s="38"/>
      <c r="AN60" s="26">
        <v>2950</v>
      </c>
      <c r="AO60" s="37">
        <v>2950</v>
      </c>
      <c r="AP60" s="37">
        <v>2950</v>
      </c>
      <c r="AQ60" s="38">
        <v>2950</v>
      </c>
      <c r="AR60" s="26"/>
      <c r="AS60" s="37"/>
      <c r="AT60" s="37"/>
      <c r="AU60" s="38"/>
      <c r="AV60" s="26"/>
      <c r="AW60" s="37"/>
      <c r="AX60" s="37"/>
      <c r="AY60" s="38"/>
      <c r="AZ60" s="26"/>
      <c r="BA60" s="37"/>
      <c r="BB60" s="37"/>
      <c r="BC60" s="38"/>
      <c r="BD60" s="26"/>
      <c r="BE60" s="37"/>
      <c r="BF60" s="37"/>
      <c r="BG60" s="38"/>
    </row>
    <row r="61" spans="1:59" s="24" customFormat="1" hidden="1">
      <c r="A61" s="3" t="e" vm="64">
        <v>#VALUE!</v>
      </c>
      <c r="B61" s="17" t="e" vm="68">
        <v>#VALUE!</v>
      </c>
      <c r="C61" s="26"/>
      <c r="D61" s="37"/>
      <c r="E61" s="37"/>
      <c r="F61" s="38"/>
      <c r="G61" s="26"/>
      <c r="H61" s="37"/>
      <c r="I61" s="37"/>
      <c r="J61" s="38"/>
      <c r="K61" s="26"/>
      <c r="L61" s="37"/>
      <c r="M61" s="37"/>
      <c r="N61" s="38"/>
      <c r="O61" s="38"/>
      <c r="P61" s="26"/>
      <c r="Q61" s="37"/>
      <c r="R61" s="37"/>
      <c r="S61" s="38"/>
      <c r="T61" s="26"/>
      <c r="U61" s="37"/>
      <c r="V61" s="37"/>
      <c r="W61" s="38"/>
      <c r="X61" s="26"/>
      <c r="Y61" s="37"/>
      <c r="Z61" s="37"/>
      <c r="AA61" s="38"/>
      <c r="AB61" s="26"/>
      <c r="AC61" s="37"/>
      <c r="AD61" s="37"/>
      <c r="AE61" s="38"/>
      <c r="AF61" s="26"/>
      <c r="AG61" s="37"/>
      <c r="AH61" s="37"/>
      <c r="AI61" s="38"/>
      <c r="AJ61" s="26"/>
      <c r="AK61" s="37"/>
      <c r="AL61" s="37"/>
      <c r="AM61" s="38"/>
      <c r="AN61" s="26">
        <v>2950</v>
      </c>
      <c r="AO61" s="37">
        <v>2950</v>
      </c>
      <c r="AP61" s="37">
        <v>2950</v>
      </c>
      <c r="AQ61" s="38">
        <v>2950</v>
      </c>
      <c r="AR61" s="26"/>
      <c r="AS61" s="37"/>
      <c r="AT61" s="37"/>
      <c r="AU61" s="38"/>
      <c r="AV61" s="26"/>
      <c r="AW61" s="37"/>
      <c r="AX61" s="37"/>
      <c r="AY61" s="38"/>
      <c r="AZ61" s="26"/>
      <c r="BA61" s="37"/>
      <c r="BB61" s="37"/>
      <c r="BC61" s="38"/>
      <c r="BD61" s="26"/>
      <c r="BE61" s="37"/>
      <c r="BF61" s="37"/>
      <c r="BG61" s="38"/>
    </row>
    <row r="62" spans="1:59" s="24" customFormat="1" hidden="1">
      <c r="A62" s="3" t="e" vm="64">
        <v>#VALUE!</v>
      </c>
      <c r="B62" s="17" t="e" vm="69">
        <v>#VALUE!</v>
      </c>
      <c r="C62" s="26"/>
      <c r="D62" s="37"/>
      <c r="E62" s="37"/>
      <c r="F62" s="38"/>
      <c r="G62" s="26"/>
      <c r="H62" s="37"/>
      <c r="I62" s="37"/>
      <c r="J62" s="38"/>
      <c r="K62" s="26"/>
      <c r="L62" s="37"/>
      <c r="M62" s="37"/>
      <c r="N62" s="38"/>
      <c r="O62" s="38"/>
      <c r="P62" s="26"/>
      <c r="Q62" s="37"/>
      <c r="R62" s="37"/>
      <c r="S62" s="38"/>
      <c r="T62" s="26"/>
      <c r="U62" s="37"/>
      <c r="V62" s="37"/>
      <c r="W62" s="38"/>
      <c r="X62" s="26"/>
      <c r="Y62" s="37"/>
      <c r="Z62" s="37"/>
      <c r="AA62" s="38"/>
      <c r="AB62" s="26"/>
      <c r="AC62" s="37"/>
      <c r="AD62" s="37"/>
      <c r="AE62" s="38"/>
      <c r="AF62" s="26"/>
      <c r="AG62" s="37"/>
      <c r="AH62" s="37"/>
      <c r="AI62" s="38"/>
      <c r="AJ62" s="26"/>
      <c r="AK62" s="37"/>
      <c r="AL62" s="37"/>
      <c r="AM62" s="38"/>
      <c r="AN62" s="26">
        <v>2950</v>
      </c>
      <c r="AO62" s="37">
        <v>2950</v>
      </c>
      <c r="AP62" s="37">
        <v>2950</v>
      </c>
      <c r="AQ62" s="38">
        <v>2950</v>
      </c>
      <c r="AR62" s="26"/>
      <c r="AS62" s="37"/>
      <c r="AT62" s="37"/>
      <c r="AU62" s="38"/>
      <c r="AV62" s="26"/>
      <c r="AW62" s="37"/>
      <c r="AX62" s="37"/>
      <c r="AY62" s="38"/>
      <c r="AZ62" s="26"/>
      <c r="BA62" s="37"/>
      <c r="BB62" s="37"/>
      <c r="BC62" s="38"/>
      <c r="BD62" s="26"/>
      <c r="BE62" s="37"/>
      <c r="BF62" s="37"/>
      <c r="BG62" s="38"/>
    </row>
    <row r="63" spans="1:59" s="24" customFormat="1" hidden="1">
      <c r="A63" s="3" t="e" vm="64">
        <v>#VALUE!</v>
      </c>
      <c r="B63" s="17" t="e" vm="70">
        <v>#VALUE!</v>
      </c>
      <c r="C63" s="26"/>
      <c r="D63" s="37"/>
      <c r="E63" s="37"/>
      <c r="F63" s="38"/>
      <c r="G63" s="26"/>
      <c r="H63" s="37"/>
      <c r="I63" s="37"/>
      <c r="J63" s="38"/>
      <c r="K63" s="26"/>
      <c r="L63" s="37"/>
      <c r="M63" s="37"/>
      <c r="N63" s="38"/>
      <c r="O63" s="38"/>
      <c r="P63" s="26"/>
      <c r="Q63" s="37"/>
      <c r="R63" s="37"/>
      <c r="S63" s="38"/>
      <c r="T63" s="26"/>
      <c r="U63" s="37"/>
      <c r="V63" s="37"/>
      <c r="W63" s="38"/>
      <c r="X63" s="26"/>
      <c r="Y63" s="37"/>
      <c r="Z63" s="37"/>
      <c r="AA63" s="38"/>
      <c r="AB63" s="26"/>
      <c r="AC63" s="37"/>
      <c r="AD63" s="37"/>
      <c r="AE63" s="38"/>
      <c r="AF63" s="26"/>
      <c r="AG63" s="37"/>
      <c r="AH63" s="37"/>
      <c r="AI63" s="38"/>
      <c r="AJ63" s="26"/>
      <c r="AK63" s="37"/>
      <c r="AL63" s="37"/>
      <c r="AM63" s="38"/>
      <c r="AN63" s="26">
        <v>2950</v>
      </c>
      <c r="AO63" s="37">
        <v>2950</v>
      </c>
      <c r="AP63" s="37">
        <v>2950</v>
      </c>
      <c r="AQ63" s="38">
        <v>2950</v>
      </c>
      <c r="AR63" s="26"/>
      <c r="AS63" s="37"/>
      <c r="AT63" s="37"/>
      <c r="AU63" s="38"/>
      <c r="AV63" s="26"/>
      <c r="AW63" s="37"/>
      <c r="AX63" s="37"/>
      <c r="AY63" s="38"/>
      <c r="AZ63" s="26"/>
      <c r="BA63" s="37"/>
      <c r="BB63" s="37"/>
      <c r="BC63" s="38"/>
      <c r="BD63" s="26"/>
      <c r="BE63" s="37"/>
      <c r="BF63" s="37"/>
      <c r="BG63" s="38"/>
    </row>
    <row r="64" spans="1:59" s="24" customFormat="1" hidden="1">
      <c r="A64" s="3" t="e" vm="64">
        <v>#VALUE!</v>
      </c>
      <c r="B64" s="17" t="e" vm="71">
        <v>#VALUE!</v>
      </c>
      <c r="C64" s="26"/>
      <c r="D64" s="37"/>
      <c r="E64" s="37"/>
      <c r="F64" s="38"/>
      <c r="G64" s="26"/>
      <c r="H64" s="37"/>
      <c r="I64" s="37"/>
      <c r="J64" s="38"/>
      <c r="K64" s="26"/>
      <c r="L64" s="37"/>
      <c r="M64" s="37"/>
      <c r="N64" s="38"/>
      <c r="O64" s="38"/>
      <c r="P64" s="26"/>
      <c r="Q64" s="37"/>
      <c r="R64" s="37"/>
      <c r="S64" s="38"/>
      <c r="T64" s="26"/>
      <c r="U64" s="37"/>
      <c r="V64" s="37"/>
      <c r="W64" s="38"/>
      <c r="X64" s="26"/>
      <c r="Y64" s="37"/>
      <c r="Z64" s="37"/>
      <c r="AA64" s="38"/>
      <c r="AB64" s="26"/>
      <c r="AC64" s="37"/>
      <c r="AD64" s="37"/>
      <c r="AE64" s="38"/>
      <c r="AF64" s="26"/>
      <c r="AG64" s="37"/>
      <c r="AH64" s="37"/>
      <c r="AI64" s="38"/>
      <c r="AJ64" s="26"/>
      <c r="AK64" s="37"/>
      <c r="AL64" s="37"/>
      <c r="AM64" s="38"/>
      <c r="AN64" s="26">
        <v>2950</v>
      </c>
      <c r="AO64" s="37">
        <v>2950</v>
      </c>
      <c r="AP64" s="37">
        <v>2950</v>
      </c>
      <c r="AQ64" s="38">
        <v>2950</v>
      </c>
      <c r="AR64" s="26"/>
      <c r="AS64" s="37"/>
      <c r="AT64" s="37"/>
      <c r="AU64" s="38"/>
      <c r="AV64" s="26"/>
      <c r="AW64" s="37"/>
      <c r="AX64" s="37"/>
      <c r="AY64" s="38"/>
      <c r="AZ64" s="26"/>
      <c r="BA64" s="37"/>
      <c r="BB64" s="37"/>
      <c r="BC64" s="38"/>
      <c r="BD64" s="26"/>
      <c r="BE64" s="37"/>
      <c r="BF64" s="37"/>
      <c r="BG64" s="38"/>
    </row>
    <row r="65" spans="1:59" s="24" customFormat="1" hidden="1">
      <c r="A65" s="3" t="e" vm="64">
        <v>#VALUE!</v>
      </c>
      <c r="B65" s="17" t="e" vm="72">
        <v>#VALUE!</v>
      </c>
      <c r="C65" s="26"/>
      <c r="D65" s="37"/>
      <c r="E65" s="37"/>
      <c r="F65" s="38"/>
      <c r="G65" s="26"/>
      <c r="H65" s="37"/>
      <c r="I65" s="37"/>
      <c r="J65" s="38"/>
      <c r="K65" s="26"/>
      <c r="L65" s="37"/>
      <c r="M65" s="37"/>
      <c r="N65" s="38"/>
      <c r="O65" s="38"/>
      <c r="P65" s="26"/>
      <c r="Q65" s="37"/>
      <c r="R65" s="37"/>
      <c r="S65" s="38"/>
      <c r="T65" s="26"/>
      <c r="U65" s="37"/>
      <c r="V65" s="37"/>
      <c r="W65" s="38"/>
      <c r="X65" s="26"/>
      <c r="Y65" s="37"/>
      <c r="Z65" s="37"/>
      <c r="AA65" s="38"/>
      <c r="AB65" s="26"/>
      <c r="AC65" s="37"/>
      <c r="AD65" s="37"/>
      <c r="AE65" s="38"/>
      <c r="AF65" s="26"/>
      <c r="AG65" s="37"/>
      <c r="AH65" s="37"/>
      <c r="AI65" s="38"/>
      <c r="AJ65" s="26"/>
      <c r="AK65" s="37"/>
      <c r="AL65" s="37"/>
      <c r="AM65" s="38"/>
      <c r="AN65" s="26">
        <v>2950</v>
      </c>
      <c r="AO65" s="37">
        <v>2950</v>
      </c>
      <c r="AP65" s="37">
        <v>2950</v>
      </c>
      <c r="AQ65" s="38">
        <v>2950</v>
      </c>
      <c r="AR65" s="26"/>
      <c r="AS65" s="37"/>
      <c r="AT65" s="37"/>
      <c r="AU65" s="38"/>
      <c r="AV65" s="26"/>
      <c r="AW65" s="37"/>
      <c r="AX65" s="37"/>
      <c r="AY65" s="38"/>
      <c r="AZ65" s="26"/>
      <c r="BA65" s="37"/>
      <c r="BB65" s="37"/>
      <c r="BC65" s="38"/>
      <c r="BD65" s="26"/>
      <c r="BE65" s="37"/>
      <c r="BF65" s="37"/>
      <c r="BG65" s="38"/>
    </row>
    <row r="66" spans="1:59" s="24" customFormat="1" hidden="1">
      <c r="A66" s="3" t="e" vm="64">
        <v>#VALUE!</v>
      </c>
      <c r="B66" s="17" t="e" vm="73">
        <v>#VALUE!</v>
      </c>
      <c r="C66" s="26"/>
      <c r="D66" s="37"/>
      <c r="E66" s="37"/>
      <c r="F66" s="38"/>
      <c r="G66" s="26"/>
      <c r="H66" s="37"/>
      <c r="I66" s="37"/>
      <c r="J66" s="38"/>
      <c r="K66" s="26"/>
      <c r="L66" s="37"/>
      <c r="M66" s="37"/>
      <c r="N66" s="38"/>
      <c r="O66" s="38"/>
      <c r="P66" s="26"/>
      <c r="Q66" s="37"/>
      <c r="R66" s="37"/>
      <c r="S66" s="38"/>
      <c r="T66" s="26"/>
      <c r="U66" s="37"/>
      <c r="V66" s="37"/>
      <c r="W66" s="38"/>
      <c r="X66" s="26"/>
      <c r="Y66" s="37"/>
      <c r="Z66" s="37"/>
      <c r="AA66" s="38"/>
      <c r="AB66" s="26"/>
      <c r="AC66" s="37"/>
      <c r="AD66" s="37"/>
      <c r="AE66" s="38"/>
      <c r="AF66" s="26"/>
      <c r="AG66" s="37"/>
      <c r="AH66" s="37"/>
      <c r="AI66" s="38"/>
      <c r="AJ66" s="26"/>
      <c r="AK66" s="37"/>
      <c r="AL66" s="37"/>
      <c r="AM66" s="38"/>
      <c r="AN66" s="26">
        <v>2950</v>
      </c>
      <c r="AO66" s="37">
        <v>2950</v>
      </c>
      <c r="AP66" s="37">
        <v>2950</v>
      </c>
      <c r="AQ66" s="38">
        <v>2950</v>
      </c>
      <c r="AR66" s="26"/>
      <c r="AS66" s="37"/>
      <c r="AT66" s="37"/>
      <c r="AU66" s="38"/>
      <c r="AV66" s="26"/>
      <c r="AW66" s="37"/>
      <c r="AX66" s="37"/>
      <c r="AY66" s="38"/>
      <c r="AZ66" s="26"/>
      <c r="BA66" s="37"/>
      <c r="BB66" s="37"/>
      <c r="BC66" s="38"/>
      <c r="BD66" s="26"/>
      <c r="BE66" s="37"/>
      <c r="BF66" s="37"/>
      <c r="BG66" s="38"/>
    </row>
    <row r="67" spans="1:59" s="24" customFormat="1" ht="15.75" hidden="1" thickBot="1">
      <c r="A67" s="3" t="e" vm="64">
        <v>#VALUE!</v>
      </c>
      <c r="B67" s="18" t="e" vm="74">
        <v>#VALUE!</v>
      </c>
      <c r="C67" s="33"/>
      <c r="D67" s="39"/>
      <c r="E67" s="39"/>
      <c r="F67" s="40"/>
      <c r="G67" s="33"/>
      <c r="H67" s="39"/>
      <c r="I67" s="39"/>
      <c r="J67" s="40"/>
      <c r="K67" s="33"/>
      <c r="L67" s="39"/>
      <c r="M67" s="39"/>
      <c r="N67" s="40"/>
      <c r="O67" s="40"/>
      <c r="P67" s="33"/>
      <c r="Q67" s="39"/>
      <c r="R67" s="39"/>
      <c r="S67" s="40"/>
      <c r="T67" s="33"/>
      <c r="U67" s="39"/>
      <c r="V67" s="39"/>
      <c r="W67" s="40"/>
      <c r="X67" s="33"/>
      <c r="Y67" s="39"/>
      <c r="Z67" s="39"/>
      <c r="AA67" s="40"/>
      <c r="AB67" s="33"/>
      <c r="AC67" s="39"/>
      <c r="AD67" s="39"/>
      <c r="AE67" s="40"/>
      <c r="AF67" s="33"/>
      <c r="AG67" s="39"/>
      <c r="AH67" s="39"/>
      <c r="AI67" s="40"/>
      <c r="AJ67" s="33"/>
      <c r="AK67" s="39"/>
      <c r="AL67" s="39"/>
      <c r="AM67" s="40"/>
      <c r="AN67" s="33">
        <v>2950</v>
      </c>
      <c r="AO67" s="39">
        <v>2950</v>
      </c>
      <c r="AP67" s="39">
        <v>2950</v>
      </c>
      <c r="AQ67" s="40">
        <v>2950</v>
      </c>
      <c r="AR67" s="33"/>
      <c r="AS67" s="39"/>
      <c r="AT67" s="39"/>
      <c r="AU67" s="40"/>
      <c r="AV67" s="33"/>
      <c r="AW67" s="39"/>
      <c r="AX67" s="39"/>
      <c r="AY67" s="40"/>
      <c r="AZ67" s="33"/>
      <c r="BA67" s="39"/>
      <c r="BB67" s="39"/>
      <c r="BC67" s="40"/>
      <c r="BD67" s="33"/>
      <c r="BE67" s="39"/>
      <c r="BF67" s="39"/>
      <c r="BG67" s="40"/>
    </row>
    <row r="68" spans="1:59" hidden="1">
      <c r="A68" s="160" t="e" vm="75">
        <v>#VALUE!</v>
      </c>
      <c r="B68" s="161" t="s">
        <v>168</v>
      </c>
      <c r="C68" s="162">
        <v>3500</v>
      </c>
      <c r="D68" s="163">
        <v>3500</v>
      </c>
      <c r="E68" s="163">
        <v>3500</v>
      </c>
      <c r="F68" s="163">
        <v>3500</v>
      </c>
      <c r="G68" s="164"/>
      <c r="H68" s="165"/>
      <c r="I68" s="165"/>
      <c r="J68" s="166"/>
      <c r="K68" s="164"/>
      <c r="L68" s="165"/>
      <c r="M68" s="165"/>
      <c r="N68" s="166"/>
      <c r="O68" s="166"/>
      <c r="P68" s="164"/>
      <c r="Q68" s="165"/>
      <c r="R68" s="165"/>
      <c r="S68" s="166"/>
      <c r="T68" s="164"/>
      <c r="U68" s="165"/>
      <c r="V68" s="165"/>
      <c r="W68" s="166"/>
      <c r="X68" s="164"/>
      <c r="Y68" s="165"/>
      <c r="Z68" s="165"/>
      <c r="AA68" s="166"/>
      <c r="AB68" s="164"/>
      <c r="AC68" s="165"/>
      <c r="AD68" s="165"/>
      <c r="AE68" s="166"/>
      <c r="AF68" s="164"/>
      <c r="AG68" s="165"/>
      <c r="AH68" s="165"/>
      <c r="AI68" s="166"/>
      <c r="AJ68" s="162">
        <v>4500</v>
      </c>
      <c r="AK68" s="163">
        <v>4500</v>
      </c>
      <c r="AL68" s="163">
        <v>4500</v>
      </c>
      <c r="AM68" s="167">
        <v>4700</v>
      </c>
      <c r="AN68" s="164"/>
      <c r="AO68" s="165"/>
      <c r="AP68" s="165"/>
      <c r="AQ68" s="166"/>
      <c r="AR68" s="164"/>
      <c r="AS68" s="165"/>
      <c r="AT68" s="165"/>
      <c r="AU68" s="166"/>
      <c r="AV68" s="164"/>
      <c r="AW68" s="165"/>
      <c r="AX68" s="165"/>
      <c r="AY68" s="166"/>
      <c r="AZ68" s="164"/>
      <c r="BA68" s="165"/>
      <c r="BB68" s="165"/>
      <c r="BC68" s="168"/>
      <c r="BD68" s="164">
        <v>2884</v>
      </c>
      <c r="BE68" s="165">
        <v>2884</v>
      </c>
      <c r="BF68" s="165">
        <v>2884</v>
      </c>
      <c r="BG68" s="168">
        <v>2884</v>
      </c>
    </row>
    <row r="69" spans="1:59" hidden="1">
      <c r="A69" s="160" t="e" vm="75">
        <v>#VALUE!</v>
      </c>
      <c r="B69" s="171" t="s">
        <v>169</v>
      </c>
      <c r="C69" s="162">
        <v>3500</v>
      </c>
      <c r="D69" s="163">
        <v>3500</v>
      </c>
      <c r="E69" s="163">
        <v>3500</v>
      </c>
      <c r="F69" s="163">
        <v>3500</v>
      </c>
      <c r="G69" s="164"/>
      <c r="H69" s="165"/>
      <c r="I69" s="165"/>
      <c r="J69" s="166"/>
      <c r="K69" s="164"/>
      <c r="L69" s="165"/>
      <c r="M69" s="165"/>
      <c r="N69" s="166"/>
      <c r="O69" s="166"/>
      <c r="P69" s="164"/>
      <c r="Q69" s="165"/>
      <c r="R69" s="165"/>
      <c r="S69" s="166"/>
      <c r="T69" s="164"/>
      <c r="U69" s="165"/>
      <c r="V69" s="165"/>
      <c r="W69" s="166"/>
      <c r="X69" s="164"/>
      <c r="Y69" s="165"/>
      <c r="Z69" s="165"/>
      <c r="AA69" s="166"/>
      <c r="AB69" s="164"/>
      <c r="AC69" s="165"/>
      <c r="AD69" s="165"/>
      <c r="AE69" s="166"/>
      <c r="AF69" s="164"/>
      <c r="AG69" s="165"/>
      <c r="AH69" s="165"/>
      <c r="AI69" s="166"/>
      <c r="AJ69" s="162">
        <v>4500</v>
      </c>
      <c r="AK69" s="163">
        <v>4500</v>
      </c>
      <c r="AL69" s="163">
        <v>4500</v>
      </c>
      <c r="AM69" s="167">
        <v>4700</v>
      </c>
      <c r="AN69" s="164"/>
      <c r="AO69" s="165"/>
      <c r="AP69" s="165"/>
      <c r="AQ69" s="166"/>
      <c r="AR69" s="164"/>
      <c r="AS69" s="165"/>
      <c r="AT69" s="165"/>
      <c r="AU69" s="166"/>
      <c r="AV69" s="164"/>
      <c r="AW69" s="165"/>
      <c r="AX69" s="165"/>
      <c r="AY69" s="166"/>
      <c r="AZ69" s="164"/>
      <c r="BA69" s="165"/>
      <c r="BB69" s="165"/>
      <c r="BC69" s="168"/>
      <c r="BD69" s="164">
        <v>2884</v>
      </c>
      <c r="BE69" s="165">
        <v>2884</v>
      </c>
      <c r="BF69" s="165">
        <v>2884</v>
      </c>
      <c r="BG69" s="168">
        <v>2884</v>
      </c>
    </row>
    <row r="70" spans="1:59" hidden="1">
      <c r="A70" s="160" t="e" vm="75">
        <v>#VALUE!</v>
      </c>
      <c r="B70" s="171" t="s">
        <v>204</v>
      </c>
      <c r="C70" s="162">
        <v>3500</v>
      </c>
      <c r="D70" s="163">
        <v>3500</v>
      </c>
      <c r="E70" s="163">
        <v>3500</v>
      </c>
      <c r="F70" s="163">
        <v>3500</v>
      </c>
      <c r="G70" s="164"/>
      <c r="H70" s="165"/>
      <c r="I70" s="165"/>
      <c r="J70" s="166"/>
      <c r="K70" s="164"/>
      <c r="L70" s="165"/>
      <c r="M70" s="165"/>
      <c r="N70" s="166"/>
      <c r="O70" s="166"/>
      <c r="P70" s="164"/>
      <c r="Q70" s="165"/>
      <c r="R70" s="165"/>
      <c r="S70" s="166"/>
      <c r="T70" s="164"/>
      <c r="U70" s="165"/>
      <c r="V70" s="165"/>
      <c r="W70" s="166"/>
      <c r="X70" s="164"/>
      <c r="Y70" s="165"/>
      <c r="Z70" s="165"/>
      <c r="AA70" s="166"/>
      <c r="AB70" s="164"/>
      <c r="AC70" s="165"/>
      <c r="AD70" s="165"/>
      <c r="AE70" s="166"/>
      <c r="AF70" s="164"/>
      <c r="AG70" s="165"/>
      <c r="AH70" s="165"/>
      <c r="AI70" s="166"/>
      <c r="AJ70" s="162">
        <v>4500</v>
      </c>
      <c r="AK70" s="163">
        <v>4500</v>
      </c>
      <c r="AL70" s="163">
        <v>4500</v>
      </c>
      <c r="AM70" s="167">
        <v>4700</v>
      </c>
      <c r="AN70" s="164"/>
      <c r="AO70" s="165"/>
      <c r="AP70" s="165"/>
      <c r="AQ70" s="166"/>
      <c r="AR70" s="164"/>
      <c r="AS70" s="165"/>
      <c r="AT70" s="165"/>
      <c r="AU70" s="166"/>
      <c r="AV70" s="164"/>
      <c r="AW70" s="165"/>
      <c r="AX70" s="165"/>
      <c r="AY70" s="166"/>
      <c r="AZ70" s="164"/>
      <c r="BA70" s="165"/>
      <c r="BB70" s="165"/>
      <c r="BC70" s="168"/>
      <c r="BD70" s="164">
        <v>2884</v>
      </c>
      <c r="BE70" s="165">
        <v>2884</v>
      </c>
      <c r="BF70" s="165">
        <v>2884</v>
      </c>
      <c r="BG70" s="168">
        <v>2884</v>
      </c>
    </row>
    <row r="71" spans="1:59" hidden="1">
      <c r="A71" s="160" t="e" vm="75">
        <v>#VALUE!</v>
      </c>
      <c r="B71" s="171" t="s">
        <v>205</v>
      </c>
      <c r="C71" s="162">
        <v>3500</v>
      </c>
      <c r="D71" s="163">
        <v>3500</v>
      </c>
      <c r="E71" s="163">
        <v>3500</v>
      </c>
      <c r="F71" s="163">
        <v>3500</v>
      </c>
      <c r="G71" s="164"/>
      <c r="H71" s="165"/>
      <c r="I71" s="165"/>
      <c r="J71" s="166"/>
      <c r="K71" s="164"/>
      <c r="L71" s="165"/>
      <c r="M71" s="165"/>
      <c r="N71" s="166"/>
      <c r="O71" s="166"/>
      <c r="P71" s="164"/>
      <c r="Q71" s="165"/>
      <c r="R71" s="165"/>
      <c r="S71" s="166"/>
      <c r="T71" s="164"/>
      <c r="U71" s="165"/>
      <c r="V71" s="165"/>
      <c r="W71" s="166"/>
      <c r="X71" s="164"/>
      <c r="Y71" s="165"/>
      <c r="Z71" s="165"/>
      <c r="AA71" s="166"/>
      <c r="AB71" s="164"/>
      <c r="AC71" s="165"/>
      <c r="AD71" s="165"/>
      <c r="AE71" s="166"/>
      <c r="AF71" s="164"/>
      <c r="AG71" s="165"/>
      <c r="AH71" s="165"/>
      <c r="AI71" s="166"/>
      <c r="AJ71" s="162">
        <v>4500</v>
      </c>
      <c r="AK71" s="163">
        <v>4500</v>
      </c>
      <c r="AL71" s="163">
        <v>4500</v>
      </c>
      <c r="AM71" s="167">
        <v>4700</v>
      </c>
      <c r="AN71" s="164"/>
      <c r="AO71" s="165"/>
      <c r="AP71" s="165"/>
      <c r="AQ71" s="166"/>
      <c r="AR71" s="164"/>
      <c r="AS71" s="165"/>
      <c r="AT71" s="165"/>
      <c r="AU71" s="166"/>
      <c r="AV71" s="164"/>
      <c r="AW71" s="165"/>
      <c r="AX71" s="165"/>
      <c r="AY71" s="166"/>
      <c r="AZ71" s="164"/>
      <c r="BA71" s="165"/>
      <c r="BB71" s="165"/>
      <c r="BC71" s="168"/>
      <c r="BD71" s="164">
        <v>2884</v>
      </c>
      <c r="BE71" s="165">
        <v>2884</v>
      </c>
      <c r="BF71" s="165">
        <v>2884</v>
      </c>
      <c r="BG71" s="168">
        <v>2884</v>
      </c>
    </row>
    <row r="72" spans="1:59" hidden="1">
      <c r="A72" s="160" t="e" vm="75">
        <v>#VALUE!</v>
      </c>
      <c r="B72" s="171" t="s">
        <v>172</v>
      </c>
      <c r="C72" s="162">
        <v>3500</v>
      </c>
      <c r="D72" s="163">
        <v>3500</v>
      </c>
      <c r="E72" s="163">
        <v>3500</v>
      </c>
      <c r="F72" s="163">
        <v>3500</v>
      </c>
      <c r="G72" s="164"/>
      <c r="H72" s="165"/>
      <c r="I72" s="165"/>
      <c r="J72" s="166"/>
      <c r="K72" s="164"/>
      <c r="L72" s="165"/>
      <c r="M72" s="165"/>
      <c r="N72" s="166"/>
      <c r="O72" s="166"/>
      <c r="P72" s="164"/>
      <c r="Q72" s="165"/>
      <c r="R72" s="165"/>
      <c r="S72" s="166"/>
      <c r="T72" s="164"/>
      <c r="U72" s="165"/>
      <c r="V72" s="165"/>
      <c r="W72" s="166"/>
      <c r="X72" s="164"/>
      <c r="Y72" s="165"/>
      <c r="Z72" s="165"/>
      <c r="AA72" s="166"/>
      <c r="AB72" s="164"/>
      <c r="AC72" s="165"/>
      <c r="AD72" s="165"/>
      <c r="AE72" s="166"/>
      <c r="AF72" s="164"/>
      <c r="AG72" s="165"/>
      <c r="AH72" s="165"/>
      <c r="AI72" s="166"/>
      <c r="AJ72" s="162">
        <v>4500</v>
      </c>
      <c r="AK72" s="163">
        <v>4500</v>
      </c>
      <c r="AL72" s="163">
        <v>4500</v>
      </c>
      <c r="AM72" s="167">
        <v>4700</v>
      </c>
      <c r="AN72" s="164"/>
      <c r="AO72" s="165"/>
      <c r="AP72" s="165"/>
      <c r="AQ72" s="166"/>
      <c r="AR72" s="164"/>
      <c r="AS72" s="165"/>
      <c r="AT72" s="165"/>
      <c r="AU72" s="166"/>
      <c r="AV72" s="164"/>
      <c r="AW72" s="165"/>
      <c r="AX72" s="165"/>
      <c r="AY72" s="166"/>
      <c r="AZ72" s="164"/>
      <c r="BA72" s="165"/>
      <c r="BB72" s="165"/>
      <c r="BC72" s="168"/>
      <c r="BD72" s="164">
        <v>2884</v>
      </c>
      <c r="BE72" s="165">
        <v>2884</v>
      </c>
      <c r="BF72" s="165">
        <v>2884</v>
      </c>
      <c r="BG72" s="168">
        <v>2884</v>
      </c>
    </row>
    <row r="73" spans="1:59" hidden="1">
      <c r="A73" s="160" t="e" vm="75">
        <v>#VALUE!</v>
      </c>
      <c r="B73" s="171" t="s">
        <v>173</v>
      </c>
      <c r="C73" s="162">
        <v>3500</v>
      </c>
      <c r="D73" s="163">
        <v>3500</v>
      </c>
      <c r="E73" s="163">
        <v>3500</v>
      </c>
      <c r="F73" s="163">
        <v>3500</v>
      </c>
      <c r="G73" s="164"/>
      <c r="H73" s="165"/>
      <c r="I73" s="165"/>
      <c r="J73" s="166"/>
      <c r="K73" s="164"/>
      <c r="L73" s="165"/>
      <c r="M73" s="165"/>
      <c r="N73" s="166"/>
      <c r="O73" s="166"/>
      <c r="P73" s="164"/>
      <c r="Q73" s="165"/>
      <c r="R73" s="165"/>
      <c r="S73" s="166"/>
      <c r="T73" s="164"/>
      <c r="U73" s="165"/>
      <c r="V73" s="165"/>
      <c r="W73" s="166"/>
      <c r="X73" s="164"/>
      <c r="Y73" s="165"/>
      <c r="Z73" s="165"/>
      <c r="AA73" s="166"/>
      <c r="AB73" s="164"/>
      <c r="AC73" s="165"/>
      <c r="AD73" s="165"/>
      <c r="AE73" s="166"/>
      <c r="AF73" s="164"/>
      <c r="AG73" s="165"/>
      <c r="AH73" s="165"/>
      <c r="AI73" s="166"/>
      <c r="AJ73" s="162">
        <v>4500</v>
      </c>
      <c r="AK73" s="163">
        <v>4500</v>
      </c>
      <c r="AL73" s="163">
        <v>4500</v>
      </c>
      <c r="AM73" s="167">
        <v>4700</v>
      </c>
      <c r="AN73" s="164"/>
      <c r="AO73" s="165"/>
      <c r="AP73" s="165"/>
      <c r="AQ73" s="166"/>
      <c r="AR73" s="164"/>
      <c r="AS73" s="165"/>
      <c r="AT73" s="165"/>
      <c r="AU73" s="166"/>
      <c r="AV73" s="164"/>
      <c r="AW73" s="165"/>
      <c r="AX73" s="165"/>
      <c r="AY73" s="166"/>
      <c r="AZ73" s="164"/>
      <c r="BA73" s="165"/>
      <c r="BB73" s="165"/>
      <c r="BC73" s="168"/>
      <c r="BD73" s="164">
        <v>2884</v>
      </c>
      <c r="BE73" s="165">
        <v>2884</v>
      </c>
      <c r="BF73" s="165">
        <v>2884</v>
      </c>
      <c r="BG73" s="168">
        <v>2884</v>
      </c>
    </row>
    <row r="74" spans="1:59" hidden="1">
      <c r="A74" s="160" t="e" vm="75">
        <v>#VALUE!</v>
      </c>
      <c r="B74" s="171" t="s">
        <v>174</v>
      </c>
      <c r="C74" s="162">
        <v>3500</v>
      </c>
      <c r="D74" s="163">
        <v>3500</v>
      </c>
      <c r="E74" s="163">
        <v>3500</v>
      </c>
      <c r="F74" s="163">
        <v>3500</v>
      </c>
      <c r="G74" s="164"/>
      <c r="H74" s="165"/>
      <c r="I74" s="165"/>
      <c r="J74" s="166"/>
      <c r="K74" s="164"/>
      <c r="L74" s="165"/>
      <c r="M74" s="165"/>
      <c r="N74" s="166"/>
      <c r="O74" s="166"/>
      <c r="P74" s="164"/>
      <c r="Q74" s="165"/>
      <c r="R74" s="165"/>
      <c r="S74" s="166"/>
      <c r="T74" s="164"/>
      <c r="U74" s="165"/>
      <c r="V74" s="165"/>
      <c r="W74" s="166"/>
      <c r="X74" s="164"/>
      <c r="Y74" s="165"/>
      <c r="Z74" s="165"/>
      <c r="AA74" s="166"/>
      <c r="AB74" s="164"/>
      <c r="AC74" s="165"/>
      <c r="AD74" s="165"/>
      <c r="AE74" s="166"/>
      <c r="AF74" s="164"/>
      <c r="AG74" s="165"/>
      <c r="AH74" s="165"/>
      <c r="AI74" s="166"/>
      <c r="AJ74" s="162">
        <v>4500</v>
      </c>
      <c r="AK74" s="163">
        <v>4500</v>
      </c>
      <c r="AL74" s="163">
        <v>4500</v>
      </c>
      <c r="AM74" s="167">
        <v>4700</v>
      </c>
      <c r="AN74" s="164"/>
      <c r="AO74" s="165"/>
      <c r="AP74" s="165"/>
      <c r="AQ74" s="166"/>
      <c r="AR74" s="164"/>
      <c r="AS74" s="165"/>
      <c r="AT74" s="165"/>
      <c r="AU74" s="166"/>
      <c r="AV74" s="164"/>
      <c r="AW74" s="165"/>
      <c r="AX74" s="165"/>
      <c r="AY74" s="166"/>
      <c r="AZ74" s="164"/>
      <c r="BA74" s="165"/>
      <c r="BB74" s="165"/>
      <c r="BC74" s="168"/>
      <c r="BD74" s="164">
        <v>2884</v>
      </c>
      <c r="BE74" s="165">
        <v>2884</v>
      </c>
      <c r="BF74" s="165">
        <v>2884</v>
      </c>
      <c r="BG74" s="168">
        <v>2884</v>
      </c>
    </row>
    <row r="75" spans="1:59" hidden="1">
      <c r="A75" s="160" t="e" vm="75">
        <v>#VALUE!</v>
      </c>
      <c r="B75" s="171" t="s">
        <v>175</v>
      </c>
      <c r="C75" s="162">
        <v>3500</v>
      </c>
      <c r="D75" s="163">
        <v>3500</v>
      </c>
      <c r="E75" s="163">
        <v>3500</v>
      </c>
      <c r="F75" s="163">
        <v>3500</v>
      </c>
      <c r="G75" s="164"/>
      <c r="H75" s="165"/>
      <c r="I75" s="165"/>
      <c r="J75" s="166"/>
      <c r="K75" s="164"/>
      <c r="L75" s="165"/>
      <c r="M75" s="165"/>
      <c r="N75" s="166"/>
      <c r="O75" s="166"/>
      <c r="P75" s="164"/>
      <c r="Q75" s="165"/>
      <c r="R75" s="165"/>
      <c r="S75" s="166"/>
      <c r="T75" s="164"/>
      <c r="U75" s="165"/>
      <c r="V75" s="165"/>
      <c r="W75" s="166"/>
      <c r="X75" s="164"/>
      <c r="Y75" s="165"/>
      <c r="Z75" s="165"/>
      <c r="AA75" s="166"/>
      <c r="AB75" s="164"/>
      <c r="AC75" s="165"/>
      <c r="AD75" s="165"/>
      <c r="AE75" s="166"/>
      <c r="AF75" s="164"/>
      <c r="AG75" s="165"/>
      <c r="AH75" s="165"/>
      <c r="AI75" s="166"/>
      <c r="AJ75" s="162">
        <v>4500</v>
      </c>
      <c r="AK75" s="163">
        <v>4500</v>
      </c>
      <c r="AL75" s="163">
        <v>4500</v>
      </c>
      <c r="AM75" s="167">
        <v>4700</v>
      </c>
      <c r="AN75" s="164"/>
      <c r="AO75" s="165"/>
      <c r="AP75" s="165"/>
      <c r="AQ75" s="166"/>
      <c r="AR75" s="164"/>
      <c r="AS75" s="165"/>
      <c r="AT75" s="165"/>
      <c r="AU75" s="166"/>
      <c r="AV75" s="164"/>
      <c r="AW75" s="165"/>
      <c r="AX75" s="165"/>
      <c r="AY75" s="166"/>
      <c r="AZ75" s="164"/>
      <c r="BA75" s="165"/>
      <c r="BB75" s="165"/>
      <c r="BC75" s="168"/>
      <c r="BD75" s="164">
        <v>2884</v>
      </c>
      <c r="BE75" s="165">
        <v>2884</v>
      </c>
      <c r="BF75" s="165">
        <v>2884</v>
      </c>
      <c r="BG75" s="168">
        <v>2884</v>
      </c>
    </row>
    <row r="76" spans="1:59" hidden="1">
      <c r="A76" s="160" t="e" vm="75">
        <v>#VALUE!</v>
      </c>
      <c r="B76" s="171" t="s">
        <v>176</v>
      </c>
      <c r="C76" s="162">
        <v>3500</v>
      </c>
      <c r="D76" s="163">
        <v>3500</v>
      </c>
      <c r="E76" s="163">
        <v>3500</v>
      </c>
      <c r="F76" s="163">
        <v>3500</v>
      </c>
      <c r="G76" s="164"/>
      <c r="H76" s="165"/>
      <c r="I76" s="165"/>
      <c r="J76" s="166"/>
      <c r="K76" s="164"/>
      <c r="L76" s="165"/>
      <c r="M76" s="165"/>
      <c r="N76" s="166"/>
      <c r="O76" s="166"/>
      <c r="P76" s="164"/>
      <c r="Q76" s="165"/>
      <c r="R76" s="165"/>
      <c r="S76" s="166"/>
      <c r="T76" s="164"/>
      <c r="U76" s="165"/>
      <c r="V76" s="165"/>
      <c r="W76" s="166"/>
      <c r="X76" s="164"/>
      <c r="Y76" s="165"/>
      <c r="Z76" s="165"/>
      <c r="AA76" s="166"/>
      <c r="AB76" s="164"/>
      <c r="AC76" s="165"/>
      <c r="AD76" s="165"/>
      <c r="AE76" s="166"/>
      <c r="AF76" s="164"/>
      <c r="AG76" s="165"/>
      <c r="AH76" s="165"/>
      <c r="AI76" s="166"/>
      <c r="AJ76" s="162">
        <v>4500</v>
      </c>
      <c r="AK76" s="163">
        <v>4500</v>
      </c>
      <c r="AL76" s="163">
        <v>4500</v>
      </c>
      <c r="AM76" s="167">
        <v>4700</v>
      </c>
      <c r="AN76" s="164"/>
      <c r="AO76" s="165"/>
      <c r="AP76" s="165"/>
      <c r="AQ76" s="166"/>
      <c r="AR76" s="164"/>
      <c r="AS76" s="165"/>
      <c r="AT76" s="165"/>
      <c r="AU76" s="166"/>
      <c r="AV76" s="164"/>
      <c r="AW76" s="165"/>
      <c r="AX76" s="165"/>
      <c r="AY76" s="166"/>
      <c r="AZ76" s="164"/>
      <c r="BA76" s="165"/>
      <c r="BB76" s="165"/>
      <c r="BC76" s="168"/>
      <c r="BD76" s="164">
        <v>2884</v>
      </c>
      <c r="BE76" s="165">
        <v>2884</v>
      </c>
      <c r="BF76" s="165">
        <v>2884</v>
      </c>
      <c r="BG76" s="168">
        <v>2884</v>
      </c>
    </row>
    <row r="77" spans="1:59" hidden="1">
      <c r="A77" s="160" t="e" vm="75">
        <v>#VALUE!</v>
      </c>
      <c r="B77" s="171" t="s">
        <v>177</v>
      </c>
      <c r="C77" s="162">
        <v>3500</v>
      </c>
      <c r="D77" s="163">
        <v>3500</v>
      </c>
      <c r="E77" s="163">
        <v>3500</v>
      </c>
      <c r="F77" s="163">
        <v>3500</v>
      </c>
      <c r="G77" s="164"/>
      <c r="H77" s="165"/>
      <c r="I77" s="165"/>
      <c r="J77" s="166"/>
      <c r="K77" s="164"/>
      <c r="L77" s="165"/>
      <c r="M77" s="165"/>
      <c r="N77" s="166"/>
      <c r="O77" s="166"/>
      <c r="P77" s="164"/>
      <c r="Q77" s="165"/>
      <c r="R77" s="165"/>
      <c r="S77" s="166"/>
      <c r="T77" s="164"/>
      <c r="U77" s="165"/>
      <c r="V77" s="165"/>
      <c r="W77" s="166"/>
      <c r="X77" s="164"/>
      <c r="Y77" s="165"/>
      <c r="Z77" s="165"/>
      <c r="AA77" s="166"/>
      <c r="AB77" s="164"/>
      <c r="AC77" s="165"/>
      <c r="AD77" s="165"/>
      <c r="AE77" s="166"/>
      <c r="AF77" s="164"/>
      <c r="AG77" s="165"/>
      <c r="AH77" s="165"/>
      <c r="AI77" s="166"/>
      <c r="AJ77" s="162">
        <v>4500</v>
      </c>
      <c r="AK77" s="163">
        <v>4500</v>
      </c>
      <c r="AL77" s="163">
        <v>4500</v>
      </c>
      <c r="AM77" s="167">
        <v>4700</v>
      </c>
      <c r="AN77" s="164"/>
      <c r="AO77" s="165"/>
      <c r="AP77" s="165"/>
      <c r="AQ77" s="166"/>
      <c r="AR77" s="164"/>
      <c r="AS77" s="165"/>
      <c r="AT77" s="165"/>
      <c r="AU77" s="166"/>
      <c r="AV77" s="164"/>
      <c r="AW77" s="165"/>
      <c r="AX77" s="165"/>
      <c r="AY77" s="166"/>
      <c r="AZ77" s="164"/>
      <c r="BA77" s="165"/>
      <c r="BB77" s="165"/>
      <c r="BC77" s="168"/>
      <c r="BD77" s="164">
        <v>2884</v>
      </c>
      <c r="BE77" s="165">
        <v>2884</v>
      </c>
      <c r="BF77" s="165">
        <v>2884</v>
      </c>
      <c r="BG77" s="168">
        <v>2884</v>
      </c>
    </row>
    <row r="78" spans="1:59" hidden="1">
      <c r="A78" s="160" t="e" vm="75">
        <v>#VALUE!</v>
      </c>
      <c r="B78" s="172" t="s">
        <v>22</v>
      </c>
      <c r="C78" s="162">
        <v>3500</v>
      </c>
      <c r="D78" s="163">
        <v>3500</v>
      </c>
      <c r="E78" s="163">
        <v>3500</v>
      </c>
      <c r="F78" s="163">
        <v>3500</v>
      </c>
      <c r="G78" s="162"/>
      <c r="H78" s="163"/>
      <c r="I78" s="163"/>
      <c r="J78" s="167"/>
      <c r="K78" s="162"/>
      <c r="L78" s="163"/>
      <c r="M78" s="163"/>
      <c r="N78" s="167"/>
      <c r="O78" s="167"/>
      <c r="P78" s="162"/>
      <c r="Q78" s="163"/>
      <c r="R78" s="163"/>
      <c r="S78" s="167"/>
      <c r="T78" s="162"/>
      <c r="U78" s="163"/>
      <c r="V78" s="163"/>
      <c r="W78" s="167"/>
      <c r="X78" s="162"/>
      <c r="Y78" s="163"/>
      <c r="Z78" s="163"/>
      <c r="AA78" s="167"/>
      <c r="AB78" s="162"/>
      <c r="AC78" s="163"/>
      <c r="AD78" s="163"/>
      <c r="AE78" s="167"/>
      <c r="AF78" s="162"/>
      <c r="AG78" s="163"/>
      <c r="AH78" s="163"/>
      <c r="AI78" s="167"/>
      <c r="AJ78" s="162">
        <v>4500</v>
      </c>
      <c r="AK78" s="163">
        <v>4500</v>
      </c>
      <c r="AL78" s="163">
        <v>4500</v>
      </c>
      <c r="AM78" s="167">
        <v>4700</v>
      </c>
      <c r="AN78" s="162"/>
      <c r="AO78" s="163"/>
      <c r="AP78" s="163"/>
      <c r="AQ78" s="167"/>
      <c r="AR78" s="162"/>
      <c r="AS78" s="163"/>
      <c r="AT78" s="163"/>
      <c r="AU78" s="167"/>
      <c r="AV78" s="162"/>
      <c r="AW78" s="163"/>
      <c r="AX78" s="163"/>
      <c r="AY78" s="167"/>
      <c r="AZ78" s="162"/>
      <c r="BA78" s="163"/>
      <c r="BB78" s="163"/>
      <c r="BC78" s="173"/>
      <c r="BD78" s="162">
        <v>2884</v>
      </c>
      <c r="BE78" s="163">
        <v>2884</v>
      </c>
      <c r="BF78" s="163">
        <v>2884</v>
      </c>
      <c r="BG78" s="173">
        <v>2884</v>
      </c>
    </row>
    <row r="79" spans="1:59" hidden="1">
      <c r="A79" s="160" t="e" vm="75">
        <v>#VALUE!</v>
      </c>
      <c r="B79" s="172" t="e" vm="76">
        <v>#VALUE!</v>
      </c>
      <c r="C79" s="162">
        <v>3500</v>
      </c>
      <c r="D79" s="163">
        <v>3500</v>
      </c>
      <c r="E79" s="163">
        <v>3500</v>
      </c>
      <c r="F79" s="163">
        <v>3500</v>
      </c>
      <c r="G79" s="162"/>
      <c r="H79" s="163"/>
      <c r="I79" s="163"/>
      <c r="J79" s="167"/>
      <c r="K79" s="162"/>
      <c r="L79" s="163"/>
      <c r="M79" s="163"/>
      <c r="N79" s="167"/>
      <c r="O79" s="167"/>
      <c r="P79" s="162"/>
      <c r="Q79" s="163"/>
      <c r="R79" s="163"/>
      <c r="S79" s="167"/>
      <c r="T79" s="162"/>
      <c r="U79" s="163"/>
      <c r="V79" s="163"/>
      <c r="W79" s="167"/>
      <c r="X79" s="162"/>
      <c r="Y79" s="163"/>
      <c r="Z79" s="163"/>
      <c r="AA79" s="167"/>
      <c r="AB79" s="162"/>
      <c r="AC79" s="163"/>
      <c r="AD79" s="163"/>
      <c r="AE79" s="167"/>
      <c r="AF79" s="162"/>
      <c r="AG79" s="163"/>
      <c r="AH79" s="163"/>
      <c r="AI79" s="167"/>
      <c r="AJ79" s="162">
        <v>4500</v>
      </c>
      <c r="AK79" s="163">
        <v>4500</v>
      </c>
      <c r="AL79" s="163">
        <v>4500</v>
      </c>
      <c r="AM79" s="167">
        <v>4700</v>
      </c>
      <c r="AN79" s="162"/>
      <c r="AO79" s="163"/>
      <c r="AP79" s="163"/>
      <c r="AQ79" s="167"/>
      <c r="AR79" s="162"/>
      <c r="AS79" s="163"/>
      <c r="AT79" s="163"/>
      <c r="AU79" s="167"/>
      <c r="AV79" s="162"/>
      <c r="AW79" s="163"/>
      <c r="AX79" s="163"/>
      <c r="AY79" s="167"/>
      <c r="AZ79" s="162"/>
      <c r="BA79" s="163"/>
      <c r="BB79" s="163"/>
      <c r="BC79" s="173"/>
      <c r="BD79" s="162">
        <v>2884</v>
      </c>
      <c r="BE79" s="163">
        <v>2884</v>
      </c>
      <c r="BF79" s="163">
        <v>2884</v>
      </c>
      <c r="BG79" s="173">
        <v>2884</v>
      </c>
    </row>
    <row r="80" spans="1:59" hidden="1">
      <c r="A80" s="160" t="e" vm="75">
        <v>#VALUE!</v>
      </c>
      <c r="B80" s="172" t="e" vm="77">
        <v>#VALUE!</v>
      </c>
      <c r="C80" s="162">
        <v>3500</v>
      </c>
      <c r="D80" s="163">
        <v>3500</v>
      </c>
      <c r="E80" s="163">
        <v>3500</v>
      </c>
      <c r="F80" s="163">
        <v>3500</v>
      </c>
      <c r="G80" s="162"/>
      <c r="H80" s="163"/>
      <c r="I80" s="163"/>
      <c r="J80" s="167"/>
      <c r="K80" s="162"/>
      <c r="L80" s="163"/>
      <c r="M80" s="163"/>
      <c r="N80" s="167"/>
      <c r="O80" s="167"/>
      <c r="P80" s="162"/>
      <c r="Q80" s="163"/>
      <c r="R80" s="163"/>
      <c r="S80" s="167"/>
      <c r="T80" s="162"/>
      <c r="U80" s="163"/>
      <c r="V80" s="163"/>
      <c r="W80" s="167"/>
      <c r="X80" s="162"/>
      <c r="Y80" s="163"/>
      <c r="Z80" s="163"/>
      <c r="AA80" s="167"/>
      <c r="AB80" s="162"/>
      <c r="AC80" s="163"/>
      <c r="AD80" s="163"/>
      <c r="AE80" s="167"/>
      <c r="AF80" s="162"/>
      <c r="AG80" s="163"/>
      <c r="AH80" s="163"/>
      <c r="AI80" s="167"/>
      <c r="AJ80" s="162">
        <v>4500</v>
      </c>
      <c r="AK80" s="163">
        <v>4500</v>
      </c>
      <c r="AL80" s="163">
        <v>4500</v>
      </c>
      <c r="AM80" s="167">
        <v>4700</v>
      </c>
      <c r="AN80" s="162"/>
      <c r="AO80" s="163"/>
      <c r="AP80" s="163"/>
      <c r="AQ80" s="167"/>
      <c r="AR80" s="162"/>
      <c r="AS80" s="163"/>
      <c r="AT80" s="163"/>
      <c r="AU80" s="167"/>
      <c r="AV80" s="162"/>
      <c r="AW80" s="163"/>
      <c r="AX80" s="163"/>
      <c r="AY80" s="167"/>
      <c r="AZ80" s="162"/>
      <c r="BA80" s="163"/>
      <c r="BB80" s="163"/>
      <c r="BC80" s="173"/>
      <c r="BD80" s="162">
        <v>2884</v>
      </c>
      <c r="BE80" s="163">
        <v>2884</v>
      </c>
      <c r="BF80" s="163">
        <v>2884</v>
      </c>
      <c r="BG80" s="173">
        <v>2884</v>
      </c>
    </row>
    <row r="81" spans="1:59" hidden="1">
      <c r="A81" s="160" t="e" vm="75">
        <v>#VALUE!</v>
      </c>
      <c r="B81" s="172" t="e" vm="78">
        <v>#VALUE!</v>
      </c>
      <c r="C81" s="162">
        <v>3500</v>
      </c>
      <c r="D81" s="163">
        <v>3500</v>
      </c>
      <c r="E81" s="163">
        <v>3500</v>
      </c>
      <c r="F81" s="163">
        <v>3500</v>
      </c>
      <c r="G81" s="162"/>
      <c r="H81" s="163"/>
      <c r="I81" s="163"/>
      <c r="J81" s="167"/>
      <c r="K81" s="162"/>
      <c r="L81" s="163"/>
      <c r="M81" s="163"/>
      <c r="N81" s="167"/>
      <c r="O81" s="167"/>
      <c r="P81" s="162"/>
      <c r="Q81" s="163"/>
      <c r="R81" s="163"/>
      <c r="S81" s="167"/>
      <c r="T81" s="162"/>
      <c r="U81" s="163"/>
      <c r="V81" s="163"/>
      <c r="W81" s="167"/>
      <c r="X81" s="162"/>
      <c r="Y81" s="163"/>
      <c r="Z81" s="163"/>
      <c r="AA81" s="167"/>
      <c r="AB81" s="162"/>
      <c r="AC81" s="163"/>
      <c r="AD81" s="163"/>
      <c r="AE81" s="167"/>
      <c r="AF81" s="162"/>
      <c r="AG81" s="163"/>
      <c r="AH81" s="163"/>
      <c r="AI81" s="167"/>
      <c r="AJ81" s="162">
        <v>4500</v>
      </c>
      <c r="AK81" s="163">
        <v>4500</v>
      </c>
      <c r="AL81" s="163">
        <v>4500</v>
      </c>
      <c r="AM81" s="167">
        <v>4700</v>
      </c>
      <c r="AN81" s="162"/>
      <c r="AO81" s="163"/>
      <c r="AP81" s="163"/>
      <c r="AQ81" s="167"/>
      <c r="AR81" s="162"/>
      <c r="AS81" s="163"/>
      <c r="AT81" s="163"/>
      <c r="AU81" s="167"/>
      <c r="AV81" s="162"/>
      <c r="AW81" s="163"/>
      <c r="AX81" s="163"/>
      <c r="AY81" s="167"/>
      <c r="AZ81" s="162"/>
      <c r="BA81" s="163"/>
      <c r="BB81" s="163"/>
      <c r="BC81" s="173"/>
      <c r="BD81" s="162">
        <v>2884</v>
      </c>
      <c r="BE81" s="163">
        <v>2884</v>
      </c>
      <c r="BF81" s="163">
        <v>2884</v>
      </c>
      <c r="BG81" s="173">
        <v>2884</v>
      </c>
    </row>
    <row r="82" spans="1:59" hidden="1">
      <c r="A82" s="160" t="e" vm="75">
        <v>#VALUE!</v>
      </c>
      <c r="B82" s="172" t="e" vm="79">
        <v>#VALUE!</v>
      </c>
      <c r="C82" s="162">
        <v>3500</v>
      </c>
      <c r="D82" s="163">
        <v>3500</v>
      </c>
      <c r="E82" s="163">
        <v>3500</v>
      </c>
      <c r="F82" s="163">
        <v>3500</v>
      </c>
      <c r="G82" s="162"/>
      <c r="H82" s="163"/>
      <c r="I82" s="163"/>
      <c r="J82" s="167"/>
      <c r="K82" s="162"/>
      <c r="L82" s="163"/>
      <c r="M82" s="163"/>
      <c r="N82" s="167"/>
      <c r="O82" s="167"/>
      <c r="P82" s="162"/>
      <c r="Q82" s="163"/>
      <c r="R82" s="163"/>
      <c r="S82" s="167"/>
      <c r="T82" s="162"/>
      <c r="U82" s="163"/>
      <c r="V82" s="163"/>
      <c r="W82" s="167"/>
      <c r="X82" s="162"/>
      <c r="Y82" s="163"/>
      <c r="Z82" s="163"/>
      <c r="AA82" s="167"/>
      <c r="AB82" s="162"/>
      <c r="AC82" s="163"/>
      <c r="AD82" s="163"/>
      <c r="AE82" s="167"/>
      <c r="AF82" s="162"/>
      <c r="AG82" s="163"/>
      <c r="AH82" s="163"/>
      <c r="AI82" s="167"/>
      <c r="AJ82" s="162">
        <v>4500</v>
      </c>
      <c r="AK82" s="163">
        <v>4500</v>
      </c>
      <c r="AL82" s="163">
        <v>4500</v>
      </c>
      <c r="AM82" s="167">
        <v>4700</v>
      </c>
      <c r="AN82" s="162"/>
      <c r="AO82" s="163"/>
      <c r="AP82" s="163"/>
      <c r="AQ82" s="167"/>
      <c r="AR82" s="162"/>
      <c r="AS82" s="163"/>
      <c r="AT82" s="163"/>
      <c r="AU82" s="167"/>
      <c r="AV82" s="162"/>
      <c r="AW82" s="163"/>
      <c r="AX82" s="163"/>
      <c r="AY82" s="167"/>
      <c r="AZ82" s="162"/>
      <c r="BA82" s="163"/>
      <c r="BB82" s="163"/>
      <c r="BC82" s="173"/>
      <c r="BD82" s="162">
        <v>3090</v>
      </c>
      <c r="BE82" s="163">
        <v>3090</v>
      </c>
      <c r="BF82" s="163">
        <v>3090</v>
      </c>
      <c r="BG82" s="173">
        <v>3090</v>
      </c>
    </row>
    <row r="83" spans="1:59" hidden="1">
      <c r="A83" s="160" t="e" vm="75">
        <v>#VALUE!</v>
      </c>
      <c r="B83" s="172" t="e" vm="80">
        <v>#VALUE!</v>
      </c>
      <c r="C83" s="162">
        <v>3500</v>
      </c>
      <c r="D83" s="163">
        <v>3500</v>
      </c>
      <c r="E83" s="163">
        <v>3500</v>
      </c>
      <c r="F83" s="163">
        <v>3500</v>
      </c>
      <c r="G83" s="162"/>
      <c r="H83" s="163"/>
      <c r="I83" s="163"/>
      <c r="J83" s="167"/>
      <c r="K83" s="162"/>
      <c r="L83" s="163"/>
      <c r="M83" s="163"/>
      <c r="N83" s="167"/>
      <c r="O83" s="167"/>
      <c r="P83" s="162"/>
      <c r="Q83" s="163"/>
      <c r="R83" s="163"/>
      <c r="S83" s="167"/>
      <c r="T83" s="162"/>
      <c r="U83" s="163"/>
      <c r="V83" s="163"/>
      <c r="W83" s="167"/>
      <c r="X83" s="162"/>
      <c r="Y83" s="163"/>
      <c r="Z83" s="163"/>
      <c r="AA83" s="167"/>
      <c r="AB83" s="162"/>
      <c r="AC83" s="163"/>
      <c r="AD83" s="163"/>
      <c r="AE83" s="167"/>
      <c r="AF83" s="162"/>
      <c r="AG83" s="163"/>
      <c r="AH83" s="163"/>
      <c r="AI83" s="167"/>
      <c r="AJ83" s="162">
        <v>4500</v>
      </c>
      <c r="AK83" s="163">
        <v>4500</v>
      </c>
      <c r="AL83" s="163">
        <v>4500</v>
      </c>
      <c r="AM83" s="167">
        <v>4700</v>
      </c>
      <c r="AN83" s="162"/>
      <c r="AO83" s="163"/>
      <c r="AP83" s="163"/>
      <c r="AQ83" s="167"/>
      <c r="AR83" s="162"/>
      <c r="AS83" s="163"/>
      <c r="AT83" s="163"/>
      <c r="AU83" s="167"/>
      <c r="AV83" s="162"/>
      <c r="AW83" s="163"/>
      <c r="AX83" s="163"/>
      <c r="AY83" s="167"/>
      <c r="AZ83" s="162"/>
      <c r="BA83" s="163"/>
      <c r="BB83" s="163"/>
      <c r="BC83" s="173"/>
      <c r="BD83" s="162">
        <v>2884</v>
      </c>
      <c r="BE83" s="163">
        <v>2884</v>
      </c>
      <c r="BF83" s="163">
        <v>2884</v>
      </c>
      <c r="BG83" s="173">
        <v>2884</v>
      </c>
    </row>
    <row r="84" spans="1:59" hidden="1">
      <c r="A84" s="160" t="e" vm="75">
        <v>#VALUE!</v>
      </c>
      <c r="B84" s="172" t="e" vm="81">
        <v>#VALUE!</v>
      </c>
      <c r="C84" s="162">
        <v>3500</v>
      </c>
      <c r="D84" s="163">
        <v>3500</v>
      </c>
      <c r="E84" s="163">
        <v>3500</v>
      </c>
      <c r="F84" s="163">
        <v>3500</v>
      </c>
      <c r="G84" s="162"/>
      <c r="H84" s="163"/>
      <c r="I84" s="163"/>
      <c r="J84" s="167"/>
      <c r="K84" s="162"/>
      <c r="L84" s="163"/>
      <c r="M84" s="163"/>
      <c r="N84" s="167"/>
      <c r="O84" s="167"/>
      <c r="P84" s="162"/>
      <c r="Q84" s="163"/>
      <c r="R84" s="163"/>
      <c r="S84" s="167"/>
      <c r="T84" s="162"/>
      <c r="U84" s="163"/>
      <c r="V84" s="163"/>
      <c r="W84" s="167"/>
      <c r="X84" s="162"/>
      <c r="Y84" s="163"/>
      <c r="Z84" s="163"/>
      <c r="AA84" s="167"/>
      <c r="AB84" s="162"/>
      <c r="AC84" s="163"/>
      <c r="AD84" s="163"/>
      <c r="AE84" s="167"/>
      <c r="AF84" s="162"/>
      <c r="AG84" s="163"/>
      <c r="AH84" s="163"/>
      <c r="AI84" s="167"/>
      <c r="AJ84" s="162">
        <v>4500</v>
      </c>
      <c r="AK84" s="163">
        <v>4500</v>
      </c>
      <c r="AL84" s="163">
        <v>4500</v>
      </c>
      <c r="AM84" s="167">
        <v>4700</v>
      </c>
      <c r="AN84" s="162"/>
      <c r="AO84" s="163"/>
      <c r="AP84" s="163"/>
      <c r="AQ84" s="167"/>
      <c r="AR84" s="162"/>
      <c r="AS84" s="163"/>
      <c r="AT84" s="163"/>
      <c r="AU84" s="167"/>
      <c r="AV84" s="162"/>
      <c r="AW84" s="163"/>
      <c r="AX84" s="163"/>
      <c r="AY84" s="167"/>
      <c r="AZ84" s="162"/>
      <c r="BA84" s="163"/>
      <c r="BB84" s="163"/>
      <c r="BC84" s="173"/>
      <c r="BD84" s="162">
        <v>3914</v>
      </c>
      <c r="BE84" s="163">
        <v>3914</v>
      </c>
      <c r="BF84" s="163">
        <v>3914</v>
      </c>
      <c r="BG84" s="173">
        <v>3914</v>
      </c>
    </row>
    <row r="85" spans="1:59" hidden="1">
      <c r="A85" s="160" t="e" vm="75">
        <v>#VALUE!</v>
      </c>
      <c r="B85" s="172" t="e" vm="82">
        <v>#VALUE!</v>
      </c>
      <c r="C85" s="162">
        <v>3500</v>
      </c>
      <c r="D85" s="163">
        <v>3500</v>
      </c>
      <c r="E85" s="163">
        <v>3500</v>
      </c>
      <c r="F85" s="163">
        <v>3500</v>
      </c>
      <c r="G85" s="162"/>
      <c r="H85" s="163"/>
      <c r="I85" s="163"/>
      <c r="J85" s="167"/>
      <c r="K85" s="162"/>
      <c r="L85" s="163"/>
      <c r="M85" s="163"/>
      <c r="N85" s="167"/>
      <c r="O85" s="167"/>
      <c r="P85" s="162"/>
      <c r="Q85" s="163"/>
      <c r="R85" s="163"/>
      <c r="S85" s="167"/>
      <c r="T85" s="162"/>
      <c r="U85" s="163"/>
      <c r="V85" s="163"/>
      <c r="W85" s="167"/>
      <c r="X85" s="162"/>
      <c r="Y85" s="163"/>
      <c r="Z85" s="163"/>
      <c r="AA85" s="167"/>
      <c r="AB85" s="162"/>
      <c r="AC85" s="163"/>
      <c r="AD85" s="163"/>
      <c r="AE85" s="167"/>
      <c r="AF85" s="162"/>
      <c r="AG85" s="163"/>
      <c r="AH85" s="163"/>
      <c r="AI85" s="167"/>
      <c r="AJ85" s="162">
        <v>4500</v>
      </c>
      <c r="AK85" s="163">
        <v>4500</v>
      </c>
      <c r="AL85" s="163">
        <v>4500</v>
      </c>
      <c r="AM85" s="167">
        <v>4700</v>
      </c>
      <c r="AN85" s="162"/>
      <c r="AO85" s="163"/>
      <c r="AP85" s="163"/>
      <c r="AQ85" s="167"/>
      <c r="AR85" s="162"/>
      <c r="AS85" s="163"/>
      <c r="AT85" s="163"/>
      <c r="AU85" s="167"/>
      <c r="AV85" s="162"/>
      <c r="AW85" s="163"/>
      <c r="AX85" s="163"/>
      <c r="AY85" s="167"/>
      <c r="AZ85" s="162"/>
      <c r="BA85" s="163"/>
      <c r="BB85" s="163"/>
      <c r="BC85" s="173"/>
      <c r="BD85" s="162">
        <v>2884</v>
      </c>
      <c r="BE85" s="163">
        <v>2884</v>
      </c>
      <c r="BF85" s="163">
        <v>2884</v>
      </c>
      <c r="BG85" s="173">
        <v>2884</v>
      </c>
    </row>
    <row r="86" spans="1:59" hidden="1">
      <c r="A86" s="160" t="e" vm="75">
        <v>#VALUE!</v>
      </c>
      <c r="B86" s="172" t="e" vm="83">
        <v>#VALUE!</v>
      </c>
      <c r="C86" s="162">
        <v>3500</v>
      </c>
      <c r="D86" s="163">
        <v>3500</v>
      </c>
      <c r="E86" s="163">
        <v>3500</v>
      </c>
      <c r="F86" s="163">
        <v>3500</v>
      </c>
      <c r="G86" s="162"/>
      <c r="H86" s="163"/>
      <c r="I86" s="163"/>
      <c r="J86" s="167"/>
      <c r="K86" s="162"/>
      <c r="L86" s="163"/>
      <c r="M86" s="163"/>
      <c r="N86" s="167"/>
      <c r="O86" s="167"/>
      <c r="P86" s="162"/>
      <c r="Q86" s="163"/>
      <c r="R86" s="163"/>
      <c r="S86" s="167"/>
      <c r="T86" s="162"/>
      <c r="U86" s="163"/>
      <c r="V86" s="163"/>
      <c r="W86" s="167"/>
      <c r="X86" s="162"/>
      <c r="Y86" s="163"/>
      <c r="Z86" s="163"/>
      <c r="AA86" s="167"/>
      <c r="AB86" s="162"/>
      <c r="AC86" s="163"/>
      <c r="AD86" s="163"/>
      <c r="AE86" s="167"/>
      <c r="AF86" s="162"/>
      <c r="AG86" s="163"/>
      <c r="AH86" s="163"/>
      <c r="AI86" s="167"/>
      <c r="AJ86" s="162">
        <v>4500</v>
      </c>
      <c r="AK86" s="163">
        <v>4500</v>
      </c>
      <c r="AL86" s="163">
        <v>4500</v>
      </c>
      <c r="AM86" s="167">
        <v>4700</v>
      </c>
      <c r="AN86" s="162"/>
      <c r="AO86" s="163"/>
      <c r="AP86" s="163"/>
      <c r="AQ86" s="167"/>
      <c r="AR86" s="162"/>
      <c r="AS86" s="163"/>
      <c r="AT86" s="163"/>
      <c r="AU86" s="167"/>
      <c r="AV86" s="162"/>
      <c r="AW86" s="163"/>
      <c r="AX86" s="163"/>
      <c r="AY86" s="167"/>
      <c r="AZ86" s="162"/>
      <c r="BA86" s="163"/>
      <c r="BB86" s="163"/>
      <c r="BC86" s="173"/>
      <c r="BD86" s="162">
        <v>4100</v>
      </c>
      <c r="BE86" s="163">
        <v>4100</v>
      </c>
      <c r="BF86" s="163">
        <v>4100</v>
      </c>
      <c r="BG86" s="173">
        <v>4100</v>
      </c>
    </row>
    <row r="87" spans="1:59" hidden="1">
      <c r="A87" s="160" t="e" vm="75">
        <v>#VALUE!</v>
      </c>
      <c r="B87" s="172" t="e" vm="84">
        <v>#VALUE!</v>
      </c>
      <c r="C87" s="162">
        <v>3500</v>
      </c>
      <c r="D87" s="163">
        <v>3500</v>
      </c>
      <c r="E87" s="163">
        <v>3500</v>
      </c>
      <c r="F87" s="163">
        <v>3500</v>
      </c>
      <c r="G87" s="162"/>
      <c r="H87" s="163"/>
      <c r="I87" s="163"/>
      <c r="J87" s="167"/>
      <c r="K87" s="162"/>
      <c r="L87" s="163"/>
      <c r="M87" s="163"/>
      <c r="N87" s="167"/>
      <c r="O87" s="167"/>
      <c r="P87" s="162"/>
      <c r="Q87" s="163"/>
      <c r="R87" s="163"/>
      <c r="S87" s="167"/>
      <c r="T87" s="162"/>
      <c r="U87" s="163"/>
      <c r="V87" s="163"/>
      <c r="W87" s="167"/>
      <c r="X87" s="162"/>
      <c r="Y87" s="163"/>
      <c r="Z87" s="163"/>
      <c r="AA87" s="167"/>
      <c r="AB87" s="162"/>
      <c r="AC87" s="163"/>
      <c r="AD87" s="163"/>
      <c r="AE87" s="167"/>
      <c r="AF87" s="162"/>
      <c r="AG87" s="163"/>
      <c r="AH87" s="163"/>
      <c r="AI87" s="167"/>
      <c r="AJ87" s="162">
        <v>4500</v>
      </c>
      <c r="AK87" s="163">
        <v>4500</v>
      </c>
      <c r="AL87" s="163">
        <v>4500</v>
      </c>
      <c r="AM87" s="167">
        <v>4700</v>
      </c>
      <c r="AN87" s="162"/>
      <c r="AO87" s="163"/>
      <c r="AP87" s="163"/>
      <c r="AQ87" s="167"/>
      <c r="AR87" s="162"/>
      <c r="AS87" s="163"/>
      <c r="AT87" s="163"/>
      <c r="AU87" s="167"/>
      <c r="AV87" s="162"/>
      <c r="AW87" s="163"/>
      <c r="AX87" s="163"/>
      <c r="AY87" s="167"/>
      <c r="AZ87" s="162"/>
      <c r="BA87" s="163"/>
      <c r="BB87" s="163"/>
      <c r="BC87" s="173"/>
      <c r="BD87" s="162">
        <v>4223</v>
      </c>
      <c r="BE87" s="163">
        <v>4223</v>
      </c>
      <c r="BF87" s="163">
        <v>4223</v>
      </c>
      <c r="BG87" s="173">
        <v>4223</v>
      </c>
    </row>
    <row r="88" spans="1:59" hidden="1">
      <c r="A88" s="160" t="e" vm="75">
        <v>#VALUE!</v>
      </c>
      <c r="B88" s="172" t="e" vm="85">
        <v>#VALUE!</v>
      </c>
      <c r="C88" s="162">
        <v>3500</v>
      </c>
      <c r="D88" s="163">
        <v>3500</v>
      </c>
      <c r="E88" s="163">
        <v>3500</v>
      </c>
      <c r="F88" s="163">
        <v>3500</v>
      </c>
      <c r="G88" s="162"/>
      <c r="H88" s="163"/>
      <c r="I88" s="163"/>
      <c r="J88" s="167"/>
      <c r="K88" s="162"/>
      <c r="L88" s="163"/>
      <c r="M88" s="163"/>
      <c r="N88" s="167"/>
      <c r="O88" s="167"/>
      <c r="P88" s="162"/>
      <c r="Q88" s="163"/>
      <c r="R88" s="163"/>
      <c r="S88" s="167"/>
      <c r="T88" s="162"/>
      <c r="U88" s="163"/>
      <c r="V88" s="163"/>
      <c r="W88" s="167"/>
      <c r="X88" s="162"/>
      <c r="Y88" s="163"/>
      <c r="Z88" s="163"/>
      <c r="AA88" s="167"/>
      <c r="AB88" s="162"/>
      <c r="AC88" s="163"/>
      <c r="AD88" s="163"/>
      <c r="AE88" s="167"/>
      <c r="AF88" s="162"/>
      <c r="AG88" s="163"/>
      <c r="AH88" s="163"/>
      <c r="AI88" s="167"/>
      <c r="AJ88" s="162">
        <v>4500</v>
      </c>
      <c r="AK88" s="163">
        <v>4500</v>
      </c>
      <c r="AL88" s="163">
        <v>4500</v>
      </c>
      <c r="AM88" s="167">
        <v>4700</v>
      </c>
      <c r="AN88" s="162"/>
      <c r="AO88" s="163"/>
      <c r="AP88" s="163"/>
      <c r="AQ88" s="167"/>
      <c r="AR88" s="162"/>
      <c r="AS88" s="163"/>
      <c r="AT88" s="163"/>
      <c r="AU88" s="167"/>
      <c r="AV88" s="162"/>
      <c r="AW88" s="163"/>
      <c r="AX88" s="163"/>
      <c r="AY88" s="167"/>
      <c r="AZ88" s="162"/>
      <c r="BA88" s="163"/>
      <c r="BB88" s="163"/>
      <c r="BC88" s="173"/>
      <c r="BD88" s="162">
        <v>5480</v>
      </c>
      <c r="BE88" s="163">
        <v>5480</v>
      </c>
      <c r="BF88" s="163">
        <v>5480</v>
      </c>
      <c r="BG88" s="173">
        <v>5480</v>
      </c>
    </row>
    <row r="89" spans="1:59" hidden="1">
      <c r="A89" s="160" t="e" vm="75">
        <v>#VALUE!</v>
      </c>
      <c r="B89" s="172" t="e" vm="86">
        <v>#VALUE!</v>
      </c>
      <c r="C89" s="162">
        <v>3500</v>
      </c>
      <c r="D89" s="163">
        <v>3500</v>
      </c>
      <c r="E89" s="163">
        <v>3500</v>
      </c>
      <c r="F89" s="163">
        <v>3500</v>
      </c>
      <c r="G89" s="162"/>
      <c r="H89" s="163"/>
      <c r="I89" s="163"/>
      <c r="J89" s="167"/>
      <c r="K89" s="162"/>
      <c r="L89" s="163"/>
      <c r="M89" s="163"/>
      <c r="N89" s="167"/>
      <c r="O89" s="167"/>
      <c r="P89" s="162"/>
      <c r="Q89" s="163"/>
      <c r="R89" s="163"/>
      <c r="S89" s="167"/>
      <c r="T89" s="162"/>
      <c r="U89" s="163"/>
      <c r="V89" s="163"/>
      <c r="W89" s="167"/>
      <c r="X89" s="162"/>
      <c r="Y89" s="163"/>
      <c r="Z89" s="163"/>
      <c r="AA89" s="167"/>
      <c r="AB89" s="162"/>
      <c r="AC89" s="163"/>
      <c r="AD89" s="163"/>
      <c r="AE89" s="167"/>
      <c r="AF89" s="162"/>
      <c r="AG89" s="163"/>
      <c r="AH89" s="163"/>
      <c r="AI89" s="167"/>
      <c r="AJ89" s="162">
        <v>4500</v>
      </c>
      <c r="AK89" s="163">
        <v>4500</v>
      </c>
      <c r="AL89" s="163">
        <v>4500</v>
      </c>
      <c r="AM89" s="167">
        <v>4700</v>
      </c>
      <c r="AN89" s="162"/>
      <c r="AO89" s="163"/>
      <c r="AP89" s="163"/>
      <c r="AQ89" s="167"/>
      <c r="AR89" s="162"/>
      <c r="AS89" s="163"/>
      <c r="AT89" s="163"/>
      <c r="AU89" s="167"/>
      <c r="AV89" s="162"/>
      <c r="AW89" s="163"/>
      <c r="AX89" s="163"/>
      <c r="AY89" s="167"/>
      <c r="AZ89" s="162"/>
      <c r="BA89" s="163"/>
      <c r="BB89" s="163"/>
      <c r="BC89" s="173"/>
      <c r="BD89" s="162">
        <v>2884</v>
      </c>
      <c r="BE89" s="163">
        <v>2884</v>
      </c>
      <c r="BF89" s="163">
        <v>2884</v>
      </c>
      <c r="BG89" s="173">
        <v>2884</v>
      </c>
    </row>
    <row r="90" spans="1:59" hidden="1">
      <c r="A90" s="160" t="e" vm="75">
        <v>#VALUE!</v>
      </c>
      <c r="B90" s="172" t="e" vm="87">
        <v>#VALUE!</v>
      </c>
      <c r="C90" s="162">
        <v>3500</v>
      </c>
      <c r="D90" s="163">
        <v>3500</v>
      </c>
      <c r="E90" s="163">
        <v>3500</v>
      </c>
      <c r="F90" s="163">
        <v>3500</v>
      </c>
      <c r="G90" s="162"/>
      <c r="H90" s="163"/>
      <c r="I90" s="163"/>
      <c r="J90" s="167"/>
      <c r="K90" s="162"/>
      <c r="L90" s="163"/>
      <c r="M90" s="163"/>
      <c r="N90" s="167"/>
      <c r="O90" s="167"/>
      <c r="P90" s="162"/>
      <c r="Q90" s="163"/>
      <c r="R90" s="163"/>
      <c r="S90" s="167"/>
      <c r="T90" s="162"/>
      <c r="U90" s="163"/>
      <c r="V90" s="163"/>
      <c r="W90" s="167"/>
      <c r="X90" s="162"/>
      <c r="Y90" s="163"/>
      <c r="Z90" s="163"/>
      <c r="AA90" s="167"/>
      <c r="AB90" s="162"/>
      <c r="AC90" s="163"/>
      <c r="AD90" s="163"/>
      <c r="AE90" s="167"/>
      <c r="AF90" s="162"/>
      <c r="AG90" s="163"/>
      <c r="AH90" s="163"/>
      <c r="AI90" s="167"/>
      <c r="AJ90" s="162">
        <v>4500</v>
      </c>
      <c r="AK90" s="163">
        <v>4500</v>
      </c>
      <c r="AL90" s="163">
        <v>4500</v>
      </c>
      <c r="AM90" s="167">
        <v>4700</v>
      </c>
      <c r="AN90" s="162"/>
      <c r="AO90" s="163"/>
      <c r="AP90" s="163"/>
      <c r="AQ90" s="167"/>
      <c r="AR90" s="162"/>
      <c r="AS90" s="163"/>
      <c r="AT90" s="163"/>
      <c r="AU90" s="167"/>
      <c r="AV90" s="162"/>
      <c r="AW90" s="163"/>
      <c r="AX90" s="163"/>
      <c r="AY90" s="167"/>
      <c r="AZ90" s="162"/>
      <c r="BA90" s="163"/>
      <c r="BB90" s="163"/>
      <c r="BC90" s="173"/>
      <c r="BD90" s="162">
        <v>3296</v>
      </c>
      <c r="BE90" s="163">
        <v>3296</v>
      </c>
      <c r="BF90" s="163">
        <v>3296</v>
      </c>
      <c r="BG90" s="173">
        <v>3296</v>
      </c>
    </row>
    <row r="91" spans="1:59" hidden="1">
      <c r="A91" s="160" t="e" vm="75">
        <v>#VALUE!</v>
      </c>
      <c r="B91" s="172" t="e" vm="88">
        <v>#VALUE!</v>
      </c>
      <c r="C91" s="162">
        <v>3500</v>
      </c>
      <c r="D91" s="163">
        <v>3500</v>
      </c>
      <c r="E91" s="163">
        <v>3500</v>
      </c>
      <c r="F91" s="163">
        <v>3500</v>
      </c>
      <c r="G91" s="162"/>
      <c r="H91" s="163"/>
      <c r="I91" s="163"/>
      <c r="J91" s="167"/>
      <c r="K91" s="162"/>
      <c r="L91" s="163"/>
      <c r="M91" s="163"/>
      <c r="N91" s="167"/>
      <c r="O91" s="167"/>
      <c r="P91" s="162"/>
      <c r="Q91" s="163"/>
      <c r="R91" s="163"/>
      <c r="S91" s="167"/>
      <c r="T91" s="162"/>
      <c r="U91" s="163"/>
      <c r="V91" s="163"/>
      <c r="W91" s="167"/>
      <c r="X91" s="162"/>
      <c r="Y91" s="163"/>
      <c r="Z91" s="163"/>
      <c r="AA91" s="167"/>
      <c r="AB91" s="162"/>
      <c r="AC91" s="163"/>
      <c r="AD91" s="163"/>
      <c r="AE91" s="167"/>
      <c r="AF91" s="162"/>
      <c r="AG91" s="163"/>
      <c r="AH91" s="163"/>
      <c r="AI91" s="167"/>
      <c r="AJ91" s="162">
        <v>4500</v>
      </c>
      <c r="AK91" s="163">
        <v>4500</v>
      </c>
      <c r="AL91" s="163">
        <v>4500</v>
      </c>
      <c r="AM91" s="167">
        <v>4700</v>
      </c>
      <c r="AN91" s="162"/>
      <c r="AO91" s="163"/>
      <c r="AP91" s="163"/>
      <c r="AQ91" s="167"/>
      <c r="AR91" s="162"/>
      <c r="AS91" s="163"/>
      <c r="AT91" s="163"/>
      <c r="AU91" s="167"/>
      <c r="AV91" s="162"/>
      <c r="AW91" s="163"/>
      <c r="AX91" s="163"/>
      <c r="AY91" s="167"/>
      <c r="AZ91" s="162"/>
      <c r="BA91" s="163"/>
      <c r="BB91" s="163"/>
      <c r="BC91" s="173"/>
      <c r="BD91" s="162">
        <v>3296</v>
      </c>
      <c r="BE91" s="163">
        <v>3296</v>
      </c>
      <c r="BF91" s="163">
        <v>3296</v>
      </c>
      <c r="BG91" s="173">
        <v>3296</v>
      </c>
    </row>
    <row r="92" spans="1:59" hidden="1">
      <c r="A92" s="160" t="e" vm="75">
        <v>#VALUE!</v>
      </c>
      <c r="B92" s="172" t="e" vm="89">
        <v>#VALUE!</v>
      </c>
      <c r="C92" s="162">
        <v>3500</v>
      </c>
      <c r="D92" s="163">
        <v>3500</v>
      </c>
      <c r="E92" s="163">
        <v>3500</v>
      </c>
      <c r="F92" s="163">
        <v>3500</v>
      </c>
      <c r="G92" s="162"/>
      <c r="H92" s="163"/>
      <c r="I92" s="163"/>
      <c r="J92" s="167"/>
      <c r="K92" s="162"/>
      <c r="L92" s="163"/>
      <c r="M92" s="163"/>
      <c r="N92" s="167"/>
      <c r="O92" s="167"/>
      <c r="P92" s="162"/>
      <c r="Q92" s="163"/>
      <c r="R92" s="163"/>
      <c r="S92" s="167"/>
      <c r="T92" s="162"/>
      <c r="U92" s="163"/>
      <c r="V92" s="163"/>
      <c r="W92" s="167"/>
      <c r="X92" s="162"/>
      <c r="Y92" s="163"/>
      <c r="Z92" s="163"/>
      <c r="AA92" s="167"/>
      <c r="AB92" s="162"/>
      <c r="AC92" s="163"/>
      <c r="AD92" s="163"/>
      <c r="AE92" s="167"/>
      <c r="AF92" s="162"/>
      <c r="AG92" s="163"/>
      <c r="AH92" s="163"/>
      <c r="AI92" s="167"/>
      <c r="AJ92" s="162">
        <v>4500</v>
      </c>
      <c r="AK92" s="163">
        <v>4500</v>
      </c>
      <c r="AL92" s="163">
        <v>4500</v>
      </c>
      <c r="AM92" s="167">
        <v>4700</v>
      </c>
      <c r="AN92" s="162"/>
      <c r="AO92" s="163"/>
      <c r="AP92" s="163"/>
      <c r="AQ92" s="167"/>
      <c r="AR92" s="162"/>
      <c r="AS92" s="163"/>
      <c r="AT92" s="163"/>
      <c r="AU92" s="167"/>
      <c r="AV92" s="162"/>
      <c r="AW92" s="163"/>
      <c r="AX92" s="163"/>
      <c r="AY92" s="167"/>
      <c r="AZ92" s="162"/>
      <c r="BA92" s="163"/>
      <c r="BB92" s="163"/>
      <c r="BC92" s="173"/>
      <c r="BD92" s="162">
        <v>3811</v>
      </c>
      <c r="BE92" s="163">
        <v>3811</v>
      </c>
      <c r="BF92" s="163">
        <v>3811</v>
      </c>
      <c r="BG92" s="173">
        <v>3811</v>
      </c>
    </row>
    <row r="93" spans="1:59" hidden="1">
      <c r="A93" s="160" t="e" vm="75">
        <v>#VALUE!</v>
      </c>
      <c r="B93" s="172" t="e" vm="90">
        <v>#VALUE!</v>
      </c>
      <c r="C93" s="162">
        <v>3500</v>
      </c>
      <c r="D93" s="163">
        <v>3500</v>
      </c>
      <c r="E93" s="163">
        <v>3500</v>
      </c>
      <c r="F93" s="163">
        <v>3500</v>
      </c>
      <c r="G93" s="162"/>
      <c r="H93" s="163"/>
      <c r="I93" s="163"/>
      <c r="J93" s="167"/>
      <c r="K93" s="162"/>
      <c r="L93" s="163"/>
      <c r="M93" s="163"/>
      <c r="N93" s="167"/>
      <c r="O93" s="167"/>
      <c r="P93" s="162"/>
      <c r="Q93" s="163"/>
      <c r="R93" s="163"/>
      <c r="S93" s="167"/>
      <c r="T93" s="162"/>
      <c r="U93" s="163"/>
      <c r="V93" s="163"/>
      <c r="W93" s="167"/>
      <c r="X93" s="162"/>
      <c r="Y93" s="163"/>
      <c r="Z93" s="163"/>
      <c r="AA93" s="167"/>
      <c r="AB93" s="162"/>
      <c r="AC93" s="163"/>
      <c r="AD93" s="163"/>
      <c r="AE93" s="167"/>
      <c r="AF93" s="162"/>
      <c r="AG93" s="163"/>
      <c r="AH93" s="163"/>
      <c r="AI93" s="167"/>
      <c r="AJ93" s="162">
        <v>4500</v>
      </c>
      <c r="AK93" s="163">
        <v>4500</v>
      </c>
      <c r="AL93" s="163">
        <v>4500</v>
      </c>
      <c r="AM93" s="167">
        <v>4700</v>
      </c>
      <c r="AN93" s="162"/>
      <c r="AO93" s="163"/>
      <c r="AP93" s="163"/>
      <c r="AQ93" s="167"/>
      <c r="AR93" s="162"/>
      <c r="AS93" s="163"/>
      <c r="AT93" s="163"/>
      <c r="AU93" s="167"/>
      <c r="AV93" s="162"/>
      <c r="AW93" s="163"/>
      <c r="AX93" s="163"/>
      <c r="AY93" s="167"/>
      <c r="AZ93" s="162"/>
      <c r="BA93" s="163"/>
      <c r="BB93" s="163"/>
      <c r="BC93" s="173"/>
      <c r="BD93" s="162">
        <v>3914</v>
      </c>
      <c r="BE93" s="163">
        <v>3914</v>
      </c>
      <c r="BF93" s="163">
        <v>3914</v>
      </c>
      <c r="BG93" s="173">
        <v>3914</v>
      </c>
    </row>
    <row r="94" spans="1:59" hidden="1">
      <c r="A94" s="160" t="e" vm="75">
        <v>#VALUE!</v>
      </c>
      <c r="B94" s="174" t="e" vm="91">
        <v>#VALUE!</v>
      </c>
      <c r="C94" s="164">
        <v>3500</v>
      </c>
      <c r="D94" s="165">
        <v>3500</v>
      </c>
      <c r="E94" s="165">
        <v>3500</v>
      </c>
      <c r="F94" s="165">
        <v>3500</v>
      </c>
      <c r="G94" s="164"/>
      <c r="H94" s="165"/>
      <c r="I94" s="165"/>
      <c r="J94" s="166"/>
      <c r="K94" s="164"/>
      <c r="L94" s="165"/>
      <c r="M94" s="165"/>
      <c r="N94" s="166"/>
      <c r="O94" s="166"/>
      <c r="P94" s="164"/>
      <c r="Q94" s="165"/>
      <c r="R94" s="165"/>
      <c r="S94" s="166"/>
      <c r="T94" s="164"/>
      <c r="U94" s="165"/>
      <c r="V94" s="165"/>
      <c r="W94" s="166"/>
      <c r="X94" s="164"/>
      <c r="Y94" s="165"/>
      <c r="Z94" s="165"/>
      <c r="AA94" s="166"/>
      <c r="AB94" s="164"/>
      <c r="AC94" s="165"/>
      <c r="AD94" s="165"/>
      <c r="AE94" s="166"/>
      <c r="AF94" s="164"/>
      <c r="AG94" s="165"/>
      <c r="AH94" s="165"/>
      <c r="AI94" s="166"/>
      <c r="AJ94" s="164">
        <v>4500</v>
      </c>
      <c r="AK94" s="165">
        <v>4500</v>
      </c>
      <c r="AL94" s="165">
        <v>4500</v>
      </c>
      <c r="AM94" s="166">
        <v>4700</v>
      </c>
      <c r="AN94" s="164"/>
      <c r="AO94" s="165"/>
      <c r="AP94" s="165"/>
      <c r="AQ94" s="166"/>
      <c r="AR94" s="164"/>
      <c r="AS94" s="165"/>
      <c r="AT94" s="165"/>
      <c r="AU94" s="166"/>
      <c r="AV94" s="164"/>
      <c r="AW94" s="165"/>
      <c r="AX94" s="165"/>
      <c r="AY94" s="166"/>
      <c r="AZ94" s="164"/>
      <c r="BA94" s="165"/>
      <c r="BB94" s="165"/>
      <c r="BC94" s="168"/>
      <c r="BD94" s="164">
        <v>3811</v>
      </c>
      <c r="BE94" s="165">
        <v>3811</v>
      </c>
      <c r="BF94" s="165">
        <v>3811</v>
      </c>
      <c r="BG94" s="168">
        <v>3811</v>
      </c>
    </row>
    <row r="95" spans="1:59" s="24" customFormat="1" hidden="1">
      <c r="A95" s="3" t="e" vm="92">
        <v>#VALUE!</v>
      </c>
      <c r="B95" s="16" t="e" vm="93">
        <v>#VALUE!</v>
      </c>
      <c r="C95" s="32"/>
      <c r="D95" s="35"/>
      <c r="E95" s="35"/>
      <c r="F95" s="36"/>
      <c r="G95" s="32"/>
      <c r="H95" s="35"/>
      <c r="I95" s="35"/>
      <c r="J95" s="36"/>
      <c r="K95" s="32"/>
      <c r="L95" s="35"/>
      <c r="M95" s="35"/>
      <c r="N95" s="36"/>
      <c r="O95" s="36"/>
      <c r="P95" s="32"/>
      <c r="Q95" s="35"/>
      <c r="R95" s="35"/>
      <c r="S95" s="36"/>
      <c r="T95" s="32"/>
      <c r="U95" s="35"/>
      <c r="V95" s="35"/>
      <c r="W95" s="36"/>
      <c r="X95" s="32"/>
      <c r="Y95" s="35"/>
      <c r="Z95" s="35"/>
      <c r="AA95" s="36"/>
      <c r="AB95" s="32"/>
      <c r="AC95" s="35"/>
      <c r="AD95" s="35"/>
      <c r="AE95" s="36"/>
      <c r="AF95" s="32"/>
      <c r="AG95" s="35"/>
      <c r="AH95" s="35"/>
      <c r="AI95" s="36"/>
      <c r="AJ95" s="32"/>
      <c r="AK95" s="35"/>
      <c r="AL95" s="35"/>
      <c r="AM95" s="36"/>
      <c r="AN95" s="32"/>
      <c r="AO95" s="35"/>
      <c r="AP95" s="35"/>
      <c r="AQ95" s="36"/>
      <c r="AR95" s="32"/>
      <c r="AS95" s="35"/>
      <c r="AT95" s="35"/>
      <c r="AU95" s="36"/>
      <c r="AV95" s="32"/>
      <c r="AW95" s="35"/>
      <c r="AX95" s="35"/>
      <c r="AY95" s="36"/>
      <c r="AZ95" s="32"/>
      <c r="BA95" s="35"/>
      <c r="BB95" s="35"/>
      <c r="BC95" s="36"/>
      <c r="BD95" s="32"/>
      <c r="BE95" s="35"/>
      <c r="BF95" s="35"/>
      <c r="BG95" s="36"/>
    </row>
    <row r="96" spans="1:59" s="24" customFormat="1" hidden="1">
      <c r="A96" s="3" t="e" vm="92">
        <v>#VALUE!</v>
      </c>
      <c r="B96" s="17" t="e" vm="94">
        <v>#VALUE!</v>
      </c>
      <c r="C96" s="26"/>
      <c r="D96" s="37"/>
      <c r="E96" s="37"/>
      <c r="F96" s="38"/>
      <c r="G96" s="26"/>
      <c r="H96" s="37"/>
      <c r="I96" s="37"/>
      <c r="J96" s="38"/>
      <c r="K96" s="26"/>
      <c r="L96" s="37"/>
      <c r="M96" s="37"/>
      <c r="N96" s="38"/>
      <c r="O96" s="38"/>
      <c r="P96" s="26"/>
      <c r="Q96" s="37"/>
      <c r="R96" s="37"/>
      <c r="S96" s="38"/>
      <c r="T96" s="26"/>
      <c r="U96" s="37"/>
      <c r="V96" s="37"/>
      <c r="W96" s="38"/>
      <c r="X96" s="26"/>
      <c r="Y96" s="37"/>
      <c r="Z96" s="37"/>
      <c r="AA96" s="38"/>
      <c r="AB96" s="26"/>
      <c r="AC96" s="37"/>
      <c r="AD96" s="37"/>
      <c r="AE96" s="38"/>
      <c r="AF96" s="26"/>
      <c r="AG96" s="37"/>
      <c r="AH96" s="37"/>
      <c r="AI96" s="38"/>
      <c r="AJ96" s="26"/>
      <c r="AK96" s="37"/>
      <c r="AL96" s="37"/>
      <c r="AM96" s="38"/>
      <c r="AN96" s="26"/>
      <c r="AO96" s="37"/>
      <c r="AP96" s="37"/>
      <c r="AQ96" s="38"/>
      <c r="AR96" s="26"/>
      <c r="AS96" s="37"/>
      <c r="AT96" s="37"/>
      <c r="AU96" s="38"/>
      <c r="AV96" s="26"/>
      <c r="AW96" s="37"/>
      <c r="AX96" s="37"/>
      <c r="AY96" s="38"/>
      <c r="AZ96" s="26"/>
      <c r="BA96" s="37"/>
      <c r="BB96" s="37"/>
      <c r="BC96" s="38"/>
      <c r="BD96" s="26"/>
      <c r="BE96" s="37"/>
      <c r="BF96" s="37"/>
      <c r="BG96" s="38"/>
    </row>
    <row r="97" spans="1:59" s="24" customFormat="1" hidden="1">
      <c r="A97" s="3" t="e" vm="92">
        <v>#VALUE!</v>
      </c>
      <c r="B97" s="17" t="e" vm="95">
        <v>#VALUE!</v>
      </c>
      <c r="C97" s="26"/>
      <c r="D97" s="37"/>
      <c r="E97" s="37"/>
      <c r="F97" s="38"/>
      <c r="G97" s="26"/>
      <c r="H97" s="37"/>
      <c r="I97" s="37"/>
      <c r="J97" s="38"/>
      <c r="K97" s="26"/>
      <c r="L97" s="37"/>
      <c r="M97" s="37"/>
      <c r="N97" s="38"/>
      <c r="O97" s="38"/>
      <c r="P97" s="26"/>
      <c r="Q97" s="37"/>
      <c r="R97" s="37"/>
      <c r="S97" s="38"/>
      <c r="T97" s="26"/>
      <c r="U97" s="37"/>
      <c r="V97" s="37"/>
      <c r="W97" s="38"/>
      <c r="X97" s="26"/>
      <c r="Y97" s="37"/>
      <c r="Z97" s="37"/>
      <c r="AA97" s="38"/>
      <c r="AB97" s="26"/>
      <c r="AC97" s="37"/>
      <c r="AD97" s="37"/>
      <c r="AE97" s="38"/>
      <c r="AF97" s="26"/>
      <c r="AG97" s="37"/>
      <c r="AH97" s="37"/>
      <c r="AI97" s="38"/>
      <c r="AJ97" s="26"/>
      <c r="AK97" s="37"/>
      <c r="AL97" s="37"/>
      <c r="AM97" s="38"/>
      <c r="AN97" s="26"/>
      <c r="AO97" s="37"/>
      <c r="AP97" s="37"/>
      <c r="AQ97" s="38"/>
      <c r="AR97" s="26"/>
      <c r="AS97" s="37"/>
      <c r="AT97" s="37"/>
      <c r="AU97" s="38"/>
      <c r="AV97" s="26"/>
      <c r="AW97" s="37"/>
      <c r="AX97" s="37"/>
      <c r="AY97" s="38"/>
      <c r="AZ97" s="26"/>
      <c r="BA97" s="37"/>
      <c r="BB97" s="37"/>
      <c r="BC97" s="38"/>
      <c r="BD97" s="26"/>
      <c r="BE97" s="37"/>
      <c r="BF97" s="37"/>
      <c r="BG97" s="38"/>
    </row>
    <row r="98" spans="1:59" s="24" customFormat="1" ht="15.75" hidden="1" thickBot="1">
      <c r="A98" s="3" t="e" vm="92">
        <v>#VALUE!</v>
      </c>
      <c r="B98" s="18" t="e" vm="96">
        <v>#VALUE!</v>
      </c>
      <c r="C98" s="33"/>
      <c r="D98" s="39"/>
      <c r="E98" s="39"/>
      <c r="F98" s="40"/>
      <c r="G98" s="33"/>
      <c r="H98" s="39"/>
      <c r="I98" s="39"/>
      <c r="J98" s="40"/>
      <c r="K98" s="33"/>
      <c r="L98" s="39"/>
      <c r="M98" s="39"/>
      <c r="N98" s="40"/>
      <c r="O98" s="40"/>
      <c r="P98" s="33"/>
      <c r="Q98" s="39"/>
      <c r="R98" s="39"/>
      <c r="S98" s="40"/>
      <c r="T98" s="33"/>
      <c r="U98" s="39"/>
      <c r="V98" s="39"/>
      <c r="W98" s="40"/>
      <c r="X98" s="33"/>
      <c r="Y98" s="39"/>
      <c r="Z98" s="39"/>
      <c r="AA98" s="40"/>
      <c r="AB98" s="33"/>
      <c r="AC98" s="39"/>
      <c r="AD98" s="39"/>
      <c r="AE98" s="40"/>
      <c r="AF98" s="33"/>
      <c r="AG98" s="39"/>
      <c r="AH98" s="39"/>
      <c r="AI98" s="40"/>
      <c r="AJ98" s="33"/>
      <c r="AK98" s="39"/>
      <c r="AL98" s="39"/>
      <c r="AM98" s="40"/>
      <c r="AN98" s="33"/>
      <c r="AO98" s="39"/>
      <c r="AP98" s="39"/>
      <c r="AQ98" s="40"/>
      <c r="AR98" s="33"/>
      <c r="AS98" s="39"/>
      <c r="AT98" s="39"/>
      <c r="AU98" s="40"/>
      <c r="AV98" s="33"/>
      <c r="AW98" s="39"/>
      <c r="AX98" s="39"/>
      <c r="AY98" s="40"/>
      <c r="AZ98" s="33"/>
      <c r="BA98" s="39"/>
      <c r="BB98" s="39"/>
      <c r="BC98" s="40"/>
      <c r="BD98" s="33"/>
      <c r="BE98" s="39"/>
      <c r="BF98" s="39"/>
      <c r="BG98" s="40"/>
    </row>
    <row r="99" spans="1:59" s="24" customFormat="1" hidden="1">
      <c r="A99" s="3" t="e" vm="97">
        <v>#VALUE!</v>
      </c>
      <c r="B99" s="19" t="e" vm="98">
        <v>#VALUE!</v>
      </c>
      <c r="C99" s="29"/>
      <c r="D99" s="41"/>
      <c r="E99" s="41"/>
      <c r="F99" s="42"/>
      <c r="G99" s="29"/>
      <c r="H99" s="41"/>
      <c r="I99" s="41"/>
      <c r="J99" s="42"/>
      <c r="K99" s="29"/>
      <c r="L99" s="41"/>
      <c r="M99" s="41"/>
      <c r="N99" s="42"/>
      <c r="O99" s="42"/>
      <c r="P99" s="29"/>
      <c r="Q99" s="41"/>
      <c r="R99" s="41"/>
      <c r="S99" s="42"/>
      <c r="T99" s="29"/>
      <c r="U99" s="41"/>
      <c r="V99" s="41"/>
      <c r="W99" s="42"/>
      <c r="X99" s="29"/>
      <c r="Y99" s="41"/>
      <c r="Z99" s="41"/>
      <c r="AA99" s="42"/>
      <c r="AB99" s="29"/>
      <c r="AC99" s="41"/>
      <c r="AD99" s="41"/>
      <c r="AE99" s="42"/>
      <c r="AF99" s="29"/>
      <c r="AG99" s="41"/>
      <c r="AH99" s="41"/>
      <c r="AI99" s="42"/>
      <c r="AJ99" s="29">
        <v>4500</v>
      </c>
      <c r="AK99" s="41">
        <v>4500</v>
      </c>
      <c r="AL99" s="41">
        <v>4500</v>
      </c>
      <c r="AM99" s="42">
        <v>4700</v>
      </c>
      <c r="AN99" s="29"/>
      <c r="AO99" s="41"/>
      <c r="AP99" s="41"/>
      <c r="AQ99" s="42"/>
      <c r="AR99" s="29"/>
      <c r="AS99" s="41"/>
      <c r="AT99" s="41"/>
      <c r="AU99" s="42"/>
      <c r="AV99" s="29"/>
      <c r="AW99" s="41"/>
      <c r="AX99" s="41"/>
      <c r="AY99" s="42"/>
      <c r="AZ99" s="29"/>
      <c r="BA99" s="41"/>
      <c r="BB99" s="41"/>
      <c r="BC99" s="42"/>
      <c r="BD99" s="29"/>
      <c r="BE99" s="41"/>
      <c r="BF99" s="41"/>
      <c r="BG99" s="42"/>
    </row>
    <row r="100" spans="1:59" s="24" customFormat="1" hidden="1">
      <c r="A100" s="3" t="e" vm="97">
        <v>#VALUE!</v>
      </c>
      <c r="B100" s="17" t="e" vm="70">
        <v>#VALUE!</v>
      </c>
      <c r="C100" s="26"/>
      <c r="D100" s="37"/>
      <c r="E100" s="37"/>
      <c r="F100" s="38"/>
      <c r="G100" s="26"/>
      <c r="H100" s="37"/>
      <c r="I100" s="37"/>
      <c r="J100" s="38"/>
      <c r="K100" s="26"/>
      <c r="L100" s="37"/>
      <c r="M100" s="37"/>
      <c r="N100" s="38"/>
      <c r="O100" s="38"/>
      <c r="P100" s="26"/>
      <c r="Q100" s="37"/>
      <c r="R100" s="37"/>
      <c r="S100" s="38"/>
      <c r="T100" s="26"/>
      <c r="U100" s="37"/>
      <c r="V100" s="37"/>
      <c r="W100" s="38"/>
      <c r="X100" s="26"/>
      <c r="Y100" s="37"/>
      <c r="Z100" s="37"/>
      <c r="AA100" s="38"/>
      <c r="AB100" s="26"/>
      <c r="AC100" s="37"/>
      <c r="AD100" s="37"/>
      <c r="AE100" s="38"/>
      <c r="AF100" s="26"/>
      <c r="AG100" s="37"/>
      <c r="AH100" s="37"/>
      <c r="AI100" s="38"/>
      <c r="AJ100" s="26">
        <v>4500</v>
      </c>
      <c r="AK100" s="37">
        <v>4500</v>
      </c>
      <c r="AL100" s="37">
        <v>4500</v>
      </c>
      <c r="AM100" s="38">
        <v>4700</v>
      </c>
      <c r="AN100" s="26"/>
      <c r="AO100" s="37"/>
      <c r="AP100" s="37"/>
      <c r="AQ100" s="38"/>
      <c r="AR100" s="26"/>
      <c r="AS100" s="37"/>
      <c r="AT100" s="37"/>
      <c r="AU100" s="38"/>
      <c r="AV100" s="26"/>
      <c r="AW100" s="37"/>
      <c r="AX100" s="37"/>
      <c r="AY100" s="38"/>
      <c r="AZ100" s="26"/>
      <c r="BA100" s="37"/>
      <c r="BB100" s="37"/>
      <c r="BC100" s="38"/>
      <c r="BD100" s="26"/>
      <c r="BE100" s="37"/>
      <c r="BF100" s="37"/>
      <c r="BG100" s="38"/>
    </row>
    <row r="101" spans="1:59" s="24" customFormat="1" hidden="1">
      <c r="A101" s="3" t="e" vm="97">
        <v>#VALUE!</v>
      </c>
      <c r="B101" s="17" t="e" vm="99">
        <v>#VALUE!</v>
      </c>
      <c r="C101" s="26"/>
      <c r="D101" s="37"/>
      <c r="E101" s="37"/>
      <c r="F101" s="38"/>
      <c r="G101" s="26"/>
      <c r="H101" s="37"/>
      <c r="I101" s="37"/>
      <c r="J101" s="38"/>
      <c r="K101" s="26"/>
      <c r="L101" s="37"/>
      <c r="M101" s="37"/>
      <c r="N101" s="38"/>
      <c r="O101" s="38"/>
      <c r="P101" s="26"/>
      <c r="Q101" s="37"/>
      <c r="R101" s="37"/>
      <c r="S101" s="38"/>
      <c r="T101" s="26"/>
      <c r="U101" s="37"/>
      <c r="V101" s="37"/>
      <c r="W101" s="38"/>
      <c r="X101" s="26"/>
      <c r="Y101" s="37"/>
      <c r="Z101" s="37"/>
      <c r="AA101" s="38"/>
      <c r="AB101" s="26"/>
      <c r="AC101" s="37"/>
      <c r="AD101" s="37"/>
      <c r="AE101" s="38"/>
      <c r="AF101" s="26"/>
      <c r="AG101" s="37"/>
      <c r="AH101" s="37"/>
      <c r="AI101" s="38"/>
      <c r="AJ101" s="26">
        <v>4500</v>
      </c>
      <c r="AK101" s="37">
        <v>4500</v>
      </c>
      <c r="AL101" s="37">
        <v>4500</v>
      </c>
      <c r="AM101" s="38">
        <v>4700</v>
      </c>
      <c r="AN101" s="26"/>
      <c r="AO101" s="37"/>
      <c r="AP101" s="37"/>
      <c r="AQ101" s="38"/>
      <c r="AR101" s="26"/>
      <c r="AS101" s="37"/>
      <c r="AT101" s="37"/>
      <c r="AU101" s="38"/>
      <c r="AV101" s="26"/>
      <c r="AW101" s="37"/>
      <c r="AX101" s="37"/>
      <c r="AY101" s="38"/>
      <c r="AZ101" s="26"/>
      <c r="BA101" s="37"/>
      <c r="BB101" s="37"/>
      <c r="BC101" s="38"/>
      <c r="BD101" s="26"/>
      <c r="BE101" s="37"/>
      <c r="BF101" s="37"/>
      <c r="BG101" s="38"/>
    </row>
    <row r="102" spans="1:59" s="24" customFormat="1" hidden="1">
      <c r="A102" s="3" t="e" vm="97">
        <v>#VALUE!</v>
      </c>
      <c r="B102" s="17" t="e" vm="100">
        <v>#VALUE!</v>
      </c>
      <c r="C102" s="26"/>
      <c r="D102" s="37"/>
      <c r="E102" s="37"/>
      <c r="F102" s="38"/>
      <c r="G102" s="26"/>
      <c r="H102" s="37"/>
      <c r="I102" s="37"/>
      <c r="J102" s="38"/>
      <c r="K102" s="26"/>
      <c r="L102" s="37"/>
      <c r="M102" s="37"/>
      <c r="N102" s="38"/>
      <c r="O102" s="38"/>
      <c r="P102" s="26"/>
      <c r="Q102" s="37"/>
      <c r="R102" s="37"/>
      <c r="S102" s="38"/>
      <c r="T102" s="26"/>
      <c r="U102" s="37"/>
      <c r="V102" s="37"/>
      <c r="W102" s="38"/>
      <c r="X102" s="26"/>
      <c r="Y102" s="37"/>
      <c r="Z102" s="37"/>
      <c r="AA102" s="38"/>
      <c r="AB102" s="26"/>
      <c r="AC102" s="37"/>
      <c r="AD102" s="37"/>
      <c r="AE102" s="38"/>
      <c r="AF102" s="26"/>
      <c r="AG102" s="37"/>
      <c r="AH102" s="37"/>
      <c r="AI102" s="38"/>
      <c r="AJ102" s="26">
        <v>4500</v>
      </c>
      <c r="AK102" s="37">
        <v>4500</v>
      </c>
      <c r="AL102" s="37">
        <v>4500</v>
      </c>
      <c r="AM102" s="38">
        <v>4700</v>
      </c>
      <c r="AN102" s="26"/>
      <c r="AO102" s="37"/>
      <c r="AP102" s="37"/>
      <c r="AQ102" s="38"/>
      <c r="AR102" s="26"/>
      <c r="AS102" s="37"/>
      <c r="AT102" s="37"/>
      <c r="AU102" s="38"/>
      <c r="AV102" s="26"/>
      <c r="AW102" s="37"/>
      <c r="AX102" s="37"/>
      <c r="AY102" s="38"/>
      <c r="AZ102" s="26"/>
      <c r="BA102" s="37"/>
      <c r="BB102" s="37"/>
      <c r="BC102" s="38"/>
      <c r="BD102" s="26"/>
      <c r="BE102" s="37"/>
      <c r="BF102" s="37"/>
      <c r="BG102" s="38"/>
    </row>
    <row r="103" spans="1:59" s="24" customFormat="1" hidden="1">
      <c r="A103" s="3" t="e" vm="97">
        <v>#VALUE!</v>
      </c>
      <c r="B103" s="17" t="e" vm="101">
        <v>#VALUE!</v>
      </c>
      <c r="C103" s="26"/>
      <c r="D103" s="37"/>
      <c r="E103" s="37"/>
      <c r="F103" s="38"/>
      <c r="G103" s="26"/>
      <c r="H103" s="37"/>
      <c r="I103" s="37"/>
      <c r="J103" s="38"/>
      <c r="K103" s="26"/>
      <c r="L103" s="37"/>
      <c r="M103" s="37"/>
      <c r="N103" s="38"/>
      <c r="O103" s="38"/>
      <c r="P103" s="26"/>
      <c r="Q103" s="37"/>
      <c r="R103" s="37"/>
      <c r="S103" s="38"/>
      <c r="T103" s="26"/>
      <c r="U103" s="37"/>
      <c r="V103" s="37"/>
      <c r="W103" s="38"/>
      <c r="X103" s="26"/>
      <c r="Y103" s="37"/>
      <c r="Z103" s="37"/>
      <c r="AA103" s="38"/>
      <c r="AB103" s="26"/>
      <c r="AC103" s="37"/>
      <c r="AD103" s="37"/>
      <c r="AE103" s="38"/>
      <c r="AF103" s="26"/>
      <c r="AG103" s="37"/>
      <c r="AH103" s="37"/>
      <c r="AI103" s="38"/>
      <c r="AJ103" s="26">
        <v>4500</v>
      </c>
      <c r="AK103" s="37">
        <v>4500</v>
      </c>
      <c r="AL103" s="37">
        <v>4500</v>
      </c>
      <c r="AM103" s="38">
        <v>4700</v>
      </c>
      <c r="AN103" s="26"/>
      <c r="AO103" s="37"/>
      <c r="AP103" s="37"/>
      <c r="AQ103" s="38"/>
      <c r="AR103" s="26"/>
      <c r="AS103" s="37"/>
      <c r="AT103" s="37"/>
      <c r="AU103" s="38"/>
      <c r="AV103" s="26"/>
      <c r="AW103" s="37"/>
      <c r="AX103" s="37"/>
      <c r="AY103" s="38"/>
      <c r="AZ103" s="26"/>
      <c r="BA103" s="37"/>
      <c r="BB103" s="37"/>
      <c r="BC103" s="38"/>
      <c r="BD103" s="26"/>
      <c r="BE103" s="37"/>
      <c r="BF103" s="37"/>
      <c r="BG103" s="38"/>
    </row>
    <row r="104" spans="1:59" s="24" customFormat="1" hidden="1">
      <c r="A104" s="3" t="e" vm="97">
        <v>#VALUE!</v>
      </c>
      <c r="B104" s="20" t="e" vm="102">
        <v>#VALUE!</v>
      </c>
      <c r="C104" s="30"/>
      <c r="D104" s="43"/>
      <c r="E104" s="43"/>
      <c r="F104" s="44"/>
      <c r="G104" s="30"/>
      <c r="H104" s="43"/>
      <c r="I104" s="43"/>
      <c r="J104" s="44"/>
      <c r="K104" s="30"/>
      <c r="L104" s="43"/>
      <c r="M104" s="43"/>
      <c r="N104" s="44"/>
      <c r="O104" s="44"/>
      <c r="P104" s="30"/>
      <c r="Q104" s="43"/>
      <c r="R104" s="43"/>
      <c r="S104" s="44"/>
      <c r="T104" s="30"/>
      <c r="U104" s="43"/>
      <c r="V104" s="43"/>
      <c r="W104" s="44"/>
      <c r="X104" s="30"/>
      <c r="Y104" s="43"/>
      <c r="Z104" s="43"/>
      <c r="AA104" s="44"/>
      <c r="AB104" s="30"/>
      <c r="AC104" s="43"/>
      <c r="AD104" s="43"/>
      <c r="AE104" s="44"/>
      <c r="AF104" s="30"/>
      <c r="AG104" s="43"/>
      <c r="AH104" s="43"/>
      <c r="AI104" s="44"/>
      <c r="AJ104" s="30">
        <v>4500</v>
      </c>
      <c r="AK104" s="43">
        <v>4500</v>
      </c>
      <c r="AL104" s="43">
        <v>4500</v>
      </c>
      <c r="AM104" s="44">
        <v>4700</v>
      </c>
      <c r="AN104" s="30"/>
      <c r="AO104" s="43"/>
      <c r="AP104" s="43"/>
      <c r="AQ104" s="44"/>
      <c r="AR104" s="30"/>
      <c r="AS104" s="43"/>
      <c r="AT104" s="43"/>
      <c r="AU104" s="44"/>
      <c r="AV104" s="30"/>
      <c r="AW104" s="43"/>
      <c r="AX104" s="43"/>
      <c r="AY104" s="44"/>
      <c r="AZ104" s="30"/>
      <c r="BA104" s="43"/>
      <c r="BB104" s="43"/>
      <c r="BC104" s="44"/>
      <c r="BD104" s="30"/>
      <c r="BE104" s="43"/>
      <c r="BF104" s="43"/>
      <c r="BG104" s="44"/>
    </row>
    <row r="105" spans="1:59" s="24" customFormat="1" hidden="1">
      <c r="A105" s="3" t="e" vm="103">
        <v>#VALUE!</v>
      </c>
      <c r="B105" s="16" t="e" vm="104">
        <v>#VALUE!</v>
      </c>
      <c r="C105" s="32"/>
      <c r="D105" s="35"/>
      <c r="E105" s="35"/>
      <c r="F105" s="36"/>
      <c r="G105" s="32"/>
      <c r="H105" s="35"/>
      <c r="I105" s="35"/>
      <c r="J105" s="36"/>
      <c r="K105" s="32"/>
      <c r="L105" s="35"/>
      <c r="M105" s="35"/>
      <c r="N105" s="36"/>
      <c r="O105" s="36"/>
      <c r="P105" s="32"/>
      <c r="Q105" s="35"/>
      <c r="R105" s="35"/>
      <c r="S105" s="36"/>
      <c r="T105" s="32"/>
      <c r="U105" s="35"/>
      <c r="V105" s="35"/>
      <c r="W105" s="36"/>
      <c r="X105" s="32"/>
      <c r="Y105" s="35"/>
      <c r="Z105" s="35"/>
      <c r="AA105" s="36"/>
      <c r="AB105" s="32"/>
      <c r="AC105" s="35"/>
      <c r="AD105" s="35"/>
      <c r="AE105" s="36"/>
      <c r="AF105" s="32"/>
      <c r="AG105" s="35"/>
      <c r="AH105" s="35"/>
      <c r="AI105" s="36"/>
      <c r="AJ105" s="32">
        <v>4500</v>
      </c>
      <c r="AK105" s="35">
        <v>4500</v>
      </c>
      <c r="AL105" s="35">
        <v>4500</v>
      </c>
      <c r="AM105" s="36">
        <v>4700</v>
      </c>
      <c r="AN105" s="32"/>
      <c r="AO105" s="35"/>
      <c r="AP105" s="35"/>
      <c r="AQ105" s="36"/>
      <c r="AR105" s="32"/>
      <c r="AS105" s="35"/>
      <c r="AT105" s="35"/>
      <c r="AU105" s="36"/>
      <c r="AV105" s="32"/>
      <c r="AW105" s="35"/>
      <c r="AX105" s="35"/>
      <c r="AY105" s="36"/>
      <c r="AZ105" s="32"/>
      <c r="BA105" s="35"/>
      <c r="BB105" s="35"/>
      <c r="BC105" s="36"/>
      <c r="BD105" s="32"/>
      <c r="BE105" s="35"/>
      <c r="BF105" s="35"/>
      <c r="BG105" s="36"/>
    </row>
    <row r="106" spans="1:59" s="24" customFormat="1" hidden="1">
      <c r="A106" s="3" t="e" vm="103">
        <v>#VALUE!</v>
      </c>
      <c r="B106" s="17" t="e" vm="105">
        <v>#VALUE!</v>
      </c>
      <c r="C106" s="26"/>
      <c r="D106" s="37"/>
      <c r="E106" s="37"/>
      <c r="F106" s="38"/>
      <c r="G106" s="26"/>
      <c r="H106" s="37"/>
      <c r="I106" s="37"/>
      <c r="J106" s="38"/>
      <c r="K106" s="26"/>
      <c r="L106" s="37"/>
      <c r="M106" s="37"/>
      <c r="N106" s="38"/>
      <c r="O106" s="38"/>
      <c r="P106" s="26"/>
      <c r="Q106" s="37"/>
      <c r="R106" s="37"/>
      <c r="S106" s="38"/>
      <c r="T106" s="26"/>
      <c r="U106" s="37"/>
      <c r="V106" s="37"/>
      <c r="W106" s="38"/>
      <c r="X106" s="26"/>
      <c r="Y106" s="37"/>
      <c r="Z106" s="37"/>
      <c r="AA106" s="38"/>
      <c r="AB106" s="26"/>
      <c r="AC106" s="37"/>
      <c r="AD106" s="37"/>
      <c r="AE106" s="38"/>
      <c r="AF106" s="26"/>
      <c r="AG106" s="37"/>
      <c r="AH106" s="37"/>
      <c r="AI106" s="38"/>
      <c r="AJ106" s="26">
        <v>4500</v>
      </c>
      <c r="AK106" s="37">
        <v>4500</v>
      </c>
      <c r="AL106" s="37">
        <v>4500</v>
      </c>
      <c r="AM106" s="38">
        <v>4700</v>
      </c>
      <c r="AN106" s="26"/>
      <c r="AO106" s="37"/>
      <c r="AP106" s="37"/>
      <c r="AQ106" s="38"/>
      <c r="AR106" s="26"/>
      <c r="AS106" s="37"/>
      <c r="AT106" s="37"/>
      <c r="AU106" s="38"/>
      <c r="AV106" s="26"/>
      <c r="AW106" s="37"/>
      <c r="AX106" s="37"/>
      <c r="AY106" s="38"/>
      <c r="AZ106" s="26"/>
      <c r="BA106" s="37"/>
      <c r="BB106" s="37"/>
      <c r="BC106" s="38"/>
      <c r="BD106" s="26"/>
      <c r="BE106" s="37"/>
      <c r="BF106" s="37"/>
      <c r="BG106" s="38"/>
    </row>
    <row r="107" spans="1:59" s="24" customFormat="1" hidden="1">
      <c r="A107" s="3" t="e" vm="103">
        <v>#VALUE!</v>
      </c>
      <c r="B107" s="17" t="e" vm="106">
        <v>#VALUE!</v>
      </c>
      <c r="C107" s="26"/>
      <c r="D107" s="37"/>
      <c r="E107" s="37"/>
      <c r="F107" s="38"/>
      <c r="G107" s="26"/>
      <c r="H107" s="37"/>
      <c r="I107" s="37"/>
      <c r="J107" s="38"/>
      <c r="K107" s="26"/>
      <c r="L107" s="37"/>
      <c r="M107" s="37"/>
      <c r="N107" s="38"/>
      <c r="O107" s="38"/>
      <c r="P107" s="26"/>
      <c r="Q107" s="37"/>
      <c r="R107" s="37"/>
      <c r="S107" s="38"/>
      <c r="T107" s="26"/>
      <c r="U107" s="37"/>
      <c r="V107" s="37"/>
      <c r="W107" s="38"/>
      <c r="X107" s="26"/>
      <c r="Y107" s="37"/>
      <c r="Z107" s="37"/>
      <c r="AA107" s="38"/>
      <c r="AB107" s="26"/>
      <c r="AC107" s="37"/>
      <c r="AD107" s="37"/>
      <c r="AE107" s="38"/>
      <c r="AF107" s="26"/>
      <c r="AG107" s="37"/>
      <c r="AH107" s="37"/>
      <c r="AI107" s="38"/>
      <c r="AJ107" s="26">
        <v>4500</v>
      </c>
      <c r="AK107" s="37">
        <v>4500</v>
      </c>
      <c r="AL107" s="37">
        <v>4500</v>
      </c>
      <c r="AM107" s="38">
        <v>4700</v>
      </c>
      <c r="AN107" s="26"/>
      <c r="AO107" s="37"/>
      <c r="AP107" s="37"/>
      <c r="AQ107" s="38"/>
      <c r="AR107" s="26"/>
      <c r="AS107" s="37"/>
      <c r="AT107" s="37"/>
      <c r="AU107" s="38"/>
      <c r="AV107" s="26"/>
      <c r="AW107" s="37"/>
      <c r="AX107" s="37"/>
      <c r="AY107" s="38"/>
      <c r="AZ107" s="26"/>
      <c r="BA107" s="37"/>
      <c r="BB107" s="37"/>
      <c r="BC107" s="38"/>
      <c r="BD107" s="26"/>
      <c r="BE107" s="37"/>
      <c r="BF107" s="37"/>
      <c r="BG107" s="38"/>
    </row>
    <row r="108" spans="1:59" s="24" customFormat="1" hidden="1">
      <c r="A108" s="3" t="e" vm="103">
        <v>#VALUE!</v>
      </c>
      <c r="B108" s="17" t="e" vm="107">
        <v>#VALUE!</v>
      </c>
      <c r="C108" s="26"/>
      <c r="D108" s="37"/>
      <c r="E108" s="37"/>
      <c r="F108" s="38"/>
      <c r="G108" s="26"/>
      <c r="H108" s="37"/>
      <c r="I108" s="37"/>
      <c r="J108" s="38"/>
      <c r="K108" s="26"/>
      <c r="L108" s="37"/>
      <c r="M108" s="37"/>
      <c r="N108" s="38"/>
      <c r="O108" s="38"/>
      <c r="P108" s="26"/>
      <c r="Q108" s="37"/>
      <c r="R108" s="37"/>
      <c r="S108" s="38"/>
      <c r="T108" s="26"/>
      <c r="U108" s="37"/>
      <c r="V108" s="37"/>
      <c r="W108" s="38"/>
      <c r="X108" s="26"/>
      <c r="Y108" s="37"/>
      <c r="Z108" s="37"/>
      <c r="AA108" s="38"/>
      <c r="AB108" s="26"/>
      <c r="AC108" s="37"/>
      <c r="AD108" s="37"/>
      <c r="AE108" s="38"/>
      <c r="AF108" s="26"/>
      <c r="AG108" s="37"/>
      <c r="AH108" s="37"/>
      <c r="AI108" s="38"/>
      <c r="AJ108" s="26">
        <v>4500</v>
      </c>
      <c r="AK108" s="37">
        <v>4500</v>
      </c>
      <c r="AL108" s="37">
        <v>4500</v>
      </c>
      <c r="AM108" s="38">
        <v>4700</v>
      </c>
      <c r="AN108" s="26"/>
      <c r="AO108" s="37"/>
      <c r="AP108" s="37"/>
      <c r="AQ108" s="38"/>
      <c r="AR108" s="26"/>
      <c r="AS108" s="37"/>
      <c r="AT108" s="37"/>
      <c r="AU108" s="38"/>
      <c r="AV108" s="26"/>
      <c r="AW108" s="37"/>
      <c r="AX108" s="37"/>
      <c r="AY108" s="38"/>
      <c r="AZ108" s="26"/>
      <c r="BA108" s="37"/>
      <c r="BB108" s="37"/>
      <c r="BC108" s="38"/>
      <c r="BD108" s="26"/>
      <c r="BE108" s="37"/>
      <c r="BF108" s="37"/>
      <c r="BG108" s="38"/>
    </row>
    <row r="109" spans="1:59" s="24" customFormat="1" hidden="1">
      <c r="A109" s="3" t="e" vm="103">
        <v>#VALUE!</v>
      </c>
      <c r="B109" s="17" t="e" vm="108">
        <v>#VALUE!</v>
      </c>
      <c r="C109" s="26"/>
      <c r="D109" s="37"/>
      <c r="E109" s="37"/>
      <c r="F109" s="38"/>
      <c r="G109" s="26"/>
      <c r="H109" s="37"/>
      <c r="I109" s="37"/>
      <c r="J109" s="38"/>
      <c r="K109" s="26"/>
      <c r="L109" s="37"/>
      <c r="M109" s="37"/>
      <c r="N109" s="38"/>
      <c r="O109" s="38"/>
      <c r="P109" s="26"/>
      <c r="Q109" s="37"/>
      <c r="R109" s="37"/>
      <c r="S109" s="38"/>
      <c r="T109" s="26"/>
      <c r="U109" s="37"/>
      <c r="V109" s="37"/>
      <c r="W109" s="38"/>
      <c r="X109" s="26"/>
      <c r="Y109" s="37"/>
      <c r="Z109" s="37"/>
      <c r="AA109" s="38"/>
      <c r="AB109" s="26"/>
      <c r="AC109" s="37"/>
      <c r="AD109" s="37"/>
      <c r="AE109" s="38"/>
      <c r="AF109" s="26"/>
      <c r="AG109" s="37"/>
      <c r="AH109" s="37"/>
      <c r="AI109" s="38"/>
      <c r="AJ109" s="26">
        <v>4500</v>
      </c>
      <c r="AK109" s="37">
        <v>4500</v>
      </c>
      <c r="AL109" s="37">
        <v>4500</v>
      </c>
      <c r="AM109" s="38">
        <v>4700</v>
      </c>
      <c r="AN109" s="26"/>
      <c r="AO109" s="37"/>
      <c r="AP109" s="37"/>
      <c r="AQ109" s="38"/>
      <c r="AR109" s="26"/>
      <c r="AS109" s="37"/>
      <c r="AT109" s="37"/>
      <c r="AU109" s="38"/>
      <c r="AV109" s="26"/>
      <c r="AW109" s="37"/>
      <c r="AX109" s="37"/>
      <c r="AY109" s="38"/>
      <c r="AZ109" s="26"/>
      <c r="BA109" s="37"/>
      <c r="BB109" s="37"/>
      <c r="BC109" s="38"/>
      <c r="BD109" s="26"/>
      <c r="BE109" s="37"/>
      <c r="BF109" s="37"/>
      <c r="BG109" s="38"/>
    </row>
    <row r="110" spans="1:59" s="24" customFormat="1" hidden="1">
      <c r="A110" s="3" t="e" vm="103">
        <v>#VALUE!</v>
      </c>
      <c r="B110" s="17" t="e" vm="109">
        <v>#VALUE!</v>
      </c>
      <c r="C110" s="26"/>
      <c r="D110" s="37"/>
      <c r="E110" s="37"/>
      <c r="F110" s="38"/>
      <c r="G110" s="26"/>
      <c r="H110" s="37"/>
      <c r="I110" s="37"/>
      <c r="J110" s="38"/>
      <c r="K110" s="26"/>
      <c r="L110" s="37"/>
      <c r="M110" s="37"/>
      <c r="N110" s="38"/>
      <c r="O110" s="38"/>
      <c r="P110" s="26"/>
      <c r="Q110" s="37"/>
      <c r="R110" s="37"/>
      <c r="S110" s="38"/>
      <c r="T110" s="26"/>
      <c r="U110" s="37"/>
      <c r="V110" s="37"/>
      <c r="W110" s="38"/>
      <c r="X110" s="26"/>
      <c r="Y110" s="37"/>
      <c r="Z110" s="37"/>
      <c r="AA110" s="38"/>
      <c r="AB110" s="26"/>
      <c r="AC110" s="37"/>
      <c r="AD110" s="37"/>
      <c r="AE110" s="38"/>
      <c r="AF110" s="26"/>
      <c r="AG110" s="37"/>
      <c r="AH110" s="37"/>
      <c r="AI110" s="38"/>
      <c r="AJ110" s="26">
        <v>4500</v>
      </c>
      <c r="AK110" s="37">
        <v>4500</v>
      </c>
      <c r="AL110" s="37">
        <v>4500</v>
      </c>
      <c r="AM110" s="38">
        <v>4700</v>
      </c>
      <c r="AN110" s="26"/>
      <c r="AO110" s="37"/>
      <c r="AP110" s="37"/>
      <c r="AQ110" s="38"/>
      <c r="AR110" s="26"/>
      <c r="AS110" s="37"/>
      <c r="AT110" s="37"/>
      <c r="AU110" s="38"/>
      <c r="AV110" s="26"/>
      <c r="AW110" s="37"/>
      <c r="AX110" s="37"/>
      <c r="AY110" s="38"/>
      <c r="AZ110" s="26"/>
      <c r="BA110" s="37"/>
      <c r="BB110" s="37"/>
      <c r="BC110" s="38"/>
      <c r="BD110" s="26"/>
      <c r="BE110" s="37"/>
      <c r="BF110" s="37"/>
      <c r="BG110" s="38"/>
    </row>
    <row r="111" spans="1:59" s="24" customFormat="1" hidden="1">
      <c r="A111" s="3" t="e" vm="103">
        <v>#VALUE!</v>
      </c>
      <c r="B111" s="17" t="e" vm="110">
        <v>#VALUE!</v>
      </c>
      <c r="C111" s="26"/>
      <c r="D111" s="37"/>
      <c r="E111" s="37"/>
      <c r="F111" s="38"/>
      <c r="G111" s="26"/>
      <c r="H111" s="37"/>
      <c r="I111" s="37"/>
      <c r="J111" s="38"/>
      <c r="K111" s="26"/>
      <c r="L111" s="37"/>
      <c r="M111" s="37"/>
      <c r="N111" s="38"/>
      <c r="O111" s="38"/>
      <c r="P111" s="26"/>
      <c r="Q111" s="37"/>
      <c r="R111" s="37"/>
      <c r="S111" s="38"/>
      <c r="T111" s="26"/>
      <c r="U111" s="37"/>
      <c r="V111" s="37"/>
      <c r="W111" s="38"/>
      <c r="X111" s="26"/>
      <c r="Y111" s="37"/>
      <c r="Z111" s="37"/>
      <c r="AA111" s="38"/>
      <c r="AB111" s="26"/>
      <c r="AC111" s="37"/>
      <c r="AD111" s="37"/>
      <c r="AE111" s="38"/>
      <c r="AF111" s="26"/>
      <c r="AG111" s="37"/>
      <c r="AH111" s="37"/>
      <c r="AI111" s="38"/>
      <c r="AJ111" s="26">
        <v>4500</v>
      </c>
      <c r="AK111" s="37">
        <v>4500</v>
      </c>
      <c r="AL111" s="37">
        <v>4500</v>
      </c>
      <c r="AM111" s="38">
        <v>4700</v>
      </c>
      <c r="AN111" s="26"/>
      <c r="AO111" s="37"/>
      <c r="AP111" s="37"/>
      <c r="AQ111" s="38"/>
      <c r="AR111" s="26"/>
      <c r="AS111" s="37"/>
      <c r="AT111" s="37"/>
      <c r="AU111" s="38"/>
      <c r="AV111" s="26"/>
      <c r="AW111" s="37"/>
      <c r="AX111" s="37"/>
      <c r="AY111" s="38"/>
      <c r="AZ111" s="26"/>
      <c r="BA111" s="37"/>
      <c r="BB111" s="37"/>
      <c r="BC111" s="38"/>
      <c r="BD111" s="26"/>
      <c r="BE111" s="37"/>
      <c r="BF111" s="37"/>
      <c r="BG111" s="38"/>
    </row>
    <row r="112" spans="1:59" s="24" customFormat="1" hidden="1">
      <c r="A112" s="3" t="e" vm="103">
        <v>#VALUE!</v>
      </c>
      <c r="B112" s="17" t="e" vm="111">
        <v>#VALUE!</v>
      </c>
      <c r="C112" s="26"/>
      <c r="D112" s="37"/>
      <c r="E112" s="37"/>
      <c r="F112" s="38"/>
      <c r="G112" s="26"/>
      <c r="H112" s="37"/>
      <c r="I112" s="37"/>
      <c r="J112" s="38"/>
      <c r="K112" s="26"/>
      <c r="L112" s="37"/>
      <c r="M112" s="37"/>
      <c r="N112" s="38"/>
      <c r="O112" s="38"/>
      <c r="P112" s="26"/>
      <c r="Q112" s="37"/>
      <c r="R112" s="37"/>
      <c r="S112" s="38"/>
      <c r="T112" s="26"/>
      <c r="U112" s="37"/>
      <c r="V112" s="37"/>
      <c r="W112" s="38"/>
      <c r="X112" s="26"/>
      <c r="Y112" s="37"/>
      <c r="Z112" s="37"/>
      <c r="AA112" s="38"/>
      <c r="AB112" s="26"/>
      <c r="AC112" s="37"/>
      <c r="AD112" s="37"/>
      <c r="AE112" s="38"/>
      <c r="AF112" s="26"/>
      <c r="AG112" s="37"/>
      <c r="AH112" s="37"/>
      <c r="AI112" s="38"/>
      <c r="AJ112" s="26">
        <v>4500</v>
      </c>
      <c r="AK112" s="37">
        <v>4500</v>
      </c>
      <c r="AL112" s="37">
        <v>4500</v>
      </c>
      <c r="AM112" s="38">
        <v>4700</v>
      </c>
      <c r="AN112" s="26"/>
      <c r="AO112" s="37"/>
      <c r="AP112" s="37"/>
      <c r="AQ112" s="38"/>
      <c r="AR112" s="26"/>
      <c r="AS112" s="37"/>
      <c r="AT112" s="37"/>
      <c r="AU112" s="38"/>
      <c r="AV112" s="26"/>
      <c r="AW112" s="37"/>
      <c r="AX112" s="37"/>
      <c r="AY112" s="38"/>
      <c r="AZ112" s="26"/>
      <c r="BA112" s="37"/>
      <c r="BB112" s="37"/>
      <c r="BC112" s="38"/>
      <c r="BD112" s="26"/>
      <c r="BE112" s="37"/>
      <c r="BF112" s="37"/>
      <c r="BG112" s="38"/>
    </row>
    <row r="113" spans="1:59" s="24" customFormat="1" hidden="1">
      <c r="A113" s="3" t="e" vm="103">
        <v>#VALUE!</v>
      </c>
      <c r="B113" s="17" t="e" vm="112">
        <v>#VALUE!</v>
      </c>
      <c r="C113" s="26"/>
      <c r="D113" s="37"/>
      <c r="E113" s="37"/>
      <c r="F113" s="38"/>
      <c r="G113" s="26"/>
      <c r="H113" s="37"/>
      <c r="I113" s="37"/>
      <c r="J113" s="38"/>
      <c r="K113" s="26"/>
      <c r="L113" s="37"/>
      <c r="M113" s="37"/>
      <c r="N113" s="38"/>
      <c r="O113" s="38"/>
      <c r="P113" s="26"/>
      <c r="Q113" s="37"/>
      <c r="R113" s="37"/>
      <c r="S113" s="38"/>
      <c r="T113" s="26"/>
      <c r="U113" s="37"/>
      <c r="V113" s="37"/>
      <c r="W113" s="38"/>
      <c r="X113" s="26"/>
      <c r="Y113" s="37"/>
      <c r="Z113" s="37"/>
      <c r="AA113" s="38"/>
      <c r="AB113" s="26"/>
      <c r="AC113" s="37"/>
      <c r="AD113" s="37"/>
      <c r="AE113" s="38"/>
      <c r="AF113" s="26"/>
      <c r="AG113" s="37"/>
      <c r="AH113" s="37"/>
      <c r="AI113" s="38"/>
      <c r="AJ113" s="26">
        <v>4500</v>
      </c>
      <c r="AK113" s="37">
        <v>4500</v>
      </c>
      <c r="AL113" s="37">
        <v>4500</v>
      </c>
      <c r="AM113" s="38">
        <v>4700</v>
      </c>
      <c r="AN113" s="26"/>
      <c r="AO113" s="37"/>
      <c r="AP113" s="37"/>
      <c r="AQ113" s="38"/>
      <c r="AR113" s="26"/>
      <c r="AS113" s="37"/>
      <c r="AT113" s="37"/>
      <c r="AU113" s="38"/>
      <c r="AV113" s="26"/>
      <c r="AW113" s="37"/>
      <c r="AX113" s="37"/>
      <c r="AY113" s="38"/>
      <c r="AZ113" s="26"/>
      <c r="BA113" s="37"/>
      <c r="BB113" s="37"/>
      <c r="BC113" s="38"/>
      <c r="BD113" s="26"/>
      <c r="BE113" s="37"/>
      <c r="BF113" s="37"/>
      <c r="BG113" s="38"/>
    </row>
    <row r="114" spans="1:59" s="24" customFormat="1" ht="15.75" hidden="1" thickBot="1">
      <c r="A114" s="3" t="e" vm="103">
        <v>#VALUE!</v>
      </c>
      <c r="B114" s="18" t="e" vm="113">
        <v>#VALUE!</v>
      </c>
      <c r="C114" s="33"/>
      <c r="D114" s="39"/>
      <c r="E114" s="39"/>
      <c r="F114" s="40"/>
      <c r="G114" s="33"/>
      <c r="H114" s="39"/>
      <c r="I114" s="39"/>
      <c r="J114" s="40"/>
      <c r="K114" s="33"/>
      <c r="L114" s="39"/>
      <c r="M114" s="39"/>
      <c r="N114" s="40"/>
      <c r="O114" s="40"/>
      <c r="P114" s="33"/>
      <c r="Q114" s="39"/>
      <c r="R114" s="39"/>
      <c r="S114" s="40"/>
      <c r="T114" s="33"/>
      <c r="U114" s="39"/>
      <c r="V114" s="39"/>
      <c r="W114" s="40"/>
      <c r="X114" s="33"/>
      <c r="Y114" s="39"/>
      <c r="Z114" s="39"/>
      <c r="AA114" s="40"/>
      <c r="AB114" s="33"/>
      <c r="AC114" s="39"/>
      <c r="AD114" s="39"/>
      <c r="AE114" s="40"/>
      <c r="AF114" s="33"/>
      <c r="AG114" s="39"/>
      <c r="AH114" s="39"/>
      <c r="AI114" s="40"/>
      <c r="AJ114" s="33">
        <v>4500</v>
      </c>
      <c r="AK114" s="39">
        <v>4500</v>
      </c>
      <c r="AL114" s="39">
        <v>4500</v>
      </c>
      <c r="AM114" s="40">
        <v>4700</v>
      </c>
      <c r="AN114" s="33"/>
      <c r="AO114" s="39"/>
      <c r="AP114" s="39"/>
      <c r="AQ114" s="40"/>
      <c r="AR114" s="33"/>
      <c r="AS114" s="39"/>
      <c r="AT114" s="39"/>
      <c r="AU114" s="40"/>
      <c r="AV114" s="33"/>
      <c r="AW114" s="39"/>
      <c r="AX114" s="39"/>
      <c r="AY114" s="40"/>
      <c r="AZ114" s="33"/>
      <c r="BA114" s="39"/>
      <c r="BB114" s="39"/>
      <c r="BC114" s="40"/>
      <c r="BD114" s="33"/>
      <c r="BE114" s="39"/>
      <c r="BF114" s="39"/>
      <c r="BG114" s="40"/>
    </row>
    <row r="115" spans="1:59" s="24" customFormat="1" hidden="1">
      <c r="A115" s="3" t="e" vm="114">
        <v>#VALUE!</v>
      </c>
      <c r="B115" s="19" t="e" vm="115">
        <v>#VALUE!</v>
      </c>
      <c r="C115" s="29"/>
      <c r="D115" s="41"/>
      <c r="E115" s="41"/>
      <c r="F115" s="42"/>
      <c r="G115" s="29"/>
      <c r="H115" s="41"/>
      <c r="I115" s="41"/>
      <c r="J115" s="42"/>
      <c r="K115" s="29"/>
      <c r="L115" s="41"/>
      <c r="M115" s="41"/>
      <c r="N115" s="42"/>
      <c r="O115" s="42"/>
      <c r="P115" s="29"/>
      <c r="Q115" s="41"/>
      <c r="R115" s="41"/>
      <c r="S115" s="42"/>
      <c r="T115" s="29"/>
      <c r="U115" s="41"/>
      <c r="V115" s="41"/>
      <c r="W115" s="42"/>
      <c r="X115" s="29"/>
      <c r="Y115" s="41"/>
      <c r="Z115" s="41"/>
      <c r="AA115" s="42"/>
      <c r="AB115" s="29"/>
      <c r="AC115" s="41"/>
      <c r="AD115" s="41"/>
      <c r="AE115" s="42"/>
      <c r="AF115" s="29"/>
      <c r="AG115" s="41"/>
      <c r="AH115" s="41"/>
      <c r="AI115" s="42"/>
      <c r="AJ115" s="29"/>
      <c r="AK115" s="41"/>
      <c r="AL115" s="41"/>
      <c r="AM115" s="42"/>
      <c r="AN115" s="29"/>
      <c r="AO115" s="41"/>
      <c r="AP115" s="41"/>
      <c r="AQ115" s="42"/>
      <c r="AR115" s="29"/>
      <c r="AS115" s="41"/>
      <c r="AT115" s="41"/>
      <c r="AU115" s="42"/>
      <c r="AV115" s="29">
        <v>5200</v>
      </c>
      <c r="AW115" s="41">
        <v>5200</v>
      </c>
      <c r="AX115" s="41">
        <v>5200</v>
      </c>
      <c r="AY115" s="42">
        <v>8500</v>
      </c>
      <c r="AZ115" s="29"/>
      <c r="BA115" s="41"/>
      <c r="BB115" s="41"/>
      <c r="BC115" s="42"/>
      <c r="BD115" s="29"/>
      <c r="BE115" s="41"/>
      <c r="BF115" s="41"/>
      <c r="BG115" s="42"/>
    </row>
    <row r="116" spans="1:59" s="24" customFormat="1" hidden="1">
      <c r="A116" s="3" t="e" vm="114">
        <v>#VALUE!</v>
      </c>
      <c r="B116" s="17" t="e" vm="116">
        <v>#VALUE!</v>
      </c>
      <c r="C116" s="26"/>
      <c r="D116" s="37"/>
      <c r="E116" s="37"/>
      <c r="F116" s="38"/>
      <c r="G116" s="26"/>
      <c r="H116" s="37"/>
      <c r="I116" s="37"/>
      <c r="J116" s="38"/>
      <c r="K116" s="26"/>
      <c r="L116" s="37"/>
      <c r="M116" s="37"/>
      <c r="N116" s="38"/>
      <c r="O116" s="38"/>
      <c r="P116" s="26"/>
      <c r="Q116" s="37"/>
      <c r="R116" s="37"/>
      <c r="S116" s="38"/>
      <c r="T116" s="26"/>
      <c r="U116" s="37"/>
      <c r="V116" s="37"/>
      <c r="W116" s="38"/>
      <c r="X116" s="26"/>
      <c r="Y116" s="37"/>
      <c r="Z116" s="37"/>
      <c r="AA116" s="38"/>
      <c r="AB116" s="26"/>
      <c r="AC116" s="37"/>
      <c r="AD116" s="37"/>
      <c r="AE116" s="38"/>
      <c r="AF116" s="26"/>
      <c r="AG116" s="37"/>
      <c r="AH116" s="37"/>
      <c r="AI116" s="38"/>
      <c r="AJ116" s="26"/>
      <c r="AK116" s="37"/>
      <c r="AL116" s="37"/>
      <c r="AM116" s="38"/>
      <c r="AN116" s="26"/>
      <c r="AO116" s="37"/>
      <c r="AP116" s="37"/>
      <c r="AQ116" s="38"/>
      <c r="AR116" s="26"/>
      <c r="AS116" s="37"/>
      <c r="AT116" s="37"/>
      <c r="AU116" s="38"/>
      <c r="AV116" s="26">
        <v>5200</v>
      </c>
      <c r="AW116" s="37">
        <v>5200</v>
      </c>
      <c r="AX116" s="37">
        <v>5200</v>
      </c>
      <c r="AY116" s="38">
        <v>8500</v>
      </c>
      <c r="AZ116" s="26"/>
      <c r="BA116" s="37"/>
      <c r="BB116" s="37"/>
      <c r="BC116" s="38"/>
      <c r="BD116" s="26"/>
      <c r="BE116" s="37"/>
      <c r="BF116" s="37"/>
      <c r="BG116" s="38"/>
    </row>
    <row r="117" spans="1:59" s="24" customFormat="1" hidden="1">
      <c r="A117" s="3" t="e" vm="114">
        <v>#VALUE!</v>
      </c>
      <c r="B117" s="17" t="e" vm="117">
        <v>#VALUE!</v>
      </c>
      <c r="C117" s="26"/>
      <c r="D117" s="37"/>
      <c r="E117" s="37"/>
      <c r="F117" s="38"/>
      <c r="G117" s="26"/>
      <c r="H117" s="37"/>
      <c r="I117" s="37"/>
      <c r="J117" s="38"/>
      <c r="K117" s="26"/>
      <c r="L117" s="37"/>
      <c r="M117" s="37"/>
      <c r="N117" s="38"/>
      <c r="O117" s="38"/>
      <c r="P117" s="26"/>
      <c r="Q117" s="37"/>
      <c r="R117" s="37"/>
      <c r="S117" s="38"/>
      <c r="T117" s="26"/>
      <c r="U117" s="37"/>
      <c r="V117" s="37"/>
      <c r="W117" s="38"/>
      <c r="X117" s="26"/>
      <c r="Y117" s="37"/>
      <c r="Z117" s="37"/>
      <c r="AA117" s="38"/>
      <c r="AB117" s="26"/>
      <c r="AC117" s="37"/>
      <c r="AD117" s="37"/>
      <c r="AE117" s="38"/>
      <c r="AF117" s="26"/>
      <c r="AG117" s="37"/>
      <c r="AH117" s="37"/>
      <c r="AI117" s="38"/>
      <c r="AJ117" s="26"/>
      <c r="AK117" s="37"/>
      <c r="AL117" s="37"/>
      <c r="AM117" s="38"/>
      <c r="AN117" s="26"/>
      <c r="AO117" s="37"/>
      <c r="AP117" s="37"/>
      <c r="AQ117" s="38"/>
      <c r="AR117" s="26"/>
      <c r="AS117" s="37"/>
      <c r="AT117" s="37"/>
      <c r="AU117" s="38"/>
      <c r="AV117" s="26">
        <v>5200</v>
      </c>
      <c r="AW117" s="37">
        <v>5200</v>
      </c>
      <c r="AX117" s="37">
        <v>5200</v>
      </c>
      <c r="AY117" s="38">
        <v>8500</v>
      </c>
      <c r="AZ117" s="26"/>
      <c r="BA117" s="37"/>
      <c r="BB117" s="37"/>
      <c r="BC117" s="38"/>
      <c r="BD117" s="26"/>
      <c r="BE117" s="37"/>
      <c r="BF117" s="37"/>
      <c r="BG117" s="38"/>
    </row>
    <row r="118" spans="1:59" s="24" customFormat="1" hidden="1">
      <c r="A118" s="3" t="e" vm="114">
        <v>#VALUE!</v>
      </c>
      <c r="B118" s="17" t="e" vm="118">
        <v>#VALUE!</v>
      </c>
      <c r="C118" s="26"/>
      <c r="D118" s="37"/>
      <c r="E118" s="37"/>
      <c r="F118" s="38"/>
      <c r="G118" s="26"/>
      <c r="H118" s="37"/>
      <c r="I118" s="37"/>
      <c r="J118" s="38"/>
      <c r="K118" s="26"/>
      <c r="L118" s="37"/>
      <c r="M118" s="37"/>
      <c r="N118" s="38"/>
      <c r="O118" s="38"/>
      <c r="P118" s="26"/>
      <c r="Q118" s="37"/>
      <c r="R118" s="37"/>
      <c r="S118" s="38"/>
      <c r="T118" s="26"/>
      <c r="U118" s="37"/>
      <c r="V118" s="37"/>
      <c r="W118" s="38"/>
      <c r="X118" s="26"/>
      <c r="Y118" s="37"/>
      <c r="Z118" s="37"/>
      <c r="AA118" s="38"/>
      <c r="AB118" s="26"/>
      <c r="AC118" s="37"/>
      <c r="AD118" s="37"/>
      <c r="AE118" s="38"/>
      <c r="AF118" s="26"/>
      <c r="AG118" s="37"/>
      <c r="AH118" s="37"/>
      <c r="AI118" s="38"/>
      <c r="AJ118" s="26"/>
      <c r="AK118" s="37"/>
      <c r="AL118" s="37"/>
      <c r="AM118" s="38"/>
      <c r="AN118" s="26"/>
      <c r="AO118" s="37"/>
      <c r="AP118" s="37"/>
      <c r="AQ118" s="38"/>
      <c r="AR118" s="26"/>
      <c r="AS118" s="37"/>
      <c r="AT118" s="37"/>
      <c r="AU118" s="38"/>
      <c r="AV118" s="26">
        <v>5200</v>
      </c>
      <c r="AW118" s="37">
        <v>5200</v>
      </c>
      <c r="AX118" s="37">
        <v>5200</v>
      </c>
      <c r="AY118" s="38">
        <v>8500</v>
      </c>
      <c r="AZ118" s="26"/>
      <c r="BA118" s="37"/>
      <c r="BB118" s="37"/>
      <c r="BC118" s="38"/>
      <c r="BD118" s="26"/>
      <c r="BE118" s="37"/>
      <c r="BF118" s="37"/>
      <c r="BG118" s="38"/>
    </row>
    <row r="119" spans="1:59" s="24" customFormat="1" hidden="1">
      <c r="A119" s="3" t="e" vm="114">
        <v>#VALUE!</v>
      </c>
      <c r="B119" s="20" t="e" vm="119">
        <v>#VALUE!</v>
      </c>
      <c r="C119" s="30"/>
      <c r="D119" s="43"/>
      <c r="E119" s="43"/>
      <c r="F119" s="44"/>
      <c r="G119" s="30"/>
      <c r="H119" s="43"/>
      <c r="I119" s="43"/>
      <c r="J119" s="44"/>
      <c r="K119" s="30"/>
      <c r="L119" s="43"/>
      <c r="M119" s="43"/>
      <c r="N119" s="44"/>
      <c r="O119" s="44"/>
      <c r="P119" s="30"/>
      <c r="Q119" s="43"/>
      <c r="R119" s="43"/>
      <c r="S119" s="44"/>
      <c r="T119" s="30"/>
      <c r="U119" s="43"/>
      <c r="V119" s="43"/>
      <c r="W119" s="44"/>
      <c r="X119" s="30"/>
      <c r="Y119" s="43"/>
      <c r="Z119" s="43"/>
      <c r="AA119" s="44"/>
      <c r="AB119" s="30"/>
      <c r="AC119" s="43"/>
      <c r="AD119" s="43"/>
      <c r="AE119" s="44"/>
      <c r="AF119" s="30"/>
      <c r="AG119" s="43"/>
      <c r="AH119" s="43"/>
      <c r="AI119" s="44"/>
      <c r="AJ119" s="30"/>
      <c r="AK119" s="43"/>
      <c r="AL119" s="43"/>
      <c r="AM119" s="44"/>
      <c r="AN119" s="30"/>
      <c r="AO119" s="43"/>
      <c r="AP119" s="43"/>
      <c r="AQ119" s="44"/>
      <c r="AR119" s="30"/>
      <c r="AS119" s="43"/>
      <c r="AT119" s="43"/>
      <c r="AU119" s="44"/>
      <c r="AV119" s="30">
        <v>5200</v>
      </c>
      <c r="AW119" s="43">
        <v>5200</v>
      </c>
      <c r="AX119" s="43">
        <v>5200</v>
      </c>
      <c r="AY119" s="44">
        <v>8500</v>
      </c>
      <c r="AZ119" s="30"/>
      <c r="BA119" s="43"/>
      <c r="BB119" s="43"/>
      <c r="BC119" s="44"/>
      <c r="BD119" s="30"/>
      <c r="BE119" s="43"/>
      <c r="BF119" s="43"/>
      <c r="BG119" s="44"/>
    </row>
    <row r="120" spans="1:59" s="24" customFormat="1" hidden="1">
      <c r="A120" s="3" t="e" vm="120">
        <v>#VALUE!</v>
      </c>
      <c r="B120" s="16" t="e" vm="121">
        <v>#VALUE!</v>
      </c>
      <c r="C120" s="32"/>
      <c r="D120" s="35"/>
      <c r="E120" s="35"/>
      <c r="F120" s="36"/>
      <c r="G120" s="32"/>
      <c r="H120" s="35"/>
      <c r="I120" s="35"/>
      <c r="J120" s="36"/>
      <c r="K120" s="32">
        <v>7500</v>
      </c>
      <c r="L120" s="35">
        <v>7500</v>
      </c>
      <c r="M120" s="35">
        <v>7500</v>
      </c>
      <c r="N120" s="36">
        <v>7500</v>
      </c>
      <c r="O120" s="36">
        <v>120000</v>
      </c>
      <c r="P120" s="32"/>
      <c r="Q120" s="35"/>
      <c r="R120" s="35"/>
      <c r="S120" s="36"/>
      <c r="T120" s="32"/>
      <c r="U120" s="35"/>
      <c r="V120" s="35"/>
      <c r="W120" s="36"/>
      <c r="X120" s="32"/>
      <c r="Y120" s="35"/>
      <c r="Z120" s="35"/>
      <c r="AA120" s="36"/>
      <c r="AB120" s="32"/>
      <c r="AC120" s="35"/>
      <c r="AD120" s="35"/>
      <c r="AE120" s="36"/>
      <c r="AF120" s="32"/>
      <c r="AG120" s="35"/>
      <c r="AH120" s="35"/>
      <c r="AI120" s="36"/>
      <c r="AJ120" s="32">
        <v>4500</v>
      </c>
      <c r="AK120" s="35">
        <v>4500</v>
      </c>
      <c r="AL120" s="35">
        <v>4500</v>
      </c>
      <c r="AM120" s="36">
        <v>4700</v>
      </c>
      <c r="AN120" s="32"/>
      <c r="AO120" s="35"/>
      <c r="AP120" s="35"/>
      <c r="AQ120" s="36"/>
      <c r="AR120" s="32"/>
      <c r="AS120" s="35"/>
      <c r="AT120" s="35"/>
      <c r="AU120" s="36"/>
      <c r="AV120" s="32"/>
      <c r="AW120" s="35"/>
      <c r="AX120" s="35"/>
      <c r="AY120" s="36"/>
      <c r="AZ120" s="32"/>
      <c r="BA120" s="35"/>
      <c r="BB120" s="35"/>
      <c r="BC120" s="36"/>
      <c r="BD120" s="32"/>
      <c r="BE120" s="35"/>
      <c r="BF120" s="35"/>
      <c r="BG120" s="36"/>
    </row>
    <row r="121" spans="1:59" s="24" customFormat="1" hidden="1">
      <c r="A121" s="3" t="e" vm="120">
        <v>#VALUE!</v>
      </c>
      <c r="B121" s="17" t="e" vm="122">
        <v>#VALUE!</v>
      </c>
      <c r="C121" s="26"/>
      <c r="D121" s="37"/>
      <c r="E121" s="37"/>
      <c r="F121" s="38"/>
      <c r="G121" s="26"/>
      <c r="H121" s="37"/>
      <c r="I121" s="37"/>
      <c r="J121" s="38"/>
      <c r="K121" s="26">
        <v>7500</v>
      </c>
      <c r="L121" s="37">
        <v>7500</v>
      </c>
      <c r="M121" s="37">
        <v>7500</v>
      </c>
      <c r="N121" s="38">
        <v>7500</v>
      </c>
      <c r="O121" s="38">
        <v>120000</v>
      </c>
      <c r="P121" s="26"/>
      <c r="Q121" s="37"/>
      <c r="R121" s="37"/>
      <c r="S121" s="38"/>
      <c r="T121" s="26"/>
      <c r="U121" s="37"/>
      <c r="V121" s="37"/>
      <c r="W121" s="38"/>
      <c r="X121" s="26"/>
      <c r="Y121" s="37"/>
      <c r="Z121" s="37"/>
      <c r="AA121" s="38"/>
      <c r="AB121" s="26"/>
      <c r="AC121" s="37"/>
      <c r="AD121" s="37"/>
      <c r="AE121" s="38"/>
      <c r="AF121" s="26"/>
      <c r="AG121" s="37"/>
      <c r="AH121" s="37"/>
      <c r="AI121" s="38"/>
      <c r="AJ121" s="26">
        <v>4500</v>
      </c>
      <c r="AK121" s="37">
        <v>4500</v>
      </c>
      <c r="AL121" s="37">
        <v>4500</v>
      </c>
      <c r="AM121" s="38">
        <v>4700</v>
      </c>
      <c r="AN121" s="26"/>
      <c r="AO121" s="37"/>
      <c r="AP121" s="37"/>
      <c r="AQ121" s="38"/>
      <c r="AR121" s="26"/>
      <c r="AS121" s="37"/>
      <c r="AT121" s="37"/>
      <c r="AU121" s="38"/>
      <c r="AV121" s="26"/>
      <c r="AW121" s="37"/>
      <c r="AX121" s="37"/>
      <c r="AY121" s="38"/>
      <c r="AZ121" s="26"/>
      <c r="BA121" s="37"/>
      <c r="BB121" s="37"/>
      <c r="BC121" s="38"/>
      <c r="BD121" s="26"/>
      <c r="BE121" s="37"/>
      <c r="BF121" s="37"/>
      <c r="BG121" s="38"/>
    </row>
    <row r="122" spans="1:59" s="24" customFormat="1" hidden="1">
      <c r="A122" s="3" t="e" vm="120">
        <v>#VALUE!</v>
      </c>
      <c r="B122" s="17" t="e" vm="122">
        <v>#VALUE!</v>
      </c>
      <c r="C122" s="26"/>
      <c r="D122" s="37"/>
      <c r="E122" s="37"/>
      <c r="F122" s="38"/>
      <c r="G122" s="26"/>
      <c r="H122" s="37"/>
      <c r="I122" s="37"/>
      <c r="J122" s="38"/>
      <c r="K122" s="26">
        <v>7500</v>
      </c>
      <c r="L122" s="37">
        <v>7500</v>
      </c>
      <c r="M122" s="37">
        <v>7500</v>
      </c>
      <c r="N122" s="38">
        <v>7500</v>
      </c>
      <c r="O122" s="38">
        <v>120000</v>
      </c>
      <c r="P122" s="26"/>
      <c r="Q122" s="37"/>
      <c r="R122" s="37"/>
      <c r="S122" s="38"/>
      <c r="T122" s="26"/>
      <c r="U122" s="37"/>
      <c r="V122" s="37"/>
      <c r="W122" s="38"/>
      <c r="X122" s="26"/>
      <c r="Y122" s="37"/>
      <c r="Z122" s="37"/>
      <c r="AA122" s="38"/>
      <c r="AB122" s="26"/>
      <c r="AC122" s="37"/>
      <c r="AD122" s="37"/>
      <c r="AE122" s="38"/>
      <c r="AF122" s="26"/>
      <c r="AG122" s="37"/>
      <c r="AH122" s="37"/>
      <c r="AI122" s="38"/>
      <c r="AJ122" s="26">
        <v>4500</v>
      </c>
      <c r="AK122" s="37">
        <v>4500</v>
      </c>
      <c r="AL122" s="37">
        <v>4500</v>
      </c>
      <c r="AM122" s="38">
        <v>4700</v>
      </c>
      <c r="AN122" s="26"/>
      <c r="AO122" s="37"/>
      <c r="AP122" s="37"/>
      <c r="AQ122" s="38"/>
      <c r="AR122" s="26"/>
      <c r="AS122" s="37"/>
      <c r="AT122" s="37"/>
      <c r="AU122" s="38"/>
      <c r="AV122" s="26"/>
      <c r="AW122" s="37"/>
      <c r="AX122" s="37"/>
      <c r="AY122" s="38"/>
      <c r="AZ122" s="26"/>
      <c r="BA122" s="37"/>
      <c r="BB122" s="37"/>
      <c r="BC122" s="38"/>
      <c r="BD122" s="26"/>
      <c r="BE122" s="37"/>
      <c r="BF122" s="37"/>
      <c r="BG122" s="38"/>
    </row>
    <row r="123" spans="1:59" s="24" customFormat="1" hidden="1">
      <c r="A123" s="3" t="e" vm="120">
        <v>#VALUE!</v>
      </c>
      <c r="B123" s="17" t="e" vm="123">
        <v>#VALUE!</v>
      </c>
      <c r="C123" s="26"/>
      <c r="D123" s="37"/>
      <c r="E123" s="37"/>
      <c r="F123" s="38"/>
      <c r="G123" s="26"/>
      <c r="H123" s="37"/>
      <c r="I123" s="37"/>
      <c r="J123" s="38"/>
      <c r="K123" s="26">
        <v>7500</v>
      </c>
      <c r="L123" s="37">
        <v>7500</v>
      </c>
      <c r="M123" s="37">
        <v>7500</v>
      </c>
      <c r="N123" s="38">
        <v>7500</v>
      </c>
      <c r="O123" s="38">
        <v>120000</v>
      </c>
      <c r="P123" s="26"/>
      <c r="Q123" s="37"/>
      <c r="R123" s="37"/>
      <c r="S123" s="38"/>
      <c r="T123" s="26"/>
      <c r="U123" s="37"/>
      <c r="V123" s="37"/>
      <c r="W123" s="38"/>
      <c r="X123" s="26"/>
      <c r="Y123" s="37"/>
      <c r="Z123" s="37"/>
      <c r="AA123" s="38"/>
      <c r="AB123" s="26"/>
      <c r="AC123" s="37"/>
      <c r="AD123" s="37"/>
      <c r="AE123" s="38"/>
      <c r="AF123" s="26"/>
      <c r="AG123" s="37"/>
      <c r="AH123" s="37"/>
      <c r="AI123" s="38"/>
      <c r="AJ123" s="26">
        <v>4500</v>
      </c>
      <c r="AK123" s="37">
        <v>4500</v>
      </c>
      <c r="AL123" s="37">
        <v>4500</v>
      </c>
      <c r="AM123" s="38">
        <v>4700</v>
      </c>
      <c r="AN123" s="26"/>
      <c r="AO123" s="37"/>
      <c r="AP123" s="37"/>
      <c r="AQ123" s="38"/>
      <c r="AR123" s="26"/>
      <c r="AS123" s="37"/>
      <c r="AT123" s="37"/>
      <c r="AU123" s="38"/>
      <c r="AV123" s="26"/>
      <c r="AW123" s="37"/>
      <c r="AX123" s="37"/>
      <c r="AY123" s="38"/>
      <c r="AZ123" s="26"/>
      <c r="BA123" s="37"/>
      <c r="BB123" s="37"/>
      <c r="BC123" s="38"/>
      <c r="BD123" s="26"/>
      <c r="BE123" s="37"/>
      <c r="BF123" s="37"/>
      <c r="BG123" s="38"/>
    </row>
    <row r="124" spans="1:59" s="24" customFormat="1" ht="15.75" hidden="1" thickBot="1">
      <c r="A124" s="3" t="e" vm="120">
        <v>#VALUE!</v>
      </c>
      <c r="B124" s="18" t="e" vm="124">
        <v>#VALUE!</v>
      </c>
      <c r="C124" s="33"/>
      <c r="D124" s="39"/>
      <c r="E124" s="39"/>
      <c r="F124" s="40"/>
      <c r="G124" s="33"/>
      <c r="H124" s="39"/>
      <c r="I124" s="39"/>
      <c r="J124" s="40"/>
      <c r="K124" s="33">
        <v>7500</v>
      </c>
      <c r="L124" s="39">
        <v>7500</v>
      </c>
      <c r="M124" s="39">
        <v>7500</v>
      </c>
      <c r="N124" s="40">
        <v>7500</v>
      </c>
      <c r="O124" s="40">
        <v>120000</v>
      </c>
      <c r="P124" s="33"/>
      <c r="Q124" s="39"/>
      <c r="R124" s="39"/>
      <c r="S124" s="40"/>
      <c r="T124" s="33"/>
      <c r="U124" s="39"/>
      <c r="V124" s="39"/>
      <c r="W124" s="40"/>
      <c r="X124" s="33"/>
      <c r="Y124" s="39"/>
      <c r="Z124" s="39"/>
      <c r="AA124" s="40"/>
      <c r="AB124" s="33"/>
      <c r="AC124" s="39"/>
      <c r="AD124" s="39"/>
      <c r="AE124" s="40"/>
      <c r="AF124" s="33"/>
      <c r="AG124" s="39"/>
      <c r="AH124" s="39"/>
      <c r="AI124" s="40"/>
      <c r="AJ124" s="33">
        <v>4500</v>
      </c>
      <c r="AK124" s="39">
        <v>4500</v>
      </c>
      <c r="AL124" s="39">
        <v>4500</v>
      </c>
      <c r="AM124" s="40">
        <v>4700</v>
      </c>
      <c r="AN124" s="33"/>
      <c r="AO124" s="39"/>
      <c r="AP124" s="39"/>
      <c r="AQ124" s="40"/>
      <c r="AR124" s="33"/>
      <c r="AS124" s="39"/>
      <c r="AT124" s="39"/>
      <c r="AU124" s="40"/>
      <c r="AV124" s="33"/>
      <c r="AW124" s="39"/>
      <c r="AX124" s="39"/>
      <c r="AY124" s="40"/>
      <c r="AZ124" s="33"/>
      <c r="BA124" s="39"/>
      <c r="BB124" s="39"/>
      <c r="BC124" s="40"/>
      <c r="BD124" s="33"/>
      <c r="BE124" s="39"/>
      <c r="BF124" s="39"/>
      <c r="BG124" s="40"/>
    </row>
    <row r="125" spans="1:59" s="24" customFormat="1" hidden="1">
      <c r="A125" s="3" t="e" vm="125">
        <v>#VALUE!</v>
      </c>
      <c r="B125" s="23" t="e" vm="126">
        <v>#VALUE!</v>
      </c>
      <c r="C125" s="34">
        <v>3800</v>
      </c>
      <c r="D125" s="47">
        <v>3800</v>
      </c>
      <c r="E125" s="47">
        <v>3800</v>
      </c>
      <c r="F125" s="48">
        <v>3800</v>
      </c>
      <c r="G125" s="34"/>
      <c r="H125" s="47"/>
      <c r="I125" s="47"/>
      <c r="J125" s="48"/>
      <c r="K125" s="34"/>
      <c r="L125" s="47"/>
      <c r="M125" s="47"/>
      <c r="N125" s="48"/>
      <c r="O125" s="48"/>
      <c r="P125" s="34"/>
      <c r="Q125" s="47"/>
      <c r="R125" s="47"/>
      <c r="S125" s="48"/>
      <c r="T125" s="34"/>
      <c r="U125" s="47"/>
      <c r="V125" s="47"/>
      <c r="W125" s="48"/>
      <c r="X125" s="34"/>
      <c r="Y125" s="47"/>
      <c r="Z125" s="47"/>
      <c r="AA125" s="48"/>
      <c r="AB125" s="34"/>
      <c r="AC125" s="47"/>
      <c r="AD125" s="47"/>
      <c r="AE125" s="48"/>
      <c r="AF125" s="34"/>
      <c r="AG125" s="47"/>
      <c r="AH125" s="47"/>
      <c r="AI125" s="48"/>
      <c r="AJ125" s="34"/>
      <c r="AK125" s="47"/>
      <c r="AL125" s="47"/>
      <c r="AM125" s="48"/>
      <c r="AN125" s="34"/>
      <c r="AO125" s="47"/>
      <c r="AP125" s="47"/>
      <c r="AQ125" s="48"/>
      <c r="AR125" s="34"/>
      <c r="AS125" s="47"/>
      <c r="AT125" s="47"/>
      <c r="AU125" s="48"/>
      <c r="AV125" s="34"/>
      <c r="AW125" s="47"/>
      <c r="AX125" s="47"/>
      <c r="AY125" s="48"/>
      <c r="AZ125" s="34"/>
      <c r="BA125" s="47"/>
      <c r="BB125" s="47"/>
      <c r="BC125" s="48"/>
      <c r="BD125" s="34"/>
      <c r="BE125" s="47"/>
      <c r="BF125" s="47"/>
      <c r="BG125" s="48"/>
    </row>
    <row r="126" spans="1:59" s="24" customFormat="1" hidden="1">
      <c r="A126" s="3" t="e" vm="120">
        <v>#VALUE!</v>
      </c>
      <c r="B126" s="16" t="e" vm="127">
        <v>#VALUE!</v>
      </c>
      <c r="C126" s="32"/>
      <c r="D126" s="35"/>
      <c r="E126" s="35"/>
      <c r="F126" s="36"/>
      <c r="G126" s="32"/>
      <c r="H126" s="35"/>
      <c r="I126" s="35"/>
      <c r="J126" s="36"/>
      <c r="K126" s="32">
        <v>7500</v>
      </c>
      <c r="L126" s="35">
        <v>7500</v>
      </c>
      <c r="M126" s="35">
        <v>7500</v>
      </c>
      <c r="N126" s="36">
        <v>7500</v>
      </c>
      <c r="O126" s="36">
        <v>120000</v>
      </c>
      <c r="P126" s="32"/>
      <c r="Q126" s="35"/>
      <c r="R126" s="35"/>
      <c r="S126" s="36"/>
      <c r="T126" s="32"/>
      <c r="U126" s="35"/>
      <c r="V126" s="35"/>
      <c r="W126" s="36"/>
      <c r="X126" s="32"/>
      <c r="Y126" s="35"/>
      <c r="Z126" s="35"/>
      <c r="AA126" s="36"/>
      <c r="AB126" s="32"/>
      <c r="AC126" s="35"/>
      <c r="AD126" s="35"/>
      <c r="AE126" s="36"/>
      <c r="AF126" s="32"/>
      <c r="AG126" s="35"/>
      <c r="AH126" s="35"/>
      <c r="AI126" s="36"/>
      <c r="AJ126" s="32">
        <v>4500</v>
      </c>
      <c r="AK126" s="35">
        <v>4500</v>
      </c>
      <c r="AL126" s="35">
        <v>4500</v>
      </c>
      <c r="AM126" s="36">
        <v>4700</v>
      </c>
      <c r="AN126" s="32"/>
      <c r="AO126" s="35"/>
      <c r="AP126" s="35"/>
      <c r="AQ126" s="36"/>
      <c r="AR126" s="32"/>
      <c r="AS126" s="35"/>
      <c r="AT126" s="35"/>
      <c r="AU126" s="36"/>
      <c r="AV126" s="32"/>
      <c r="AW126" s="35"/>
      <c r="AX126" s="35"/>
      <c r="AY126" s="36"/>
      <c r="AZ126" s="32"/>
      <c r="BA126" s="35"/>
      <c r="BB126" s="35"/>
      <c r="BC126" s="36"/>
      <c r="BD126" s="32"/>
      <c r="BE126" s="35"/>
      <c r="BF126" s="35"/>
      <c r="BG126" s="36"/>
    </row>
    <row r="127" spans="1:59" s="24" customFormat="1" hidden="1">
      <c r="A127" s="3" t="e" vm="128">
        <v>#VALUE!</v>
      </c>
      <c r="B127" s="17" t="e" vm="129">
        <v>#VALUE!</v>
      </c>
      <c r="C127" s="26"/>
      <c r="D127" s="37"/>
      <c r="E127" s="37"/>
      <c r="F127" s="38"/>
      <c r="G127" s="26"/>
      <c r="H127" s="37"/>
      <c r="I127" s="37"/>
      <c r="J127" s="38"/>
      <c r="K127" s="26">
        <v>7500</v>
      </c>
      <c r="L127" s="37">
        <v>7500</v>
      </c>
      <c r="M127" s="37">
        <v>7500</v>
      </c>
      <c r="N127" s="38">
        <v>7500</v>
      </c>
      <c r="O127" s="38">
        <v>120000</v>
      </c>
      <c r="P127" s="26"/>
      <c r="Q127" s="37"/>
      <c r="R127" s="37"/>
      <c r="S127" s="38"/>
      <c r="T127" s="26"/>
      <c r="U127" s="37"/>
      <c r="V127" s="37"/>
      <c r="W127" s="38"/>
      <c r="X127" s="26"/>
      <c r="Y127" s="37"/>
      <c r="Z127" s="37"/>
      <c r="AA127" s="38"/>
      <c r="AB127" s="26"/>
      <c r="AC127" s="37"/>
      <c r="AD127" s="37"/>
      <c r="AE127" s="38"/>
      <c r="AF127" s="26"/>
      <c r="AG127" s="37"/>
      <c r="AH127" s="37"/>
      <c r="AI127" s="38"/>
      <c r="AJ127" s="26">
        <v>4500</v>
      </c>
      <c r="AK127" s="37">
        <v>4500</v>
      </c>
      <c r="AL127" s="37">
        <v>4500</v>
      </c>
      <c r="AM127" s="38">
        <v>4700</v>
      </c>
      <c r="AN127" s="26"/>
      <c r="AO127" s="37"/>
      <c r="AP127" s="37"/>
      <c r="AQ127" s="38"/>
      <c r="AR127" s="26"/>
      <c r="AS127" s="37"/>
      <c r="AT127" s="37"/>
      <c r="AU127" s="38"/>
      <c r="AV127" s="26"/>
      <c r="AW127" s="37"/>
      <c r="AX127" s="37"/>
      <c r="AY127" s="38"/>
      <c r="AZ127" s="26"/>
      <c r="BA127" s="37"/>
      <c r="BB127" s="37"/>
      <c r="BC127" s="38"/>
      <c r="BD127" s="26"/>
      <c r="BE127" s="37"/>
      <c r="BF127" s="37"/>
      <c r="BG127" s="38"/>
    </row>
    <row r="128" spans="1:59" s="24" customFormat="1" hidden="1">
      <c r="A128" s="3" t="e" vm="128">
        <v>#VALUE!</v>
      </c>
      <c r="B128" s="17" t="e" vm="130">
        <v>#VALUE!</v>
      </c>
      <c r="C128" s="26"/>
      <c r="D128" s="37"/>
      <c r="E128" s="37"/>
      <c r="F128" s="38"/>
      <c r="G128" s="26"/>
      <c r="H128" s="37"/>
      <c r="I128" s="37"/>
      <c r="J128" s="38"/>
      <c r="K128" s="26">
        <v>7500</v>
      </c>
      <c r="L128" s="37">
        <v>7500</v>
      </c>
      <c r="M128" s="37">
        <v>7500</v>
      </c>
      <c r="N128" s="38">
        <v>7500</v>
      </c>
      <c r="O128" s="38">
        <v>120000</v>
      </c>
      <c r="P128" s="26"/>
      <c r="Q128" s="37"/>
      <c r="R128" s="37"/>
      <c r="S128" s="38"/>
      <c r="T128" s="26"/>
      <c r="U128" s="37"/>
      <c r="V128" s="37"/>
      <c r="W128" s="38"/>
      <c r="X128" s="26"/>
      <c r="Y128" s="37"/>
      <c r="Z128" s="37"/>
      <c r="AA128" s="38"/>
      <c r="AB128" s="26"/>
      <c r="AC128" s="37"/>
      <c r="AD128" s="37"/>
      <c r="AE128" s="38"/>
      <c r="AF128" s="26"/>
      <c r="AG128" s="37"/>
      <c r="AH128" s="37"/>
      <c r="AI128" s="38"/>
      <c r="AJ128" s="26">
        <v>4500</v>
      </c>
      <c r="AK128" s="37">
        <v>4500</v>
      </c>
      <c r="AL128" s="37">
        <v>4500</v>
      </c>
      <c r="AM128" s="38">
        <v>4700</v>
      </c>
      <c r="AN128" s="26"/>
      <c r="AO128" s="37"/>
      <c r="AP128" s="37"/>
      <c r="AQ128" s="38"/>
      <c r="AR128" s="26"/>
      <c r="AS128" s="37"/>
      <c r="AT128" s="37"/>
      <c r="AU128" s="38"/>
      <c r="AV128" s="26"/>
      <c r="AW128" s="37"/>
      <c r="AX128" s="37"/>
      <c r="AY128" s="38"/>
      <c r="AZ128" s="26"/>
      <c r="BA128" s="37"/>
      <c r="BB128" s="37"/>
      <c r="BC128" s="38"/>
      <c r="BD128" s="26"/>
      <c r="BE128" s="37"/>
      <c r="BF128" s="37"/>
      <c r="BG128" s="38"/>
    </row>
    <row r="129" spans="1:59" s="24" customFormat="1" hidden="1">
      <c r="A129" s="3" t="e" vm="128">
        <v>#VALUE!</v>
      </c>
      <c r="B129" s="17" t="e" vm="131">
        <v>#VALUE!</v>
      </c>
      <c r="C129" s="26"/>
      <c r="D129" s="37"/>
      <c r="E129" s="37"/>
      <c r="F129" s="38"/>
      <c r="G129" s="26"/>
      <c r="H129" s="37"/>
      <c r="I129" s="37"/>
      <c r="J129" s="38"/>
      <c r="K129" s="26">
        <v>7500</v>
      </c>
      <c r="L129" s="37">
        <v>7500</v>
      </c>
      <c r="M129" s="37">
        <v>7500</v>
      </c>
      <c r="N129" s="38">
        <v>7500</v>
      </c>
      <c r="O129" s="38">
        <v>120000</v>
      </c>
      <c r="P129" s="26"/>
      <c r="Q129" s="37"/>
      <c r="R129" s="37"/>
      <c r="S129" s="38"/>
      <c r="T129" s="26"/>
      <c r="U129" s="37"/>
      <c r="V129" s="37"/>
      <c r="W129" s="38"/>
      <c r="X129" s="26"/>
      <c r="Y129" s="37"/>
      <c r="Z129" s="37"/>
      <c r="AA129" s="38"/>
      <c r="AB129" s="26"/>
      <c r="AC129" s="37"/>
      <c r="AD129" s="37"/>
      <c r="AE129" s="38"/>
      <c r="AF129" s="26"/>
      <c r="AG129" s="37"/>
      <c r="AH129" s="37"/>
      <c r="AI129" s="38"/>
      <c r="AJ129" s="26">
        <v>4500</v>
      </c>
      <c r="AK129" s="37">
        <v>4500</v>
      </c>
      <c r="AL129" s="37">
        <v>4500</v>
      </c>
      <c r="AM129" s="38">
        <v>4700</v>
      </c>
      <c r="AN129" s="26"/>
      <c r="AO129" s="37"/>
      <c r="AP129" s="37"/>
      <c r="AQ129" s="38"/>
      <c r="AR129" s="26"/>
      <c r="AS129" s="37"/>
      <c r="AT129" s="37"/>
      <c r="AU129" s="38"/>
      <c r="AV129" s="26"/>
      <c r="AW129" s="37"/>
      <c r="AX129" s="37"/>
      <c r="AY129" s="38"/>
      <c r="AZ129" s="26"/>
      <c r="BA129" s="37"/>
      <c r="BB129" s="37"/>
      <c r="BC129" s="38"/>
      <c r="BD129" s="26"/>
      <c r="BE129" s="37"/>
      <c r="BF129" s="37"/>
      <c r="BG129" s="38"/>
    </row>
    <row r="130" spans="1:59" s="24" customFormat="1" hidden="1">
      <c r="A130" s="3" t="e" vm="128">
        <v>#VALUE!</v>
      </c>
      <c r="B130" s="17" t="e" vm="132">
        <v>#VALUE!</v>
      </c>
      <c r="C130" s="26"/>
      <c r="D130" s="37"/>
      <c r="E130" s="37"/>
      <c r="F130" s="38"/>
      <c r="G130" s="26"/>
      <c r="H130" s="37"/>
      <c r="I130" s="37"/>
      <c r="J130" s="38"/>
      <c r="K130" s="26">
        <v>7500</v>
      </c>
      <c r="L130" s="37">
        <v>7500</v>
      </c>
      <c r="M130" s="37">
        <v>7500</v>
      </c>
      <c r="N130" s="38">
        <v>7500</v>
      </c>
      <c r="O130" s="38">
        <v>120000</v>
      </c>
      <c r="P130" s="26"/>
      <c r="Q130" s="37"/>
      <c r="R130" s="37"/>
      <c r="S130" s="38"/>
      <c r="T130" s="26"/>
      <c r="U130" s="37"/>
      <c r="V130" s="37"/>
      <c r="W130" s="38"/>
      <c r="X130" s="26"/>
      <c r="Y130" s="37"/>
      <c r="Z130" s="37"/>
      <c r="AA130" s="38"/>
      <c r="AB130" s="26"/>
      <c r="AC130" s="37"/>
      <c r="AD130" s="37"/>
      <c r="AE130" s="38"/>
      <c r="AF130" s="26"/>
      <c r="AG130" s="37"/>
      <c r="AH130" s="37"/>
      <c r="AI130" s="38"/>
      <c r="AJ130" s="26">
        <v>4500</v>
      </c>
      <c r="AK130" s="37">
        <v>4500</v>
      </c>
      <c r="AL130" s="37">
        <v>4500</v>
      </c>
      <c r="AM130" s="38">
        <v>4700</v>
      </c>
      <c r="AN130" s="26"/>
      <c r="AO130" s="37"/>
      <c r="AP130" s="37"/>
      <c r="AQ130" s="38"/>
      <c r="AR130" s="26"/>
      <c r="AS130" s="37"/>
      <c r="AT130" s="37"/>
      <c r="AU130" s="38"/>
      <c r="AV130" s="26"/>
      <c r="AW130" s="37"/>
      <c r="AX130" s="37"/>
      <c r="AY130" s="38"/>
      <c r="AZ130" s="26"/>
      <c r="BA130" s="37"/>
      <c r="BB130" s="37"/>
      <c r="BC130" s="38"/>
      <c r="BD130" s="26"/>
      <c r="BE130" s="37"/>
      <c r="BF130" s="37"/>
      <c r="BG130" s="38"/>
    </row>
    <row r="131" spans="1:59" s="24" customFormat="1" hidden="1">
      <c r="A131" s="3" t="e" vm="128">
        <v>#VALUE!</v>
      </c>
      <c r="B131" s="17" t="e" vm="133">
        <v>#VALUE!</v>
      </c>
      <c r="C131" s="26"/>
      <c r="D131" s="37"/>
      <c r="E131" s="37"/>
      <c r="F131" s="38"/>
      <c r="G131" s="26"/>
      <c r="H131" s="37"/>
      <c r="I131" s="37"/>
      <c r="J131" s="38"/>
      <c r="K131" s="26">
        <v>7500</v>
      </c>
      <c r="L131" s="37">
        <v>7500</v>
      </c>
      <c r="M131" s="37">
        <v>7500</v>
      </c>
      <c r="N131" s="38">
        <v>7500</v>
      </c>
      <c r="O131" s="38">
        <v>120000</v>
      </c>
      <c r="P131" s="26"/>
      <c r="Q131" s="37"/>
      <c r="R131" s="37"/>
      <c r="S131" s="38"/>
      <c r="T131" s="26"/>
      <c r="U131" s="37"/>
      <c r="V131" s="37"/>
      <c r="W131" s="38"/>
      <c r="X131" s="26"/>
      <c r="Y131" s="37"/>
      <c r="Z131" s="37"/>
      <c r="AA131" s="38"/>
      <c r="AB131" s="26"/>
      <c r="AC131" s="37"/>
      <c r="AD131" s="37"/>
      <c r="AE131" s="38"/>
      <c r="AF131" s="26"/>
      <c r="AG131" s="37"/>
      <c r="AH131" s="37"/>
      <c r="AI131" s="38"/>
      <c r="AJ131" s="26">
        <v>4500</v>
      </c>
      <c r="AK131" s="37">
        <v>4500</v>
      </c>
      <c r="AL131" s="37">
        <v>4500</v>
      </c>
      <c r="AM131" s="38">
        <v>4700</v>
      </c>
      <c r="AN131" s="26"/>
      <c r="AO131" s="37"/>
      <c r="AP131" s="37"/>
      <c r="AQ131" s="38"/>
      <c r="AR131" s="26"/>
      <c r="AS131" s="37"/>
      <c r="AT131" s="37"/>
      <c r="AU131" s="38"/>
      <c r="AV131" s="26"/>
      <c r="AW131" s="37"/>
      <c r="AX131" s="37"/>
      <c r="AY131" s="38"/>
      <c r="AZ131" s="26"/>
      <c r="BA131" s="37"/>
      <c r="BB131" s="37"/>
      <c r="BC131" s="38"/>
      <c r="BD131" s="26"/>
      <c r="BE131" s="37"/>
      <c r="BF131" s="37"/>
      <c r="BG131" s="38"/>
    </row>
    <row r="132" spans="1:59" s="24" customFormat="1" hidden="1">
      <c r="A132" s="3" t="e" vm="128">
        <v>#VALUE!</v>
      </c>
      <c r="B132" s="17" t="e" vm="134">
        <v>#VALUE!</v>
      </c>
      <c r="C132" s="26"/>
      <c r="D132" s="37"/>
      <c r="E132" s="37"/>
      <c r="F132" s="38"/>
      <c r="G132" s="26"/>
      <c r="H132" s="37"/>
      <c r="I132" s="37"/>
      <c r="J132" s="38"/>
      <c r="K132" s="26">
        <v>7500</v>
      </c>
      <c r="L132" s="37">
        <v>7500</v>
      </c>
      <c r="M132" s="37">
        <v>7500</v>
      </c>
      <c r="N132" s="38">
        <v>7500</v>
      </c>
      <c r="O132" s="38">
        <v>120000</v>
      </c>
      <c r="P132" s="26"/>
      <c r="Q132" s="37"/>
      <c r="R132" s="37"/>
      <c r="S132" s="38"/>
      <c r="T132" s="26"/>
      <c r="U132" s="37"/>
      <c r="V132" s="37"/>
      <c r="W132" s="38"/>
      <c r="X132" s="26"/>
      <c r="Y132" s="37"/>
      <c r="Z132" s="37"/>
      <c r="AA132" s="38"/>
      <c r="AB132" s="26"/>
      <c r="AC132" s="37"/>
      <c r="AD132" s="37"/>
      <c r="AE132" s="38"/>
      <c r="AF132" s="26"/>
      <c r="AG132" s="37"/>
      <c r="AH132" s="37"/>
      <c r="AI132" s="38"/>
      <c r="AJ132" s="26">
        <v>4500</v>
      </c>
      <c r="AK132" s="37">
        <v>4500</v>
      </c>
      <c r="AL132" s="37">
        <v>4500</v>
      </c>
      <c r="AM132" s="38">
        <v>4700</v>
      </c>
      <c r="AN132" s="26"/>
      <c r="AO132" s="37"/>
      <c r="AP132" s="37"/>
      <c r="AQ132" s="38"/>
      <c r="AR132" s="26"/>
      <c r="AS132" s="37"/>
      <c r="AT132" s="37"/>
      <c r="AU132" s="38"/>
      <c r="AV132" s="26"/>
      <c r="AW132" s="37"/>
      <c r="AX132" s="37"/>
      <c r="AY132" s="38"/>
      <c r="AZ132" s="26"/>
      <c r="BA132" s="37"/>
      <c r="BB132" s="37"/>
      <c r="BC132" s="38"/>
      <c r="BD132" s="26"/>
      <c r="BE132" s="37"/>
      <c r="BF132" s="37"/>
      <c r="BG132" s="38"/>
    </row>
    <row r="133" spans="1:59" s="24" customFormat="1" hidden="1">
      <c r="A133" s="3" t="e" vm="128">
        <v>#VALUE!</v>
      </c>
      <c r="B133" s="17" t="e" vm="135">
        <v>#VALUE!</v>
      </c>
      <c r="C133" s="26"/>
      <c r="D133" s="37"/>
      <c r="E133" s="37"/>
      <c r="F133" s="38"/>
      <c r="G133" s="26"/>
      <c r="H133" s="37"/>
      <c r="I133" s="37"/>
      <c r="J133" s="38"/>
      <c r="K133" s="26">
        <v>7500</v>
      </c>
      <c r="L133" s="37">
        <v>7500</v>
      </c>
      <c r="M133" s="37">
        <v>7500</v>
      </c>
      <c r="N133" s="38">
        <v>7500</v>
      </c>
      <c r="O133" s="38">
        <v>120000</v>
      </c>
      <c r="P133" s="26"/>
      <c r="Q133" s="37"/>
      <c r="R133" s="37"/>
      <c r="S133" s="38"/>
      <c r="T133" s="26"/>
      <c r="U133" s="37"/>
      <c r="V133" s="37"/>
      <c r="W133" s="38"/>
      <c r="X133" s="26"/>
      <c r="Y133" s="37"/>
      <c r="Z133" s="37"/>
      <c r="AA133" s="38"/>
      <c r="AB133" s="26"/>
      <c r="AC133" s="37"/>
      <c r="AD133" s="37"/>
      <c r="AE133" s="38"/>
      <c r="AF133" s="26"/>
      <c r="AG133" s="37"/>
      <c r="AH133" s="37"/>
      <c r="AI133" s="38"/>
      <c r="AJ133" s="26">
        <v>4500</v>
      </c>
      <c r="AK133" s="37">
        <v>4500</v>
      </c>
      <c r="AL133" s="37">
        <v>4500</v>
      </c>
      <c r="AM133" s="38">
        <v>4700</v>
      </c>
      <c r="AN133" s="26"/>
      <c r="AO133" s="37"/>
      <c r="AP133" s="37"/>
      <c r="AQ133" s="38"/>
      <c r="AR133" s="26"/>
      <c r="AS133" s="37"/>
      <c r="AT133" s="37"/>
      <c r="AU133" s="38"/>
      <c r="AV133" s="26"/>
      <c r="AW133" s="37"/>
      <c r="AX133" s="37"/>
      <c r="AY133" s="38"/>
      <c r="AZ133" s="26"/>
      <c r="BA133" s="37"/>
      <c r="BB133" s="37"/>
      <c r="BC133" s="38"/>
      <c r="BD133" s="26"/>
      <c r="BE133" s="37"/>
      <c r="BF133" s="37"/>
      <c r="BG133" s="38"/>
    </row>
    <row r="134" spans="1:59" s="24" customFormat="1" hidden="1">
      <c r="A134" s="3" t="e" vm="128">
        <v>#VALUE!</v>
      </c>
      <c r="B134" s="17" t="e" vm="136">
        <v>#VALUE!</v>
      </c>
      <c r="C134" s="26"/>
      <c r="D134" s="37"/>
      <c r="E134" s="37"/>
      <c r="F134" s="38"/>
      <c r="G134" s="26"/>
      <c r="H134" s="37"/>
      <c r="I134" s="37"/>
      <c r="J134" s="38"/>
      <c r="K134" s="26">
        <v>7500</v>
      </c>
      <c r="L134" s="37">
        <v>7500</v>
      </c>
      <c r="M134" s="37">
        <v>7500</v>
      </c>
      <c r="N134" s="38">
        <v>7500</v>
      </c>
      <c r="O134" s="38">
        <v>120000</v>
      </c>
      <c r="P134" s="26"/>
      <c r="Q134" s="37"/>
      <c r="R134" s="37"/>
      <c r="S134" s="38"/>
      <c r="T134" s="26"/>
      <c r="U134" s="37"/>
      <c r="V134" s="37"/>
      <c r="W134" s="38"/>
      <c r="X134" s="26"/>
      <c r="Y134" s="37"/>
      <c r="Z134" s="37"/>
      <c r="AA134" s="38"/>
      <c r="AB134" s="26"/>
      <c r="AC134" s="37"/>
      <c r="AD134" s="37"/>
      <c r="AE134" s="38"/>
      <c r="AF134" s="26"/>
      <c r="AG134" s="37"/>
      <c r="AH134" s="37"/>
      <c r="AI134" s="38"/>
      <c r="AJ134" s="26">
        <v>4500</v>
      </c>
      <c r="AK134" s="37">
        <v>4500</v>
      </c>
      <c r="AL134" s="37">
        <v>4500</v>
      </c>
      <c r="AM134" s="38">
        <v>4700</v>
      </c>
      <c r="AN134" s="26"/>
      <c r="AO134" s="37"/>
      <c r="AP134" s="37"/>
      <c r="AQ134" s="38"/>
      <c r="AR134" s="26"/>
      <c r="AS134" s="37"/>
      <c r="AT134" s="37"/>
      <c r="AU134" s="38"/>
      <c r="AV134" s="26"/>
      <c r="AW134" s="37"/>
      <c r="AX134" s="37"/>
      <c r="AY134" s="38"/>
      <c r="AZ134" s="26"/>
      <c r="BA134" s="37"/>
      <c r="BB134" s="37"/>
      <c r="BC134" s="38"/>
      <c r="BD134" s="26"/>
      <c r="BE134" s="37"/>
      <c r="BF134" s="37"/>
      <c r="BG134" s="38"/>
    </row>
    <row r="135" spans="1:59" s="24" customFormat="1" ht="15.75" hidden="1" thickBot="1">
      <c r="A135" s="3" t="e" vm="128">
        <v>#VALUE!</v>
      </c>
      <c r="B135" s="18" t="s">
        <v>23</v>
      </c>
      <c r="C135" s="33"/>
      <c r="D135" s="39"/>
      <c r="E135" s="39"/>
      <c r="F135" s="40"/>
      <c r="G135" s="33"/>
      <c r="H135" s="39"/>
      <c r="I135" s="39"/>
      <c r="J135" s="40"/>
      <c r="K135" s="33">
        <v>7500</v>
      </c>
      <c r="L135" s="39">
        <v>7500</v>
      </c>
      <c r="M135" s="39">
        <v>7500</v>
      </c>
      <c r="N135" s="40">
        <v>7500</v>
      </c>
      <c r="O135" s="40">
        <v>120000</v>
      </c>
      <c r="P135" s="33"/>
      <c r="Q135" s="39"/>
      <c r="R135" s="39"/>
      <c r="S135" s="40"/>
      <c r="T135" s="33"/>
      <c r="U135" s="39"/>
      <c r="V135" s="39"/>
      <c r="W135" s="40"/>
      <c r="X135" s="33"/>
      <c r="Y135" s="39"/>
      <c r="Z135" s="39"/>
      <c r="AA135" s="40"/>
      <c r="AB135" s="33"/>
      <c r="AC135" s="39"/>
      <c r="AD135" s="39"/>
      <c r="AE135" s="40"/>
      <c r="AF135" s="33"/>
      <c r="AG135" s="39"/>
      <c r="AH135" s="39"/>
      <c r="AI135" s="40"/>
      <c r="AJ135" s="33">
        <v>4500</v>
      </c>
      <c r="AK135" s="39">
        <v>4500</v>
      </c>
      <c r="AL135" s="39">
        <v>4500</v>
      </c>
      <c r="AM135" s="40">
        <v>4700</v>
      </c>
      <c r="AN135" s="33"/>
      <c r="AO135" s="39"/>
      <c r="AP135" s="39"/>
      <c r="AQ135" s="40"/>
      <c r="AR135" s="33"/>
      <c r="AS135" s="39"/>
      <c r="AT135" s="39"/>
      <c r="AU135" s="40"/>
      <c r="AV135" s="33"/>
      <c r="AW135" s="39"/>
      <c r="AX135" s="39"/>
      <c r="AY135" s="40"/>
      <c r="AZ135" s="33"/>
      <c r="BA135" s="39"/>
      <c r="BB135" s="39"/>
      <c r="BC135" s="40"/>
      <c r="BD135" s="33"/>
      <c r="BE135" s="39"/>
      <c r="BF135" s="39"/>
      <c r="BG135" s="40"/>
    </row>
    <row r="136" spans="1:59" s="24" customFormat="1" hidden="1">
      <c r="A136" s="3" t="e" vm="137">
        <v>#VALUE!</v>
      </c>
      <c r="B136" s="19" t="e" vm="138">
        <v>#VALUE!</v>
      </c>
      <c r="C136" s="29"/>
      <c r="D136" s="41"/>
      <c r="E136" s="41"/>
      <c r="F136" s="42"/>
      <c r="G136" s="29"/>
      <c r="H136" s="41"/>
      <c r="I136" s="41"/>
      <c r="J136" s="42"/>
      <c r="K136" s="29"/>
      <c r="L136" s="41"/>
      <c r="M136" s="41"/>
      <c r="N136" s="42"/>
      <c r="O136" s="42"/>
      <c r="P136" s="29"/>
      <c r="Q136" s="41"/>
      <c r="R136" s="41"/>
      <c r="S136" s="42"/>
      <c r="T136" s="29"/>
      <c r="U136" s="41"/>
      <c r="V136" s="41"/>
      <c r="W136" s="42"/>
      <c r="X136" s="29"/>
      <c r="Y136" s="41"/>
      <c r="Z136" s="41"/>
      <c r="AA136" s="42"/>
      <c r="AB136" s="29"/>
      <c r="AC136" s="41"/>
      <c r="AD136" s="41"/>
      <c r="AE136" s="42"/>
      <c r="AF136" s="29"/>
      <c r="AG136" s="41"/>
      <c r="AH136" s="41"/>
      <c r="AI136" s="42"/>
      <c r="AJ136" s="29"/>
      <c r="AK136" s="41"/>
      <c r="AL136" s="41"/>
      <c r="AM136" s="42"/>
      <c r="AN136" s="29">
        <v>2500</v>
      </c>
      <c r="AO136" s="41">
        <v>2500</v>
      </c>
      <c r="AP136" s="41">
        <v>2500</v>
      </c>
      <c r="AQ136" s="42">
        <v>2500</v>
      </c>
      <c r="AR136" s="29"/>
      <c r="AS136" s="41"/>
      <c r="AT136" s="41"/>
      <c r="AU136" s="42"/>
      <c r="AV136" s="29"/>
      <c r="AW136" s="41"/>
      <c r="AX136" s="41"/>
      <c r="AY136" s="42"/>
      <c r="AZ136" s="29"/>
      <c r="BA136" s="41"/>
      <c r="BB136" s="41"/>
      <c r="BC136" s="42"/>
      <c r="BD136" s="29"/>
      <c r="BE136" s="41"/>
      <c r="BF136" s="41"/>
      <c r="BG136" s="42"/>
    </row>
    <row r="137" spans="1:59" s="24" customFormat="1" hidden="1">
      <c r="A137" s="3" t="e" vm="137">
        <v>#VALUE!</v>
      </c>
      <c r="B137" s="17" t="e" vm="139">
        <v>#VALUE!</v>
      </c>
      <c r="C137" s="26"/>
      <c r="D137" s="37"/>
      <c r="E137" s="37"/>
      <c r="F137" s="38"/>
      <c r="G137" s="26"/>
      <c r="H137" s="37"/>
      <c r="I137" s="37"/>
      <c r="J137" s="38"/>
      <c r="K137" s="26"/>
      <c r="L137" s="37"/>
      <c r="M137" s="37"/>
      <c r="N137" s="38"/>
      <c r="O137" s="38"/>
      <c r="P137" s="26"/>
      <c r="Q137" s="37"/>
      <c r="R137" s="37"/>
      <c r="S137" s="38"/>
      <c r="T137" s="26"/>
      <c r="U137" s="37"/>
      <c r="V137" s="37"/>
      <c r="W137" s="38"/>
      <c r="X137" s="26"/>
      <c r="Y137" s="37"/>
      <c r="Z137" s="37"/>
      <c r="AA137" s="38"/>
      <c r="AB137" s="26"/>
      <c r="AC137" s="37"/>
      <c r="AD137" s="37"/>
      <c r="AE137" s="38"/>
      <c r="AF137" s="26"/>
      <c r="AG137" s="37"/>
      <c r="AH137" s="37"/>
      <c r="AI137" s="38"/>
      <c r="AJ137" s="26"/>
      <c r="AK137" s="37"/>
      <c r="AL137" s="37"/>
      <c r="AM137" s="38"/>
      <c r="AN137" s="26">
        <v>2500</v>
      </c>
      <c r="AO137" s="37">
        <v>2500</v>
      </c>
      <c r="AP137" s="37">
        <v>2500</v>
      </c>
      <c r="AQ137" s="38">
        <v>2500</v>
      </c>
      <c r="AR137" s="26"/>
      <c r="AS137" s="37"/>
      <c r="AT137" s="37"/>
      <c r="AU137" s="38"/>
      <c r="AV137" s="26"/>
      <c r="AW137" s="37"/>
      <c r="AX137" s="37"/>
      <c r="AY137" s="38"/>
      <c r="AZ137" s="26"/>
      <c r="BA137" s="37"/>
      <c r="BB137" s="37"/>
      <c r="BC137" s="38"/>
      <c r="BD137" s="26"/>
      <c r="BE137" s="37"/>
      <c r="BF137" s="37"/>
      <c r="BG137" s="38"/>
    </row>
    <row r="138" spans="1:59" s="24" customFormat="1" hidden="1">
      <c r="A138" s="3" t="e" vm="137">
        <v>#VALUE!</v>
      </c>
      <c r="B138" s="17" t="e" vm="140">
        <v>#VALUE!</v>
      </c>
      <c r="C138" s="26"/>
      <c r="D138" s="37"/>
      <c r="E138" s="37"/>
      <c r="F138" s="38"/>
      <c r="G138" s="26"/>
      <c r="H138" s="37"/>
      <c r="I138" s="37"/>
      <c r="J138" s="38"/>
      <c r="K138" s="26"/>
      <c r="L138" s="37"/>
      <c r="M138" s="37"/>
      <c r="N138" s="38"/>
      <c r="O138" s="38"/>
      <c r="P138" s="26"/>
      <c r="Q138" s="37"/>
      <c r="R138" s="37"/>
      <c r="S138" s="38"/>
      <c r="T138" s="26"/>
      <c r="U138" s="37"/>
      <c r="V138" s="37"/>
      <c r="W138" s="38"/>
      <c r="X138" s="26"/>
      <c r="Y138" s="37"/>
      <c r="Z138" s="37"/>
      <c r="AA138" s="38"/>
      <c r="AB138" s="26"/>
      <c r="AC138" s="37"/>
      <c r="AD138" s="37"/>
      <c r="AE138" s="38"/>
      <c r="AF138" s="26"/>
      <c r="AG138" s="37"/>
      <c r="AH138" s="37"/>
      <c r="AI138" s="38"/>
      <c r="AJ138" s="26"/>
      <c r="AK138" s="37"/>
      <c r="AL138" s="37"/>
      <c r="AM138" s="38"/>
      <c r="AN138" s="26">
        <v>2500</v>
      </c>
      <c r="AO138" s="37">
        <v>2500</v>
      </c>
      <c r="AP138" s="37">
        <v>2500</v>
      </c>
      <c r="AQ138" s="38">
        <v>2500</v>
      </c>
      <c r="AR138" s="26"/>
      <c r="AS138" s="37"/>
      <c r="AT138" s="37"/>
      <c r="AU138" s="38"/>
      <c r="AV138" s="26"/>
      <c r="AW138" s="37"/>
      <c r="AX138" s="37"/>
      <c r="AY138" s="38"/>
      <c r="AZ138" s="26"/>
      <c r="BA138" s="37"/>
      <c r="BB138" s="37"/>
      <c r="BC138" s="38"/>
      <c r="BD138" s="26"/>
      <c r="BE138" s="37"/>
      <c r="BF138" s="37"/>
      <c r="BG138" s="38"/>
    </row>
    <row r="139" spans="1:59" s="24" customFormat="1" hidden="1">
      <c r="A139" s="3" t="e" vm="137">
        <v>#VALUE!</v>
      </c>
      <c r="B139" s="17" t="e" vm="141">
        <v>#VALUE!</v>
      </c>
      <c r="C139" s="26"/>
      <c r="D139" s="37"/>
      <c r="E139" s="37"/>
      <c r="F139" s="38"/>
      <c r="G139" s="26"/>
      <c r="H139" s="37"/>
      <c r="I139" s="37"/>
      <c r="J139" s="38"/>
      <c r="K139" s="26"/>
      <c r="L139" s="37"/>
      <c r="M139" s="37"/>
      <c r="N139" s="38"/>
      <c r="O139" s="38"/>
      <c r="P139" s="26"/>
      <c r="Q139" s="37"/>
      <c r="R139" s="37"/>
      <c r="S139" s="38"/>
      <c r="T139" s="26"/>
      <c r="U139" s="37"/>
      <c r="V139" s="37"/>
      <c r="W139" s="38"/>
      <c r="X139" s="26"/>
      <c r="Y139" s="37"/>
      <c r="Z139" s="37"/>
      <c r="AA139" s="38"/>
      <c r="AB139" s="26"/>
      <c r="AC139" s="37"/>
      <c r="AD139" s="37"/>
      <c r="AE139" s="38"/>
      <c r="AF139" s="26"/>
      <c r="AG139" s="37"/>
      <c r="AH139" s="37"/>
      <c r="AI139" s="38"/>
      <c r="AJ139" s="26"/>
      <c r="AK139" s="37"/>
      <c r="AL139" s="37"/>
      <c r="AM139" s="38"/>
      <c r="AN139" s="26">
        <v>2500</v>
      </c>
      <c r="AO139" s="37">
        <v>2500</v>
      </c>
      <c r="AP139" s="37">
        <v>2500</v>
      </c>
      <c r="AQ139" s="38">
        <v>2500</v>
      </c>
      <c r="AR139" s="26"/>
      <c r="AS139" s="37"/>
      <c r="AT139" s="37"/>
      <c r="AU139" s="38"/>
      <c r="AV139" s="26"/>
      <c r="AW139" s="37"/>
      <c r="AX139" s="37"/>
      <c r="AY139" s="38"/>
      <c r="AZ139" s="26"/>
      <c r="BA139" s="37"/>
      <c r="BB139" s="37"/>
      <c r="BC139" s="38"/>
      <c r="BD139" s="26"/>
      <c r="BE139" s="37"/>
      <c r="BF139" s="37"/>
      <c r="BG139" s="38"/>
    </row>
    <row r="140" spans="1:59" s="24" customFormat="1" hidden="1">
      <c r="A140" s="3" t="e" vm="137">
        <v>#VALUE!</v>
      </c>
      <c r="B140" s="17" t="e" vm="142">
        <v>#VALUE!</v>
      </c>
      <c r="C140" s="26"/>
      <c r="D140" s="37"/>
      <c r="E140" s="37"/>
      <c r="F140" s="38"/>
      <c r="G140" s="26"/>
      <c r="H140" s="37"/>
      <c r="I140" s="37"/>
      <c r="J140" s="38"/>
      <c r="K140" s="26"/>
      <c r="L140" s="37"/>
      <c r="M140" s="37"/>
      <c r="N140" s="38"/>
      <c r="O140" s="38"/>
      <c r="P140" s="26"/>
      <c r="Q140" s="37"/>
      <c r="R140" s="37"/>
      <c r="S140" s="38"/>
      <c r="T140" s="26"/>
      <c r="U140" s="37"/>
      <c r="V140" s="37"/>
      <c r="W140" s="38"/>
      <c r="X140" s="26"/>
      <c r="Y140" s="37"/>
      <c r="Z140" s="37"/>
      <c r="AA140" s="38"/>
      <c r="AB140" s="26"/>
      <c r="AC140" s="37"/>
      <c r="AD140" s="37"/>
      <c r="AE140" s="38"/>
      <c r="AF140" s="26"/>
      <c r="AG140" s="37"/>
      <c r="AH140" s="37"/>
      <c r="AI140" s="38"/>
      <c r="AJ140" s="26"/>
      <c r="AK140" s="37"/>
      <c r="AL140" s="37"/>
      <c r="AM140" s="38"/>
      <c r="AN140" s="26">
        <v>2500</v>
      </c>
      <c r="AO140" s="37">
        <v>2500</v>
      </c>
      <c r="AP140" s="37">
        <v>2500</v>
      </c>
      <c r="AQ140" s="38">
        <v>2500</v>
      </c>
      <c r="AR140" s="26"/>
      <c r="AS140" s="37"/>
      <c r="AT140" s="37"/>
      <c r="AU140" s="38"/>
      <c r="AV140" s="26"/>
      <c r="AW140" s="37"/>
      <c r="AX140" s="37"/>
      <c r="AY140" s="38"/>
      <c r="AZ140" s="26"/>
      <c r="BA140" s="37"/>
      <c r="BB140" s="37"/>
      <c r="BC140" s="38"/>
      <c r="BD140" s="26"/>
      <c r="BE140" s="37"/>
      <c r="BF140" s="37"/>
      <c r="BG140" s="38"/>
    </row>
    <row r="141" spans="1:59" s="24" customFormat="1" hidden="1">
      <c r="A141" s="3" t="e" vm="137">
        <v>#VALUE!</v>
      </c>
      <c r="B141" s="17" t="e" vm="143">
        <v>#VALUE!</v>
      </c>
      <c r="C141" s="26"/>
      <c r="D141" s="37"/>
      <c r="E141" s="37"/>
      <c r="F141" s="38"/>
      <c r="G141" s="26"/>
      <c r="H141" s="37"/>
      <c r="I141" s="37"/>
      <c r="J141" s="38"/>
      <c r="K141" s="26"/>
      <c r="L141" s="37"/>
      <c r="M141" s="37"/>
      <c r="N141" s="38"/>
      <c r="O141" s="38"/>
      <c r="P141" s="26"/>
      <c r="Q141" s="37"/>
      <c r="R141" s="37"/>
      <c r="S141" s="38"/>
      <c r="T141" s="26"/>
      <c r="U141" s="37"/>
      <c r="V141" s="37"/>
      <c r="W141" s="38"/>
      <c r="X141" s="26"/>
      <c r="Y141" s="37"/>
      <c r="Z141" s="37"/>
      <c r="AA141" s="38"/>
      <c r="AB141" s="26"/>
      <c r="AC141" s="37"/>
      <c r="AD141" s="37"/>
      <c r="AE141" s="38"/>
      <c r="AF141" s="26"/>
      <c r="AG141" s="37"/>
      <c r="AH141" s="37"/>
      <c r="AI141" s="38"/>
      <c r="AJ141" s="26"/>
      <c r="AK141" s="37"/>
      <c r="AL141" s="37"/>
      <c r="AM141" s="38"/>
      <c r="AN141" s="26">
        <v>2500</v>
      </c>
      <c r="AO141" s="37">
        <v>2500</v>
      </c>
      <c r="AP141" s="37">
        <v>2500</v>
      </c>
      <c r="AQ141" s="38">
        <v>2500</v>
      </c>
      <c r="AR141" s="26"/>
      <c r="AS141" s="37"/>
      <c r="AT141" s="37"/>
      <c r="AU141" s="38"/>
      <c r="AV141" s="26"/>
      <c r="AW141" s="37"/>
      <c r="AX141" s="37"/>
      <c r="AY141" s="38"/>
      <c r="AZ141" s="26"/>
      <c r="BA141" s="37"/>
      <c r="BB141" s="37"/>
      <c r="BC141" s="38"/>
      <c r="BD141" s="26"/>
      <c r="BE141" s="37"/>
      <c r="BF141" s="37"/>
      <c r="BG141" s="38"/>
    </row>
    <row r="142" spans="1:59" s="24" customFormat="1" hidden="1">
      <c r="A142" s="3" t="e" vm="137">
        <v>#VALUE!</v>
      </c>
      <c r="B142" s="20" t="e" vm="144">
        <v>#VALUE!</v>
      </c>
      <c r="C142" s="30"/>
      <c r="D142" s="43"/>
      <c r="E142" s="43"/>
      <c r="F142" s="44"/>
      <c r="G142" s="30"/>
      <c r="H142" s="43"/>
      <c r="I142" s="43"/>
      <c r="J142" s="44"/>
      <c r="K142" s="30"/>
      <c r="L142" s="43"/>
      <c r="M142" s="43"/>
      <c r="N142" s="44"/>
      <c r="O142" s="44"/>
      <c r="P142" s="30"/>
      <c r="Q142" s="43"/>
      <c r="R142" s="43"/>
      <c r="S142" s="44"/>
      <c r="T142" s="30"/>
      <c r="U142" s="43"/>
      <c r="V142" s="43"/>
      <c r="W142" s="44"/>
      <c r="X142" s="30"/>
      <c r="Y142" s="43"/>
      <c r="Z142" s="43"/>
      <c r="AA142" s="44"/>
      <c r="AB142" s="30"/>
      <c r="AC142" s="43"/>
      <c r="AD142" s="43"/>
      <c r="AE142" s="44"/>
      <c r="AF142" s="30"/>
      <c r="AG142" s="43"/>
      <c r="AH142" s="43"/>
      <c r="AI142" s="44"/>
      <c r="AJ142" s="30"/>
      <c r="AK142" s="43"/>
      <c r="AL142" s="43"/>
      <c r="AM142" s="44"/>
      <c r="AN142" s="30">
        <v>2500</v>
      </c>
      <c r="AO142" s="43">
        <v>2500</v>
      </c>
      <c r="AP142" s="43">
        <v>2500</v>
      </c>
      <c r="AQ142" s="44">
        <v>2500</v>
      </c>
      <c r="AR142" s="30"/>
      <c r="AS142" s="43"/>
      <c r="AT142" s="43"/>
      <c r="AU142" s="44"/>
      <c r="AV142" s="30"/>
      <c r="AW142" s="43"/>
      <c r="AX142" s="43"/>
      <c r="AY142" s="44"/>
      <c r="AZ142" s="30"/>
      <c r="BA142" s="43"/>
      <c r="BB142" s="43"/>
      <c r="BC142" s="44"/>
      <c r="BD142" s="30"/>
      <c r="BE142" s="43"/>
      <c r="BF142" s="43"/>
      <c r="BG142" s="44"/>
    </row>
    <row r="143" spans="1:59" s="24" customFormat="1" ht="15.75" hidden="1" thickBot="1">
      <c r="A143" s="3" t="e" vm="145">
        <v>#VALUE!</v>
      </c>
      <c r="B143" s="21" t="e" vm="146">
        <v>#VALUE!</v>
      </c>
      <c r="C143" s="31"/>
      <c r="D143" s="45"/>
      <c r="E143" s="45"/>
      <c r="F143" s="46"/>
      <c r="G143" s="31"/>
      <c r="H143" s="45"/>
      <c r="I143" s="45"/>
      <c r="J143" s="46"/>
      <c r="K143" s="31"/>
      <c r="L143" s="45"/>
      <c r="M143" s="45"/>
      <c r="N143" s="46"/>
      <c r="O143" s="46"/>
      <c r="P143" s="31"/>
      <c r="Q143" s="45"/>
      <c r="R143" s="45"/>
      <c r="S143" s="46"/>
      <c r="T143" s="31"/>
      <c r="U143" s="45"/>
      <c r="V143" s="45"/>
      <c r="W143" s="46"/>
      <c r="X143" s="31"/>
      <c r="Y143" s="45"/>
      <c r="Z143" s="45"/>
      <c r="AA143" s="46"/>
      <c r="AB143" s="31"/>
      <c r="AC143" s="45"/>
      <c r="AD143" s="45"/>
      <c r="AE143" s="46"/>
      <c r="AF143" s="31"/>
      <c r="AG143" s="45"/>
      <c r="AH143" s="45"/>
      <c r="AI143" s="46"/>
      <c r="AJ143" s="31">
        <v>4500</v>
      </c>
      <c r="AK143" s="45">
        <v>4500</v>
      </c>
      <c r="AL143" s="45">
        <v>4500</v>
      </c>
      <c r="AM143" s="46">
        <v>4700</v>
      </c>
      <c r="AN143" s="31"/>
      <c r="AO143" s="45"/>
      <c r="AP143" s="45"/>
      <c r="AQ143" s="46"/>
      <c r="AR143" s="31"/>
      <c r="AS143" s="45"/>
      <c r="AT143" s="45"/>
      <c r="AU143" s="46"/>
      <c r="AV143" s="31"/>
      <c r="AW143" s="45"/>
      <c r="AX143" s="45"/>
      <c r="AY143" s="46"/>
      <c r="AZ143" s="31"/>
      <c r="BA143" s="45"/>
      <c r="BB143" s="45"/>
      <c r="BC143" s="46"/>
      <c r="BD143" s="31"/>
      <c r="BE143" s="45"/>
      <c r="BF143" s="45"/>
      <c r="BG143" s="46"/>
    </row>
    <row r="144" spans="1:59" s="24" customFormat="1" hidden="1">
      <c r="A144" s="3" t="e" vm="147">
        <v>#VALUE!</v>
      </c>
      <c r="B144" s="16" t="e" vm="148">
        <v>#VALUE!</v>
      </c>
      <c r="C144" s="32">
        <v>3800</v>
      </c>
      <c r="D144" s="35">
        <v>3800</v>
      </c>
      <c r="E144" s="35">
        <v>3800</v>
      </c>
      <c r="F144" s="36">
        <v>3800</v>
      </c>
      <c r="G144" s="32"/>
      <c r="H144" s="35"/>
      <c r="I144" s="35"/>
      <c r="J144" s="36"/>
      <c r="K144" s="32"/>
      <c r="L144" s="35"/>
      <c r="M144" s="35"/>
      <c r="N144" s="36"/>
      <c r="O144" s="36"/>
      <c r="P144" s="32"/>
      <c r="Q144" s="35"/>
      <c r="R144" s="35"/>
      <c r="S144" s="36"/>
      <c r="T144" s="32"/>
      <c r="U144" s="35"/>
      <c r="V144" s="35"/>
      <c r="W144" s="36"/>
      <c r="X144" s="32"/>
      <c r="Y144" s="35"/>
      <c r="Z144" s="35"/>
      <c r="AA144" s="36"/>
      <c r="AB144" s="32"/>
      <c r="AC144" s="35"/>
      <c r="AD144" s="35"/>
      <c r="AE144" s="36"/>
      <c r="AF144" s="32"/>
      <c r="AG144" s="35"/>
      <c r="AH144" s="35"/>
      <c r="AI144" s="36"/>
      <c r="AJ144" s="32"/>
      <c r="AK144" s="35"/>
      <c r="AL144" s="35"/>
      <c r="AM144" s="36"/>
      <c r="AN144" s="32"/>
      <c r="AO144" s="35"/>
      <c r="AP144" s="35"/>
      <c r="AQ144" s="36"/>
      <c r="AR144" s="32"/>
      <c r="AS144" s="35"/>
      <c r="AT144" s="35"/>
      <c r="AU144" s="36"/>
      <c r="AV144" s="32"/>
      <c r="AW144" s="35"/>
      <c r="AX144" s="35"/>
      <c r="AY144" s="36"/>
      <c r="AZ144" s="32"/>
      <c r="BA144" s="35"/>
      <c r="BB144" s="35"/>
      <c r="BC144" s="36"/>
      <c r="BD144" s="32"/>
      <c r="BE144" s="35"/>
      <c r="BF144" s="35"/>
      <c r="BG144" s="36"/>
    </row>
    <row r="145" spans="1:59" s="24" customFormat="1" hidden="1">
      <c r="A145" s="49" t="e" vm="147">
        <v>#VALUE!</v>
      </c>
      <c r="B145" s="20" t="e" vm="149">
        <v>#VALUE!</v>
      </c>
      <c r="C145" s="30">
        <v>4200</v>
      </c>
      <c r="D145" s="43">
        <v>4200</v>
      </c>
      <c r="E145" s="43">
        <v>4200</v>
      </c>
      <c r="F145" s="44">
        <v>4200</v>
      </c>
      <c r="G145" s="30"/>
      <c r="H145" s="43"/>
      <c r="I145" s="43"/>
      <c r="J145" s="44"/>
      <c r="K145" s="30"/>
      <c r="L145" s="43"/>
      <c r="M145" s="43"/>
      <c r="N145" s="44"/>
      <c r="O145" s="44"/>
      <c r="P145" s="30"/>
      <c r="Q145" s="43"/>
      <c r="R145" s="43"/>
      <c r="S145" s="44"/>
      <c r="T145" s="30"/>
      <c r="U145" s="43"/>
      <c r="V145" s="43"/>
      <c r="W145" s="44"/>
      <c r="X145" s="30"/>
      <c r="Y145" s="43"/>
      <c r="Z145" s="43"/>
      <c r="AA145" s="44"/>
      <c r="AB145" s="30"/>
      <c r="AC145" s="43"/>
      <c r="AD145" s="43"/>
      <c r="AE145" s="44"/>
      <c r="AF145" s="30"/>
      <c r="AG145" s="43"/>
      <c r="AH145" s="43"/>
      <c r="AI145" s="44"/>
      <c r="AJ145" s="30"/>
      <c r="AK145" s="43"/>
      <c r="AL145" s="43"/>
      <c r="AM145" s="44"/>
      <c r="AN145" s="30"/>
      <c r="AO145" s="43"/>
      <c r="AP145" s="43"/>
      <c r="AQ145" s="44"/>
      <c r="AR145" s="30"/>
      <c r="AS145" s="43"/>
      <c r="AT145" s="43"/>
      <c r="AU145" s="44"/>
      <c r="AV145" s="30"/>
      <c r="AW145" s="43"/>
      <c r="AX145" s="43"/>
      <c r="AY145" s="44"/>
      <c r="AZ145" s="30"/>
      <c r="BA145" s="43"/>
      <c r="BB145" s="43"/>
      <c r="BC145" s="44"/>
      <c r="BD145" s="30"/>
      <c r="BE145" s="43"/>
      <c r="BF145" s="43"/>
      <c r="BG145" s="44"/>
    </row>
    <row r="149" spans="1:59" ht="32.25" hidden="1" thickBot="1">
      <c r="BD149" s="177" t="s">
        <v>327</v>
      </c>
      <c r="BE149" s="178"/>
      <c r="BF149" s="178"/>
      <c r="BG149" s="178"/>
    </row>
    <row r="150" spans="1:59" hidden="1">
      <c r="B150" s="176"/>
      <c r="BD150" s="169">
        <v>2884</v>
      </c>
      <c r="BE150" s="179"/>
      <c r="BF150" s="179"/>
      <c r="BG150" s="179"/>
    </row>
    <row r="151" spans="1:59" hidden="1">
      <c r="B151" s="176"/>
      <c r="BD151" s="169">
        <v>2884</v>
      </c>
      <c r="BE151" s="179"/>
      <c r="BF151" s="179"/>
      <c r="BG151" s="179"/>
    </row>
    <row r="152" spans="1:59" hidden="1">
      <c r="B152" s="176"/>
      <c r="BD152" s="169">
        <v>2884</v>
      </c>
      <c r="BE152" s="179"/>
      <c r="BF152" s="179"/>
      <c r="BG152" s="179"/>
    </row>
    <row r="153" spans="1:59" hidden="1">
      <c r="B153" s="176"/>
      <c r="BD153" s="169">
        <v>2884</v>
      </c>
      <c r="BE153" s="179"/>
      <c r="BF153" s="210"/>
      <c r="BG153" s="179"/>
    </row>
    <row r="154" spans="1:59" hidden="1">
      <c r="B154" s="176"/>
      <c r="BD154" s="169">
        <v>2884</v>
      </c>
      <c r="BE154" s="179"/>
      <c r="BF154" s="179"/>
      <c r="BG154" s="179"/>
    </row>
    <row r="155" spans="1:59" hidden="1">
      <c r="B155" s="176"/>
      <c r="BD155" s="169">
        <v>2884</v>
      </c>
      <c r="BE155" s="179"/>
      <c r="BF155" s="179"/>
      <c r="BG155" s="179"/>
    </row>
    <row r="156" spans="1:59" hidden="1">
      <c r="B156" s="176"/>
      <c r="BD156" s="169">
        <v>2884</v>
      </c>
      <c r="BE156" s="179"/>
      <c r="BF156" s="179"/>
      <c r="BG156" s="179"/>
    </row>
    <row r="157" spans="1:59" hidden="1">
      <c r="B157" s="176"/>
      <c r="BD157" s="169">
        <v>2884</v>
      </c>
      <c r="BE157" s="179"/>
      <c r="BF157" s="179"/>
      <c r="BG157" s="179"/>
    </row>
    <row r="158" spans="1:59" hidden="1">
      <c r="B158" s="176"/>
      <c r="BD158" s="169">
        <v>2884</v>
      </c>
      <c r="BE158" s="179"/>
      <c r="BF158" s="179"/>
      <c r="BG158" s="179"/>
    </row>
    <row r="159" spans="1:59" hidden="1">
      <c r="B159" s="176"/>
      <c r="BD159" s="169">
        <v>2884</v>
      </c>
      <c r="BE159" s="179"/>
      <c r="BF159" s="179"/>
      <c r="BG159" s="179"/>
    </row>
    <row r="160" spans="1:59" hidden="1">
      <c r="B160" s="176"/>
      <c r="BD160" s="169">
        <v>2884</v>
      </c>
      <c r="BE160" s="179"/>
      <c r="BF160" s="179"/>
      <c r="BG160" s="179"/>
    </row>
    <row r="161" spans="2:59" hidden="1">
      <c r="B161" s="176"/>
      <c r="BD161" s="169">
        <v>2884</v>
      </c>
      <c r="BE161" s="179"/>
      <c r="BF161" s="179"/>
      <c r="BG161" s="179"/>
    </row>
    <row r="162" spans="2:59" hidden="1">
      <c r="B162" s="176"/>
      <c r="BD162" s="169">
        <v>2884</v>
      </c>
      <c r="BE162" s="179"/>
      <c r="BF162" s="179"/>
      <c r="BG162" s="179"/>
    </row>
    <row r="163" spans="2:59" hidden="1">
      <c r="B163" s="176"/>
      <c r="BD163" s="169">
        <v>2884</v>
      </c>
      <c r="BE163" s="179"/>
      <c r="BF163" s="179"/>
      <c r="BG163" s="179"/>
    </row>
    <row r="164" spans="2:59" hidden="1">
      <c r="B164" s="176"/>
      <c r="BD164" s="169">
        <v>3090</v>
      </c>
      <c r="BE164" s="179"/>
      <c r="BF164" s="179"/>
      <c r="BG164" s="179"/>
    </row>
    <row r="165" spans="2:59" hidden="1">
      <c r="B165" s="176"/>
      <c r="BD165" s="169">
        <v>2884</v>
      </c>
      <c r="BE165" s="179"/>
      <c r="BF165" s="179"/>
      <c r="BG165" s="179"/>
    </row>
    <row r="166" spans="2:59" hidden="1">
      <c r="B166" s="176"/>
      <c r="BD166" s="169">
        <v>3914</v>
      </c>
      <c r="BE166" s="179"/>
      <c r="BF166" s="179"/>
      <c r="BG166" s="179"/>
    </row>
    <row r="167" spans="2:59" hidden="1">
      <c r="B167" s="176"/>
      <c r="BD167" s="169">
        <v>2884</v>
      </c>
      <c r="BE167" s="179"/>
      <c r="BF167" s="179"/>
      <c r="BG167" s="179"/>
    </row>
    <row r="168" spans="2:59" hidden="1">
      <c r="B168" s="176"/>
      <c r="BD168" s="169">
        <v>4100</v>
      </c>
      <c r="BE168" s="179"/>
      <c r="BF168" s="179"/>
      <c r="BG168" s="179"/>
    </row>
    <row r="169" spans="2:59" hidden="1">
      <c r="B169" s="176"/>
      <c r="BD169" s="169">
        <v>4223</v>
      </c>
      <c r="BE169" s="179"/>
      <c r="BF169" s="179"/>
      <c r="BG169" s="179"/>
    </row>
    <row r="170" spans="2:59" hidden="1">
      <c r="B170" s="176"/>
      <c r="BD170" s="169">
        <v>5480</v>
      </c>
      <c r="BE170" s="179"/>
      <c r="BF170" s="179"/>
      <c r="BG170" s="179"/>
    </row>
    <row r="171" spans="2:59" hidden="1">
      <c r="B171" s="176"/>
      <c r="BD171" s="169">
        <v>2884</v>
      </c>
      <c r="BE171" s="179"/>
      <c r="BF171" s="179"/>
      <c r="BG171" s="179"/>
    </row>
    <row r="172" spans="2:59" hidden="1">
      <c r="B172" s="176"/>
      <c r="BD172" s="169">
        <v>3296</v>
      </c>
      <c r="BE172" s="179"/>
      <c r="BF172" s="179"/>
      <c r="BG172" s="179"/>
    </row>
    <row r="173" spans="2:59" hidden="1">
      <c r="B173" s="176"/>
      <c r="BD173" s="169">
        <v>3296</v>
      </c>
      <c r="BE173" s="179"/>
      <c r="BF173" s="179"/>
      <c r="BG173" s="179"/>
    </row>
    <row r="174" spans="2:59" hidden="1">
      <c r="B174" s="176"/>
      <c r="BD174" s="169">
        <v>3811</v>
      </c>
      <c r="BE174" s="179"/>
      <c r="BF174" s="179"/>
      <c r="BG174" s="179"/>
    </row>
    <row r="175" spans="2:59" hidden="1">
      <c r="B175" s="176"/>
      <c r="BD175" s="169">
        <v>3914</v>
      </c>
      <c r="BE175" s="179"/>
      <c r="BF175" s="179"/>
      <c r="BG175" s="179"/>
    </row>
    <row r="176" spans="2:59" hidden="1">
      <c r="B176" s="176"/>
      <c r="BD176" s="169">
        <v>3811</v>
      </c>
      <c r="BE176" s="179"/>
      <c r="BF176" s="179"/>
      <c r="BG176" s="179"/>
    </row>
    <row r="177" hidden="1"/>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8948A-72C3-4A34-A953-F1D08EB07B94}">
  <dimension ref="B1:G147"/>
  <sheetViews>
    <sheetView zoomScale="85" zoomScaleNormal="85" workbookViewId="0">
      <selection activeCell="G3" sqref="G3"/>
    </sheetView>
  </sheetViews>
  <sheetFormatPr baseColWidth="10" defaultRowHeight="14.25"/>
  <cols>
    <col min="1" max="1" width="3" bestFit="1" customWidth="1"/>
    <col min="2" max="2" width="28.125" bestFit="1" customWidth="1"/>
    <col min="3" max="3" width="49.875" customWidth="1"/>
    <col min="4" max="4" width="22" customWidth="1"/>
    <col min="5" max="5" width="15.25" bestFit="1" customWidth="1"/>
    <col min="7" max="7" width="16.75" bestFit="1" customWidth="1"/>
    <col min="8" max="8" width="20.75" bestFit="1" customWidth="1"/>
    <col min="10" max="10" width="16.375" bestFit="1" customWidth="1"/>
  </cols>
  <sheetData>
    <row r="1" spans="2:7" ht="15">
      <c r="B1" s="23"/>
      <c r="C1" s="23"/>
      <c r="D1" s="77"/>
      <c r="E1" s="23"/>
      <c r="F1" s="23"/>
    </row>
    <row r="2" spans="2:7" ht="15.75">
      <c r="B2" s="80" t="s">
        <v>0</v>
      </c>
      <c r="C2" s="50" t="s">
        <v>19</v>
      </c>
      <c r="D2" s="50" t="s">
        <v>130</v>
      </c>
      <c r="E2" s="50" t="s">
        <v>131</v>
      </c>
      <c r="F2" s="81" t="s">
        <v>132</v>
      </c>
      <c r="G2" s="50" t="s">
        <v>335</v>
      </c>
    </row>
    <row r="3" spans="2:7" ht="15">
      <c r="B3" s="78" t="s">
        <v>110</v>
      </c>
      <c r="C3" s="1" t="s">
        <v>1</v>
      </c>
      <c r="D3" s="82">
        <v>13600000</v>
      </c>
      <c r="E3" s="82"/>
      <c r="F3" s="83"/>
      <c r="G3" s="23"/>
    </row>
    <row r="4" spans="2:7" ht="15">
      <c r="B4" s="78" t="s">
        <v>110</v>
      </c>
      <c r="C4" s="1" t="s">
        <v>231</v>
      </c>
      <c r="D4" s="82"/>
      <c r="E4" s="82"/>
      <c r="F4" s="83"/>
      <c r="G4" s="23"/>
    </row>
    <row r="5" spans="2:7" ht="15">
      <c r="B5" s="78" t="s">
        <v>110</v>
      </c>
      <c r="C5" s="1" t="s">
        <v>232</v>
      </c>
      <c r="D5" s="82"/>
      <c r="E5" s="82"/>
      <c r="F5" s="83"/>
      <c r="G5" s="23"/>
    </row>
    <row r="6" spans="2:7" ht="15">
      <c r="B6" s="78" t="s">
        <v>110</v>
      </c>
      <c r="C6" s="1" t="s">
        <v>233</v>
      </c>
      <c r="D6" s="82"/>
      <c r="E6" s="82"/>
      <c r="F6" s="83"/>
      <c r="G6" s="23"/>
    </row>
    <row r="7" spans="2:7" ht="15">
      <c r="B7" s="78" t="s">
        <v>110</v>
      </c>
      <c r="C7" s="1" t="s">
        <v>234</v>
      </c>
      <c r="D7" s="82"/>
      <c r="E7" s="82"/>
      <c r="F7" s="83"/>
      <c r="G7" s="23"/>
    </row>
    <row r="8" spans="2:7" ht="15">
      <c r="B8" s="78" t="s">
        <v>110</v>
      </c>
      <c r="C8" s="1" t="s">
        <v>235</v>
      </c>
      <c r="D8" s="82"/>
      <c r="E8" s="82"/>
      <c r="F8" s="83"/>
      <c r="G8" s="23"/>
    </row>
    <row r="9" spans="2:7" ht="15">
      <c r="B9" s="78" t="s">
        <v>110</v>
      </c>
      <c r="C9" s="1" t="s">
        <v>236</v>
      </c>
      <c r="D9" s="82"/>
      <c r="E9" s="82"/>
      <c r="F9" s="83"/>
      <c r="G9" s="23"/>
    </row>
    <row r="10" spans="2:7" ht="15">
      <c r="B10" s="78" t="s">
        <v>110</v>
      </c>
      <c r="C10" s="1" t="s">
        <v>237</v>
      </c>
      <c r="D10" s="82"/>
      <c r="E10" s="82"/>
      <c r="F10" s="83"/>
      <c r="G10" s="23"/>
    </row>
    <row r="11" spans="2:7" ht="15">
      <c r="B11" s="78" t="s">
        <v>110</v>
      </c>
      <c r="C11" s="1" t="s">
        <v>238</v>
      </c>
      <c r="D11" s="82"/>
      <c r="E11" s="82"/>
      <c r="F11" s="83"/>
      <c r="G11" s="23"/>
    </row>
    <row r="12" spans="2:7" ht="15">
      <c r="B12" s="78" t="s">
        <v>2</v>
      </c>
      <c r="C12" s="1" t="s">
        <v>2</v>
      </c>
      <c r="D12" s="82">
        <v>4800000</v>
      </c>
      <c r="E12" s="82"/>
      <c r="F12" s="83"/>
      <c r="G12" s="23"/>
    </row>
    <row r="13" spans="2:7" ht="15">
      <c r="B13" s="78" t="s">
        <v>2</v>
      </c>
      <c r="C13" s="1" t="s">
        <v>239</v>
      </c>
      <c r="D13" s="82"/>
      <c r="E13" s="82"/>
      <c r="F13" s="83"/>
      <c r="G13" s="23"/>
    </row>
    <row r="14" spans="2:7" ht="15">
      <c r="B14" s="78" t="s">
        <v>2</v>
      </c>
      <c r="C14" s="1" t="s">
        <v>240</v>
      </c>
      <c r="D14" s="82"/>
      <c r="E14" s="82"/>
      <c r="F14" s="83"/>
      <c r="G14" s="23"/>
    </row>
    <row r="15" spans="2:7" ht="15">
      <c r="B15" s="78" t="s">
        <v>2</v>
      </c>
      <c r="C15" s="1" t="s">
        <v>241</v>
      </c>
      <c r="D15" s="82"/>
      <c r="E15" s="82"/>
      <c r="F15" s="83"/>
      <c r="G15" s="23"/>
    </row>
    <row r="16" spans="2:7" ht="15">
      <c r="B16" s="78" t="s">
        <v>111</v>
      </c>
      <c r="C16" s="1" t="s">
        <v>20</v>
      </c>
      <c r="D16" s="82">
        <v>9500000</v>
      </c>
      <c r="E16" s="82"/>
      <c r="F16" s="83"/>
      <c r="G16" s="23"/>
    </row>
    <row r="17" spans="2:7" ht="15">
      <c r="B17" s="78" t="s">
        <v>112</v>
      </c>
      <c r="C17" s="1" t="s">
        <v>133</v>
      </c>
      <c r="D17" s="82">
        <v>1600000</v>
      </c>
      <c r="E17" s="82"/>
      <c r="F17" s="83"/>
      <c r="G17" s="23"/>
    </row>
    <row r="18" spans="2:7" ht="15">
      <c r="B18" s="78" t="s">
        <v>112</v>
      </c>
      <c r="C18" s="1" t="s">
        <v>242</v>
      </c>
      <c r="D18" s="82"/>
      <c r="E18" s="82"/>
      <c r="F18" s="83"/>
      <c r="G18" s="23"/>
    </row>
    <row r="19" spans="2:7" ht="15">
      <c r="B19" s="78" t="s">
        <v>112</v>
      </c>
      <c r="C19" s="1" t="s">
        <v>243</v>
      </c>
      <c r="D19" s="82"/>
      <c r="E19" s="82"/>
      <c r="F19" s="83"/>
      <c r="G19" s="23"/>
    </row>
    <row r="20" spans="2:7" ht="15">
      <c r="B20" s="78" t="s">
        <v>112</v>
      </c>
      <c r="C20" s="1" t="s">
        <v>244</v>
      </c>
      <c r="D20" s="82"/>
      <c r="E20" s="82"/>
      <c r="F20" s="83"/>
      <c r="G20" s="23"/>
    </row>
    <row r="21" spans="2:7" ht="15">
      <c r="B21" s="78" t="s">
        <v>112</v>
      </c>
      <c r="C21" s="1" t="s">
        <v>245</v>
      </c>
      <c r="D21" s="82"/>
      <c r="E21" s="82"/>
      <c r="F21" s="83"/>
      <c r="G21" s="23"/>
    </row>
    <row r="22" spans="2:7" ht="15">
      <c r="B22" s="78" t="s">
        <v>113</v>
      </c>
      <c r="C22" s="1" t="s">
        <v>3</v>
      </c>
      <c r="D22" s="82">
        <v>9300000</v>
      </c>
      <c r="E22" s="82"/>
      <c r="F22" s="83"/>
      <c r="G22" s="23"/>
    </row>
    <row r="23" spans="2:7" ht="15">
      <c r="B23" s="78" t="s">
        <v>113</v>
      </c>
      <c r="C23" s="1" t="s">
        <v>246</v>
      </c>
      <c r="D23" s="82"/>
      <c r="E23" s="82"/>
      <c r="F23" s="83"/>
      <c r="G23" s="23"/>
    </row>
    <row r="24" spans="2:7" ht="15">
      <c r="B24" s="78" t="s">
        <v>113</v>
      </c>
      <c r="C24" s="1" t="s">
        <v>247</v>
      </c>
      <c r="D24" s="82"/>
      <c r="E24" s="82"/>
      <c r="F24" s="83"/>
      <c r="G24" s="23"/>
    </row>
    <row r="25" spans="2:7" ht="15">
      <c r="B25" s="78" t="s">
        <v>113</v>
      </c>
      <c r="C25" s="1" t="s">
        <v>248</v>
      </c>
      <c r="D25" s="82"/>
      <c r="E25" s="82"/>
      <c r="F25" s="83"/>
      <c r="G25" s="23"/>
    </row>
    <row r="26" spans="2:7" ht="15">
      <c r="B26" s="78" t="s">
        <v>113</v>
      </c>
      <c r="C26" s="1" t="s">
        <v>249</v>
      </c>
      <c r="D26" s="82"/>
      <c r="E26" s="82"/>
      <c r="F26" s="83"/>
      <c r="G26" s="23"/>
    </row>
    <row r="27" spans="2:7" ht="15">
      <c r="B27" s="78" t="s">
        <v>113</v>
      </c>
      <c r="C27" s="1" t="s">
        <v>250</v>
      </c>
      <c r="D27" s="82"/>
      <c r="E27" s="82"/>
      <c r="F27" s="83"/>
      <c r="G27" s="23"/>
    </row>
    <row r="28" spans="2:7" ht="15">
      <c r="B28" s="78" t="s">
        <v>113</v>
      </c>
      <c r="C28" s="1" t="s">
        <v>251</v>
      </c>
      <c r="D28" s="82"/>
      <c r="E28" s="82"/>
      <c r="F28" s="83"/>
      <c r="G28" s="23"/>
    </row>
    <row r="29" spans="2:7" ht="15">
      <c r="B29" s="78" t="s">
        <v>113</v>
      </c>
      <c r="C29" s="1" t="s">
        <v>252</v>
      </c>
      <c r="D29" s="82"/>
      <c r="E29" s="82"/>
      <c r="F29" s="83"/>
      <c r="G29" s="23"/>
    </row>
    <row r="30" spans="2:7" ht="15">
      <c r="B30" s="78" t="s">
        <v>113</v>
      </c>
      <c r="C30" s="1" t="s">
        <v>253</v>
      </c>
      <c r="D30" s="82"/>
      <c r="E30" s="82"/>
      <c r="F30" s="83"/>
      <c r="G30" s="23"/>
    </row>
    <row r="31" spans="2:7" ht="15">
      <c r="B31" s="78" t="s">
        <v>113</v>
      </c>
      <c r="C31" s="1" t="s">
        <v>254</v>
      </c>
      <c r="D31" s="82"/>
      <c r="E31" s="82"/>
      <c r="F31" s="83"/>
      <c r="G31" s="23"/>
    </row>
    <row r="32" spans="2:7" ht="15">
      <c r="B32" s="78" t="s">
        <v>114</v>
      </c>
      <c r="C32" s="2" t="s">
        <v>255</v>
      </c>
      <c r="D32" s="84">
        <v>6800000</v>
      </c>
      <c r="E32" s="84"/>
      <c r="F32" s="85"/>
      <c r="G32" s="23"/>
    </row>
    <row r="33" spans="2:7" ht="15">
      <c r="B33" s="78" t="s">
        <v>114</v>
      </c>
      <c r="C33" s="1" t="s">
        <v>4</v>
      </c>
      <c r="D33" s="82"/>
      <c r="E33" s="82"/>
      <c r="F33" s="83"/>
      <c r="G33" s="23"/>
    </row>
    <row r="34" spans="2:7" ht="15">
      <c r="B34" s="78" t="s">
        <v>115</v>
      </c>
      <c r="C34" s="1" t="s">
        <v>5</v>
      </c>
      <c r="D34" s="82">
        <v>3200000</v>
      </c>
      <c r="E34" s="82"/>
      <c r="F34" s="83"/>
      <c r="G34" s="23"/>
    </row>
    <row r="35" spans="2:7" ht="15">
      <c r="B35" s="78" t="s">
        <v>115</v>
      </c>
      <c r="C35" s="1" t="s">
        <v>256</v>
      </c>
      <c r="D35" s="82"/>
      <c r="E35" s="82"/>
      <c r="F35" s="83"/>
      <c r="G35" s="23"/>
    </row>
    <row r="36" spans="2:7" ht="15">
      <c r="B36" s="78" t="s">
        <v>115</v>
      </c>
      <c r="C36" s="1" t="s">
        <v>257</v>
      </c>
      <c r="D36" s="82"/>
      <c r="E36" s="82"/>
      <c r="F36" s="83"/>
      <c r="G36" s="23"/>
    </row>
    <row r="37" spans="2:7" ht="15">
      <c r="B37" s="78" t="s">
        <v>115</v>
      </c>
      <c r="C37" s="1" t="s">
        <v>258</v>
      </c>
      <c r="D37" s="82"/>
      <c r="E37" s="82"/>
      <c r="F37" s="83"/>
      <c r="G37" s="23"/>
    </row>
    <row r="38" spans="2:7" ht="15">
      <c r="B38" s="78" t="s">
        <v>115</v>
      </c>
      <c r="C38" s="1" t="s">
        <v>21</v>
      </c>
      <c r="D38" s="82"/>
      <c r="E38" s="82"/>
      <c r="F38" s="83"/>
      <c r="G38" s="23"/>
    </row>
    <row r="39" spans="2:7" ht="15">
      <c r="B39" s="78" t="s">
        <v>115</v>
      </c>
      <c r="C39" s="1" t="s">
        <v>259</v>
      </c>
      <c r="D39" s="82"/>
      <c r="E39" s="82"/>
      <c r="F39" s="83"/>
      <c r="G39" s="23"/>
    </row>
    <row r="40" spans="2:7" ht="15">
      <c r="B40" s="78" t="s">
        <v>115</v>
      </c>
      <c r="C40" s="1" t="s">
        <v>260</v>
      </c>
      <c r="D40" s="82"/>
      <c r="E40" s="82"/>
      <c r="F40" s="83"/>
      <c r="G40" s="23"/>
    </row>
    <row r="41" spans="2:7" ht="15">
      <c r="B41" s="78" t="s">
        <v>116</v>
      </c>
      <c r="C41" s="1" t="s">
        <v>6</v>
      </c>
      <c r="D41" s="82">
        <v>3200000</v>
      </c>
      <c r="E41" s="82"/>
      <c r="F41" s="83"/>
      <c r="G41" s="23"/>
    </row>
    <row r="42" spans="2:7" ht="15">
      <c r="B42" s="78" t="s">
        <v>116</v>
      </c>
      <c r="C42" s="1" t="s">
        <v>261</v>
      </c>
      <c r="D42" s="82"/>
      <c r="E42" s="82"/>
      <c r="F42" s="83"/>
      <c r="G42" s="23"/>
    </row>
    <row r="43" spans="2:7" ht="15">
      <c r="B43" s="78" t="s">
        <v>116</v>
      </c>
      <c r="C43" s="1" t="s">
        <v>262</v>
      </c>
      <c r="D43" s="82"/>
      <c r="E43" s="82"/>
      <c r="F43" s="83"/>
      <c r="G43" s="23"/>
    </row>
    <row r="44" spans="2:7" ht="15">
      <c r="B44" s="78" t="s">
        <v>116</v>
      </c>
      <c r="C44" s="1" t="s">
        <v>263</v>
      </c>
      <c r="D44" s="82"/>
      <c r="E44" s="82"/>
      <c r="F44" s="83"/>
      <c r="G44" s="23"/>
    </row>
    <row r="45" spans="2:7" ht="15">
      <c r="B45" s="78" t="s">
        <v>116</v>
      </c>
      <c r="C45" s="1" t="s">
        <v>264</v>
      </c>
      <c r="D45" s="82"/>
      <c r="E45" s="82"/>
      <c r="F45" s="83"/>
      <c r="G45" s="23"/>
    </row>
    <row r="46" spans="2:7" ht="15">
      <c r="B46" s="78" t="s">
        <v>116</v>
      </c>
      <c r="C46" s="1" t="s">
        <v>265</v>
      </c>
      <c r="D46" s="82"/>
      <c r="E46" s="82"/>
      <c r="F46" s="83"/>
      <c r="G46" s="23"/>
    </row>
    <row r="47" spans="2:7" ht="15">
      <c r="B47" s="78" t="s">
        <v>116</v>
      </c>
      <c r="C47" s="1" t="s">
        <v>266</v>
      </c>
      <c r="D47" s="82"/>
      <c r="E47" s="82"/>
      <c r="F47" s="83"/>
      <c r="G47" s="23"/>
    </row>
    <row r="48" spans="2:7" ht="15">
      <c r="B48" s="78" t="s">
        <v>117</v>
      </c>
      <c r="C48" s="1" t="s">
        <v>7</v>
      </c>
      <c r="D48" s="82">
        <v>3200000</v>
      </c>
      <c r="E48" s="82"/>
      <c r="F48" s="83"/>
      <c r="G48" s="23"/>
    </row>
    <row r="49" spans="2:7" ht="15">
      <c r="B49" s="78" t="s">
        <v>117</v>
      </c>
      <c r="C49" s="1" t="s">
        <v>267</v>
      </c>
      <c r="D49" s="82"/>
      <c r="E49" s="82"/>
      <c r="F49" s="83"/>
      <c r="G49" s="23"/>
    </row>
    <row r="50" spans="2:7" ht="15">
      <c r="B50" s="78" t="s">
        <v>117</v>
      </c>
      <c r="C50" s="1" t="s">
        <v>268</v>
      </c>
      <c r="D50" s="82"/>
      <c r="E50" s="82"/>
      <c r="F50" s="83"/>
      <c r="G50" s="23"/>
    </row>
    <row r="51" spans="2:7" ht="15">
      <c r="B51" s="78" t="s">
        <v>118</v>
      </c>
      <c r="C51" s="1" t="s">
        <v>8</v>
      </c>
      <c r="D51" s="82"/>
      <c r="E51" s="82"/>
      <c r="F51" s="83"/>
      <c r="G51" s="23"/>
    </row>
    <row r="52" spans="2:7" ht="15">
      <c r="B52" s="78" t="s">
        <v>118</v>
      </c>
      <c r="C52" s="1" t="s">
        <v>203</v>
      </c>
      <c r="D52" s="82">
        <v>9300000</v>
      </c>
      <c r="E52" s="82"/>
      <c r="F52" s="83"/>
      <c r="G52" s="23"/>
    </row>
    <row r="53" spans="2:7" ht="15">
      <c r="B53" s="78" t="s">
        <v>118</v>
      </c>
      <c r="C53" s="1" t="s">
        <v>269</v>
      </c>
      <c r="D53" s="82"/>
      <c r="E53" s="82"/>
      <c r="F53" s="83"/>
      <c r="G53" s="23"/>
    </row>
    <row r="54" spans="2:7" ht="15">
      <c r="B54" s="78" t="s">
        <v>118</v>
      </c>
      <c r="C54" s="1" t="s">
        <v>270</v>
      </c>
      <c r="D54" s="82"/>
      <c r="E54" s="82"/>
      <c r="F54" s="83"/>
      <c r="G54" s="23"/>
    </row>
    <row r="55" spans="2:7" ht="15">
      <c r="B55" s="78" t="s">
        <v>118</v>
      </c>
      <c r="C55" s="1" t="s">
        <v>271</v>
      </c>
      <c r="D55" s="82"/>
      <c r="E55" s="82"/>
      <c r="F55" s="83"/>
      <c r="G55" s="23"/>
    </row>
    <row r="56" spans="2:7" ht="15">
      <c r="B56" s="78" t="s">
        <v>118</v>
      </c>
      <c r="C56" s="1" t="s">
        <v>272</v>
      </c>
      <c r="D56" s="82"/>
      <c r="E56" s="82"/>
      <c r="F56" s="83"/>
      <c r="G56" s="23"/>
    </row>
    <row r="57" spans="2:7" ht="15">
      <c r="B57" s="78" t="s">
        <v>273</v>
      </c>
      <c r="C57" s="1" t="s">
        <v>274</v>
      </c>
      <c r="D57" s="82"/>
      <c r="E57" s="82"/>
      <c r="F57" s="83"/>
      <c r="G57" s="23"/>
    </row>
    <row r="58" spans="2:7" ht="15">
      <c r="B58" s="78" t="s">
        <v>273</v>
      </c>
      <c r="C58" s="1" t="s">
        <v>273</v>
      </c>
      <c r="D58" s="82"/>
      <c r="E58" s="82"/>
      <c r="F58" s="83"/>
      <c r="G58" s="23"/>
    </row>
    <row r="59" spans="2:7" ht="15">
      <c r="B59" s="78" t="s">
        <v>119</v>
      </c>
      <c r="C59" s="1" t="s">
        <v>9</v>
      </c>
      <c r="D59" s="82">
        <v>6200000</v>
      </c>
      <c r="E59" s="82"/>
      <c r="F59" s="83"/>
      <c r="G59" s="23"/>
    </row>
    <row r="60" spans="2:7" ht="15">
      <c r="B60" s="78" t="s">
        <v>119</v>
      </c>
      <c r="C60" s="1" t="s">
        <v>275</v>
      </c>
      <c r="D60" s="82"/>
      <c r="E60" s="82"/>
      <c r="F60" s="83"/>
      <c r="G60" s="23"/>
    </row>
    <row r="61" spans="2:7" ht="15">
      <c r="B61" s="78" t="s">
        <v>119</v>
      </c>
      <c r="C61" s="1" t="s">
        <v>276</v>
      </c>
      <c r="D61" s="82"/>
      <c r="E61" s="82"/>
      <c r="F61" s="83"/>
      <c r="G61" s="23"/>
    </row>
    <row r="62" spans="2:7" ht="15">
      <c r="B62" s="78" t="s">
        <v>119</v>
      </c>
      <c r="C62" s="1" t="s">
        <v>277</v>
      </c>
      <c r="D62" s="82"/>
      <c r="E62" s="82"/>
      <c r="F62" s="83"/>
      <c r="G62" s="23"/>
    </row>
    <row r="63" spans="2:7" ht="15">
      <c r="B63" s="78" t="s">
        <v>119</v>
      </c>
      <c r="C63" s="1" t="s">
        <v>278</v>
      </c>
      <c r="D63" s="82"/>
      <c r="E63" s="82"/>
      <c r="F63" s="83"/>
      <c r="G63" s="23"/>
    </row>
    <row r="64" spans="2:7" ht="15">
      <c r="B64" s="78" t="s">
        <v>119</v>
      </c>
      <c r="C64" s="1" t="s">
        <v>279</v>
      </c>
      <c r="D64" s="82"/>
      <c r="E64" s="82"/>
      <c r="F64" s="83"/>
      <c r="G64" s="23"/>
    </row>
    <row r="65" spans="2:7" ht="15">
      <c r="B65" s="78" t="s">
        <v>119</v>
      </c>
      <c r="C65" s="1" t="s">
        <v>280</v>
      </c>
      <c r="D65" s="82"/>
      <c r="E65" s="82"/>
      <c r="F65" s="83"/>
      <c r="G65" s="23"/>
    </row>
    <row r="66" spans="2:7" ht="15">
      <c r="B66" s="78" t="s">
        <v>119</v>
      </c>
      <c r="C66" s="1" t="s">
        <v>281</v>
      </c>
      <c r="D66" s="82"/>
      <c r="E66" s="82"/>
      <c r="F66" s="83"/>
      <c r="G66" s="23"/>
    </row>
    <row r="67" spans="2:7" ht="15">
      <c r="B67" s="78" t="s">
        <v>119</v>
      </c>
      <c r="C67" s="1" t="s">
        <v>282</v>
      </c>
      <c r="D67" s="82"/>
      <c r="E67" s="82"/>
      <c r="F67" s="83"/>
      <c r="G67" s="23"/>
    </row>
    <row r="68" spans="2:7" ht="15">
      <c r="B68" s="78" t="s">
        <v>119</v>
      </c>
      <c r="C68" s="1" t="s">
        <v>283</v>
      </c>
      <c r="D68" s="82"/>
      <c r="E68" s="82"/>
      <c r="F68" s="83"/>
      <c r="G68" s="23"/>
    </row>
    <row r="69" spans="2:7" ht="15">
      <c r="B69" s="78" t="s">
        <v>120</v>
      </c>
      <c r="C69" s="74" t="s">
        <v>168</v>
      </c>
      <c r="D69" s="82">
        <v>60000000</v>
      </c>
      <c r="E69" s="82"/>
      <c r="F69" s="83"/>
      <c r="G69" s="23"/>
    </row>
    <row r="70" spans="2:7" ht="15">
      <c r="B70" s="78" t="s">
        <v>120</v>
      </c>
      <c r="C70" s="74" t="s">
        <v>169</v>
      </c>
      <c r="D70" s="82">
        <v>40000000</v>
      </c>
      <c r="E70" s="82"/>
      <c r="F70" s="83"/>
      <c r="G70" s="23"/>
    </row>
    <row r="71" spans="2:7" ht="15">
      <c r="B71" s="78" t="s">
        <v>120</v>
      </c>
      <c r="C71" s="74" t="s">
        <v>204</v>
      </c>
      <c r="D71" s="82">
        <v>7500000</v>
      </c>
      <c r="E71" s="82"/>
      <c r="F71" s="83"/>
      <c r="G71" s="23"/>
    </row>
    <row r="72" spans="2:7" ht="15">
      <c r="B72" s="78" t="s">
        <v>120</v>
      </c>
      <c r="C72" s="74" t="s">
        <v>205</v>
      </c>
      <c r="D72" s="82">
        <v>7500000</v>
      </c>
      <c r="E72" s="82"/>
      <c r="F72" s="83"/>
      <c r="G72" s="23"/>
    </row>
    <row r="73" spans="2:7" ht="15">
      <c r="B73" s="78" t="s">
        <v>120</v>
      </c>
      <c r="C73" s="74" t="s">
        <v>172</v>
      </c>
      <c r="D73" s="82">
        <v>1000000</v>
      </c>
      <c r="E73" s="82"/>
      <c r="F73" s="83"/>
      <c r="G73" s="23"/>
    </row>
    <row r="74" spans="2:7" ht="15">
      <c r="B74" s="78" t="s">
        <v>120</v>
      </c>
      <c r="C74" s="74" t="s">
        <v>173</v>
      </c>
      <c r="D74" s="82">
        <v>27000000</v>
      </c>
      <c r="E74" s="82"/>
      <c r="F74" s="83"/>
      <c r="G74" s="23"/>
    </row>
    <row r="75" spans="2:7" ht="15">
      <c r="B75" s="78" t="s">
        <v>120</v>
      </c>
      <c r="C75" s="74" t="s">
        <v>174</v>
      </c>
      <c r="D75" s="82">
        <v>7500000</v>
      </c>
      <c r="E75" s="82"/>
      <c r="F75" s="83"/>
      <c r="G75" s="23"/>
    </row>
    <row r="76" spans="2:7" ht="15">
      <c r="B76" s="78" t="s">
        <v>120</v>
      </c>
      <c r="C76" s="74" t="s">
        <v>175</v>
      </c>
      <c r="D76" s="82">
        <v>7500000</v>
      </c>
      <c r="E76" s="82"/>
      <c r="F76" s="83"/>
      <c r="G76" s="23"/>
    </row>
    <row r="77" spans="2:7" ht="15">
      <c r="B77" s="78" t="s">
        <v>120</v>
      </c>
      <c r="C77" s="74" t="s">
        <v>176</v>
      </c>
      <c r="D77" s="82">
        <v>2500000</v>
      </c>
      <c r="E77" s="82"/>
      <c r="F77" s="83"/>
      <c r="G77" s="23"/>
    </row>
    <row r="78" spans="2:7" ht="15">
      <c r="B78" s="78" t="s">
        <v>120</v>
      </c>
      <c r="C78" s="74" t="s">
        <v>177</v>
      </c>
      <c r="D78" s="82">
        <v>2500000</v>
      </c>
      <c r="E78" s="82"/>
      <c r="F78" s="83"/>
      <c r="G78" s="23"/>
    </row>
    <row r="79" spans="2:7" ht="15">
      <c r="B79" s="78" t="s">
        <v>120</v>
      </c>
      <c r="C79" s="1" t="s">
        <v>22</v>
      </c>
      <c r="D79" s="82"/>
      <c r="E79" s="82"/>
      <c r="F79" s="83"/>
      <c r="G79" s="23"/>
    </row>
    <row r="80" spans="2:7" ht="15">
      <c r="B80" s="78" t="s">
        <v>120</v>
      </c>
      <c r="C80" s="1" t="s">
        <v>206</v>
      </c>
      <c r="D80" s="82"/>
      <c r="E80" s="82"/>
      <c r="F80" s="83"/>
      <c r="G80" s="23"/>
    </row>
    <row r="81" spans="2:7" ht="15">
      <c r="B81" s="78" t="s">
        <v>120</v>
      </c>
      <c r="C81" s="1" t="s">
        <v>207</v>
      </c>
      <c r="D81" s="82"/>
      <c r="E81" s="82"/>
      <c r="F81" s="83"/>
      <c r="G81" s="23"/>
    </row>
    <row r="82" spans="2:7" ht="15">
      <c r="B82" s="78" t="s">
        <v>120</v>
      </c>
      <c r="C82" s="1" t="s">
        <v>208</v>
      </c>
      <c r="D82" s="82"/>
      <c r="E82" s="82"/>
      <c r="F82" s="83"/>
      <c r="G82" s="23"/>
    </row>
    <row r="83" spans="2:7" ht="15">
      <c r="B83" s="78" t="s">
        <v>120</v>
      </c>
      <c r="C83" s="1" t="s">
        <v>209</v>
      </c>
      <c r="D83" s="82"/>
      <c r="E83" s="82"/>
      <c r="F83" s="83"/>
      <c r="G83" s="23"/>
    </row>
    <row r="84" spans="2:7" ht="15">
      <c r="B84" s="78" t="s">
        <v>120</v>
      </c>
      <c r="C84" s="1" t="s">
        <v>146</v>
      </c>
      <c r="D84" s="82"/>
      <c r="E84" s="82"/>
      <c r="F84" s="83"/>
      <c r="G84" s="23"/>
    </row>
    <row r="85" spans="2:7" ht="15">
      <c r="B85" s="78" t="s">
        <v>120</v>
      </c>
      <c r="C85" s="1" t="s">
        <v>167</v>
      </c>
      <c r="D85" s="82"/>
      <c r="E85" s="82"/>
      <c r="F85" s="83"/>
      <c r="G85" s="23"/>
    </row>
    <row r="86" spans="2:7" ht="15">
      <c r="B86" s="78" t="s">
        <v>120</v>
      </c>
      <c r="C86" s="1" t="s">
        <v>210</v>
      </c>
      <c r="D86" s="82"/>
      <c r="E86" s="82"/>
      <c r="F86" s="83"/>
      <c r="G86" s="23"/>
    </row>
    <row r="87" spans="2:7" ht="15">
      <c r="B87" s="78" t="s">
        <v>120</v>
      </c>
      <c r="C87" s="1" t="s">
        <v>211</v>
      </c>
      <c r="D87" s="82"/>
      <c r="E87" s="82"/>
      <c r="F87" s="83"/>
      <c r="G87" s="23"/>
    </row>
    <row r="88" spans="2:7" ht="15">
      <c r="B88" s="78" t="s">
        <v>120</v>
      </c>
      <c r="C88" s="1" t="s">
        <v>212</v>
      </c>
      <c r="D88" s="82"/>
      <c r="E88" s="82"/>
      <c r="F88" s="83"/>
      <c r="G88" s="23"/>
    </row>
    <row r="89" spans="2:7" ht="15">
      <c r="B89" s="78" t="s">
        <v>120</v>
      </c>
      <c r="C89" s="1" t="s">
        <v>213</v>
      </c>
      <c r="D89" s="82"/>
      <c r="E89" s="82"/>
      <c r="F89" s="83"/>
      <c r="G89" s="23"/>
    </row>
    <row r="90" spans="2:7" ht="15">
      <c r="B90" s="78" t="s">
        <v>120</v>
      </c>
      <c r="C90" s="1" t="s">
        <v>214</v>
      </c>
      <c r="D90" s="82"/>
      <c r="E90" s="82"/>
      <c r="F90" s="83"/>
      <c r="G90" s="23"/>
    </row>
    <row r="91" spans="2:7" ht="15">
      <c r="B91" s="78" t="s">
        <v>120</v>
      </c>
      <c r="C91" s="1" t="s">
        <v>215</v>
      </c>
      <c r="D91" s="82"/>
      <c r="E91" s="82"/>
      <c r="F91" s="83"/>
      <c r="G91" s="23"/>
    </row>
    <row r="92" spans="2:7" ht="15">
      <c r="B92" s="78" t="s">
        <v>120</v>
      </c>
      <c r="C92" s="1" t="s">
        <v>206</v>
      </c>
      <c r="D92" s="82"/>
      <c r="E92" s="82"/>
      <c r="F92" s="83"/>
      <c r="G92" s="23"/>
    </row>
    <row r="93" spans="2:7" ht="15">
      <c r="B93" s="78" t="s">
        <v>120</v>
      </c>
      <c r="C93" s="1" t="s">
        <v>284</v>
      </c>
      <c r="D93" s="82"/>
      <c r="E93" s="82"/>
      <c r="F93" s="83"/>
      <c r="G93" s="23"/>
    </row>
    <row r="94" spans="2:7" ht="15">
      <c r="B94" s="78" t="s">
        <v>120</v>
      </c>
      <c r="C94" s="1" t="s">
        <v>285</v>
      </c>
      <c r="D94" s="82"/>
      <c r="E94" s="82"/>
      <c r="F94" s="83"/>
      <c r="G94" s="23"/>
    </row>
    <row r="95" spans="2:7" ht="15">
      <c r="B95" s="78" t="s">
        <v>120</v>
      </c>
      <c r="C95" s="1" t="s">
        <v>286</v>
      </c>
      <c r="D95" s="82"/>
      <c r="E95" s="82"/>
      <c r="F95" s="83"/>
      <c r="G95" s="23"/>
    </row>
    <row r="96" spans="2:7" ht="15">
      <c r="B96" s="78" t="s">
        <v>120</v>
      </c>
      <c r="C96" s="1" t="s">
        <v>287</v>
      </c>
      <c r="D96" s="82"/>
      <c r="E96" s="82"/>
      <c r="F96" s="83"/>
      <c r="G96" s="23"/>
    </row>
    <row r="97" spans="2:7" ht="15">
      <c r="B97" s="78" t="s">
        <v>121</v>
      </c>
      <c r="C97" s="1" t="s">
        <v>10</v>
      </c>
      <c r="D97" s="82">
        <v>3200000</v>
      </c>
      <c r="E97" s="82"/>
      <c r="F97" s="83"/>
      <c r="G97" s="23"/>
    </row>
    <row r="98" spans="2:7" ht="15">
      <c r="B98" s="78" t="s">
        <v>121</v>
      </c>
      <c r="C98" s="1" t="s">
        <v>288</v>
      </c>
      <c r="D98" s="82"/>
      <c r="E98" s="82"/>
      <c r="F98" s="83"/>
      <c r="G98" s="23"/>
    </row>
    <row r="99" spans="2:7" ht="15">
      <c r="B99" s="78" t="s">
        <v>121</v>
      </c>
      <c r="C99" s="1" t="s">
        <v>289</v>
      </c>
      <c r="D99" s="82"/>
      <c r="E99" s="82"/>
      <c r="F99" s="83"/>
      <c r="G99" s="23"/>
    </row>
    <row r="100" spans="2:7" ht="15">
      <c r="B100" s="78" t="s">
        <v>121</v>
      </c>
      <c r="C100" s="1" t="s">
        <v>290</v>
      </c>
      <c r="D100" s="82"/>
      <c r="E100" s="82"/>
      <c r="F100" s="83"/>
      <c r="G100" s="23"/>
    </row>
    <row r="101" spans="2:7" ht="15">
      <c r="B101" s="78" t="s">
        <v>122</v>
      </c>
      <c r="C101" s="1" t="s">
        <v>291</v>
      </c>
      <c r="D101" s="82">
        <v>5700000</v>
      </c>
      <c r="E101" s="82"/>
      <c r="F101" s="83"/>
      <c r="G101" s="23"/>
    </row>
    <row r="102" spans="2:7" ht="15">
      <c r="B102" s="78" t="s">
        <v>122</v>
      </c>
      <c r="C102" s="1" t="s">
        <v>279</v>
      </c>
      <c r="D102" s="82"/>
      <c r="E102" s="82"/>
      <c r="F102" s="83"/>
      <c r="G102" s="23"/>
    </row>
    <row r="103" spans="2:7" ht="15">
      <c r="B103" s="78" t="s">
        <v>122</v>
      </c>
      <c r="C103" s="1" t="s">
        <v>292</v>
      </c>
      <c r="D103" s="82"/>
      <c r="E103" s="82"/>
      <c r="F103" s="83"/>
      <c r="G103" s="23"/>
    </row>
    <row r="104" spans="2:7" ht="15">
      <c r="B104" s="78" t="s">
        <v>122</v>
      </c>
      <c r="C104" s="1" t="s">
        <v>293</v>
      </c>
      <c r="D104" s="82"/>
      <c r="E104" s="82"/>
      <c r="F104" s="83"/>
      <c r="G104" s="23"/>
    </row>
    <row r="105" spans="2:7" ht="15">
      <c r="B105" s="78" t="s">
        <v>122</v>
      </c>
      <c r="C105" s="1" t="s">
        <v>294</v>
      </c>
      <c r="D105" s="82"/>
      <c r="E105" s="82"/>
      <c r="F105" s="83"/>
      <c r="G105" s="23"/>
    </row>
    <row r="106" spans="2:7" ht="15">
      <c r="B106" s="78" t="s">
        <v>122</v>
      </c>
      <c r="C106" s="1" t="s">
        <v>295</v>
      </c>
      <c r="D106" s="82"/>
      <c r="E106" s="82"/>
      <c r="F106" s="83"/>
      <c r="G106" s="23"/>
    </row>
    <row r="107" spans="2:7" ht="15">
      <c r="B107" s="78" t="s">
        <v>123</v>
      </c>
      <c r="C107" s="1" t="s">
        <v>11</v>
      </c>
      <c r="D107" s="82">
        <v>8200000</v>
      </c>
      <c r="E107" s="82"/>
      <c r="F107" s="83"/>
      <c r="G107" s="23"/>
    </row>
    <row r="108" spans="2:7" ht="15">
      <c r="B108" s="78" t="s">
        <v>123</v>
      </c>
      <c r="C108" s="1" t="s">
        <v>296</v>
      </c>
      <c r="D108" s="82"/>
      <c r="E108" s="82"/>
      <c r="F108" s="83"/>
      <c r="G108" s="23"/>
    </row>
    <row r="109" spans="2:7" ht="15">
      <c r="B109" s="78" t="s">
        <v>123</v>
      </c>
      <c r="C109" s="1" t="s">
        <v>297</v>
      </c>
      <c r="D109" s="82"/>
      <c r="E109" s="82"/>
      <c r="F109" s="83"/>
      <c r="G109" s="23"/>
    </row>
    <row r="110" spans="2:7" ht="15">
      <c r="B110" s="78" t="s">
        <v>123</v>
      </c>
      <c r="C110" s="1" t="s">
        <v>298</v>
      </c>
      <c r="D110" s="82"/>
      <c r="E110" s="82"/>
      <c r="F110" s="83"/>
      <c r="G110" s="23"/>
    </row>
    <row r="111" spans="2:7" ht="15">
      <c r="B111" s="78" t="s">
        <v>123</v>
      </c>
      <c r="C111" s="1" t="s">
        <v>299</v>
      </c>
      <c r="D111" s="82"/>
      <c r="E111" s="82"/>
      <c r="F111" s="83"/>
      <c r="G111" s="23"/>
    </row>
    <row r="112" spans="2:7" ht="15">
      <c r="B112" s="78" t="s">
        <v>123</v>
      </c>
      <c r="C112" s="1" t="s">
        <v>300</v>
      </c>
      <c r="D112" s="82"/>
      <c r="E112" s="82"/>
      <c r="F112" s="83"/>
      <c r="G112" s="23"/>
    </row>
    <row r="113" spans="2:7" ht="15">
      <c r="B113" s="78" t="s">
        <v>123</v>
      </c>
      <c r="C113" s="1" t="s">
        <v>301</v>
      </c>
      <c r="D113" s="82"/>
      <c r="E113" s="82"/>
      <c r="F113" s="83"/>
      <c r="G113" s="23"/>
    </row>
    <row r="114" spans="2:7" ht="15">
      <c r="B114" s="78" t="s">
        <v>123</v>
      </c>
      <c r="C114" s="1" t="s">
        <v>302</v>
      </c>
      <c r="D114" s="82"/>
      <c r="E114" s="82"/>
      <c r="F114" s="83"/>
      <c r="G114" s="23"/>
    </row>
    <row r="115" spans="2:7" ht="15">
      <c r="B115" s="78" t="s">
        <v>123</v>
      </c>
      <c r="C115" s="1" t="s">
        <v>303</v>
      </c>
      <c r="D115" s="82"/>
      <c r="E115" s="82"/>
      <c r="F115" s="83"/>
      <c r="G115" s="23"/>
    </row>
    <row r="116" spans="2:7" ht="15">
      <c r="B116" s="78" t="s">
        <v>123</v>
      </c>
      <c r="C116" s="1" t="s">
        <v>304</v>
      </c>
      <c r="D116" s="82"/>
      <c r="E116" s="82"/>
      <c r="F116" s="83"/>
      <c r="G116" s="23"/>
    </row>
    <row r="117" spans="2:7" ht="15">
      <c r="B117" s="78" t="s">
        <v>124</v>
      </c>
      <c r="C117" s="1" t="s">
        <v>12</v>
      </c>
      <c r="D117" s="82">
        <v>5400000</v>
      </c>
      <c r="E117" s="82"/>
      <c r="F117" s="83"/>
      <c r="G117" s="23"/>
    </row>
    <row r="118" spans="2:7" ht="15">
      <c r="B118" s="78" t="s">
        <v>124</v>
      </c>
      <c r="C118" s="1" t="s">
        <v>305</v>
      </c>
      <c r="D118" s="82"/>
      <c r="E118" s="82"/>
      <c r="F118" s="83"/>
      <c r="G118" s="23"/>
    </row>
    <row r="119" spans="2:7" ht="15">
      <c r="B119" s="78" t="s">
        <v>124</v>
      </c>
      <c r="C119" s="1" t="s">
        <v>306</v>
      </c>
      <c r="D119" s="82"/>
      <c r="E119" s="82"/>
      <c r="F119" s="83"/>
      <c r="G119" s="23"/>
    </row>
    <row r="120" spans="2:7" ht="15">
      <c r="B120" s="78" t="s">
        <v>124</v>
      </c>
      <c r="C120" s="1" t="s">
        <v>307</v>
      </c>
      <c r="D120" s="82"/>
      <c r="E120" s="82"/>
      <c r="F120" s="83"/>
      <c r="G120" s="23"/>
    </row>
    <row r="121" spans="2:7" ht="15">
      <c r="B121" s="78" t="s">
        <v>124</v>
      </c>
      <c r="C121" s="1" t="s">
        <v>308</v>
      </c>
      <c r="D121" s="82"/>
      <c r="E121" s="82"/>
      <c r="F121" s="83"/>
      <c r="G121" s="23"/>
    </row>
    <row r="122" spans="2:7" ht="15">
      <c r="B122" s="78" t="s">
        <v>125</v>
      </c>
      <c r="C122" s="1" t="s">
        <v>13</v>
      </c>
      <c r="D122" s="82">
        <v>6300000</v>
      </c>
      <c r="E122" s="82"/>
      <c r="F122" s="83"/>
      <c r="G122" s="23"/>
    </row>
    <row r="123" spans="2:7" ht="15">
      <c r="B123" s="78" t="s">
        <v>125</v>
      </c>
      <c r="C123" s="1" t="s">
        <v>309</v>
      </c>
      <c r="D123" s="82"/>
      <c r="E123" s="82"/>
      <c r="F123" s="83"/>
      <c r="G123" s="23"/>
    </row>
    <row r="124" spans="2:7" ht="15">
      <c r="B124" s="78" t="s">
        <v>125</v>
      </c>
      <c r="C124" s="1" t="s">
        <v>309</v>
      </c>
      <c r="D124" s="82"/>
      <c r="E124" s="82"/>
      <c r="F124" s="83"/>
      <c r="G124" s="23"/>
    </row>
    <row r="125" spans="2:7" ht="15">
      <c r="B125" s="78" t="s">
        <v>125</v>
      </c>
      <c r="C125" s="1" t="s">
        <v>310</v>
      </c>
      <c r="D125" s="82"/>
      <c r="E125" s="82"/>
      <c r="F125" s="83"/>
      <c r="G125" s="23"/>
    </row>
    <row r="126" spans="2:7" ht="15">
      <c r="B126" s="78" t="s">
        <v>125</v>
      </c>
      <c r="C126" s="1" t="s">
        <v>311</v>
      </c>
      <c r="D126" s="82"/>
      <c r="E126" s="82"/>
      <c r="F126" s="83"/>
      <c r="G126" s="23"/>
    </row>
    <row r="127" spans="2:7" ht="15">
      <c r="B127" s="78" t="s">
        <v>126</v>
      </c>
      <c r="C127" s="1" t="s">
        <v>14</v>
      </c>
      <c r="D127" s="82">
        <v>4800000</v>
      </c>
      <c r="E127" s="82"/>
      <c r="F127" s="83"/>
      <c r="G127" s="23"/>
    </row>
    <row r="128" spans="2:7" ht="15">
      <c r="B128" s="78" t="s">
        <v>127</v>
      </c>
      <c r="C128" s="1" t="s">
        <v>312</v>
      </c>
      <c r="D128" s="82">
        <v>13700000</v>
      </c>
      <c r="E128" s="82"/>
      <c r="F128" s="83"/>
      <c r="G128" s="23"/>
    </row>
    <row r="129" spans="2:7" ht="15">
      <c r="B129" s="78" t="s">
        <v>127</v>
      </c>
      <c r="C129" s="1" t="s">
        <v>15</v>
      </c>
      <c r="D129" s="82"/>
      <c r="E129" s="82"/>
      <c r="F129" s="83"/>
      <c r="G129" s="23"/>
    </row>
    <row r="130" spans="2:7" ht="15">
      <c r="B130" s="78" t="s">
        <v>127</v>
      </c>
      <c r="C130" s="1" t="s">
        <v>313</v>
      </c>
      <c r="D130" s="82"/>
      <c r="E130" s="82"/>
      <c r="F130" s="83"/>
      <c r="G130" s="23"/>
    </row>
    <row r="131" spans="2:7" ht="15">
      <c r="B131" s="78" t="s">
        <v>127</v>
      </c>
      <c r="C131" s="1" t="s">
        <v>314</v>
      </c>
      <c r="D131" s="82"/>
      <c r="E131" s="82"/>
      <c r="F131" s="83"/>
      <c r="G131" s="23"/>
    </row>
    <row r="132" spans="2:7" ht="15">
      <c r="B132" s="78" t="s">
        <v>127</v>
      </c>
      <c r="C132" s="1" t="s">
        <v>315</v>
      </c>
      <c r="D132" s="82"/>
      <c r="E132" s="82"/>
      <c r="F132" s="83"/>
      <c r="G132" s="23"/>
    </row>
    <row r="133" spans="2:7" ht="15">
      <c r="B133" s="78" t="s">
        <v>127</v>
      </c>
      <c r="C133" s="1" t="s">
        <v>316</v>
      </c>
      <c r="D133" s="82"/>
      <c r="E133" s="82"/>
      <c r="F133" s="83"/>
      <c r="G133" s="23"/>
    </row>
    <row r="134" spans="2:7" ht="15">
      <c r="B134" s="78" t="s">
        <v>127</v>
      </c>
      <c r="C134" s="1" t="s">
        <v>317</v>
      </c>
      <c r="D134" s="82"/>
      <c r="E134" s="82"/>
      <c r="F134" s="83"/>
      <c r="G134" s="23"/>
    </row>
    <row r="135" spans="2:7" ht="15">
      <c r="B135" s="78" t="s">
        <v>127</v>
      </c>
      <c r="C135" s="1" t="s">
        <v>318</v>
      </c>
      <c r="D135" s="82"/>
      <c r="E135" s="82"/>
      <c r="F135" s="83"/>
      <c r="G135" s="23"/>
    </row>
    <row r="136" spans="2:7" ht="15">
      <c r="B136" s="78" t="s">
        <v>127</v>
      </c>
      <c r="C136" s="1" t="s">
        <v>319</v>
      </c>
      <c r="D136" s="82"/>
      <c r="E136" s="82"/>
      <c r="F136" s="83"/>
      <c r="G136" s="23"/>
    </row>
    <row r="137" spans="2:7" ht="15">
      <c r="B137" s="78" t="s">
        <v>127</v>
      </c>
      <c r="C137" s="1" t="s">
        <v>23</v>
      </c>
      <c r="D137" s="82"/>
      <c r="E137" s="82"/>
      <c r="F137" s="83"/>
      <c r="G137" s="23"/>
    </row>
    <row r="138" spans="2:7" ht="15">
      <c r="B138" s="78" t="s">
        <v>128</v>
      </c>
      <c r="C138" s="1" t="s">
        <v>16</v>
      </c>
      <c r="D138" s="82">
        <v>2100000</v>
      </c>
      <c r="E138" s="82"/>
      <c r="F138" s="83"/>
      <c r="G138" s="23"/>
    </row>
    <row r="139" spans="2:7" ht="15">
      <c r="B139" s="78" t="s">
        <v>128</v>
      </c>
      <c r="C139" s="1" t="s">
        <v>320</v>
      </c>
      <c r="D139" s="82"/>
      <c r="E139" s="82"/>
      <c r="F139" s="83"/>
      <c r="G139" s="23"/>
    </row>
    <row r="140" spans="2:7" ht="15">
      <c r="B140" s="78" t="s">
        <v>128</v>
      </c>
      <c r="C140" s="1" t="s">
        <v>321</v>
      </c>
      <c r="D140" s="82"/>
      <c r="E140" s="82"/>
      <c r="F140" s="83"/>
      <c r="G140" s="23"/>
    </row>
    <row r="141" spans="2:7" ht="15">
      <c r="B141" s="78" t="s">
        <v>128</v>
      </c>
      <c r="C141" s="1" t="s">
        <v>322</v>
      </c>
      <c r="D141" s="82"/>
      <c r="E141" s="82"/>
      <c r="F141" s="83"/>
      <c r="G141" s="23"/>
    </row>
    <row r="142" spans="2:7" ht="15">
      <c r="B142" s="78" t="s">
        <v>128</v>
      </c>
      <c r="C142" s="1" t="s">
        <v>323</v>
      </c>
      <c r="D142" s="82"/>
      <c r="E142" s="82"/>
      <c r="F142" s="83"/>
      <c r="G142" s="23"/>
    </row>
    <row r="143" spans="2:7" ht="15">
      <c r="B143" s="78" t="s">
        <v>128</v>
      </c>
      <c r="C143" s="1" t="s">
        <v>324</v>
      </c>
      <c r="D143" s="82"/>
      <c r="E143" s="82"/>
      <c r="F143" s="83"/>
      <c r="G143" s="23"/>
    </row>
    <row r="144" spans="2:7" ht="15">
      <c r="B144" s="78" t="s">
        <v>128</v>
      </c>
      <c r="C144" s="1" t="s">
        <v>325</v>
      </c>
      <c r="D144" s="82"/>
      <c r="E144" s="82"/>
      <c r="F144" s="83"/>
      <c r="G144" s="23"/>
    </row>
    <row r="145" spans="2:7" ht="15">
      <c r="B145" s="78" t="s">
        <v>129</v>
      </c>
      <c r="C145" s="1" t="s">
        <v>17</v>
      </c>
      <c r="D145" s="82">
        <v>10200000</v>
      </c>
      <c r="E145" s="82"/>
      <c r="F145" s="83"/>
      <c r="G145" s="23"/>
    </row>
    <row r="146" spans="2:7" ht="15">
      <c r="B146" s="78" t="s">
        <v>134</v>
      </c>
      <c r="C146" s="1" t="s">
        <v>18</v>
      </c>
      <c r="D146" s="82">
        <v>18700000</v>
      </c>
      <c r="E146" s="82"/>
      <c r="F146" s="83"/>
      <c r="G146" s="23"/>
    </row>
    <row r="147" spans="2:7" ht="15">
      <c r="B147" s="79" t="s">
        <v>134</v>
      </c>
      <c r="C147" s="4" t="s">
        <v>230</v>
      </c>
      <c r="D147" s="86"/>
      <c r="E147" s="86"/>
      <c r="F147" s="87"/>
      <c r="G147" s="23"/>
    </row>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C54F3-E51A-4405-BE13-89FD5A6B4B2E}">
  <dimension ref="B1:S133"/>
  <sheetViews>
    <sheetView zoomScale="70" zoomScaleNormal="70"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57</v>
      </c>
      <c r="E3" s="72" t="s">
        <v>58</v>
      </c>
      <c r="F3" s="72" t="s">
        <v>60</v>
      </c>
      <c r="G3" s="72" t="s">
        <v>59</v>
      </c>
      <c r="H3" s="71" t="s">
        <v>89</v>
      </c>
      <c r="I3" s="71" t="s">
        <v>91</v>
      </c>
      <c r="J3" s="71" t="s">
        <v>92</v>
      </c>
      <c r="K3" s="71" t="s">
        <v>93</v>
      </c>
      <c r="L3" s="73" t="s">
        <v>327</v>
      </c>
      <c r="M3" s="73" t="s">
        <v>328</v>
      </c>
      <c r="N3" s="73" t="s">
        <v>329</v>
      </c>
      <c r="O3" s="73" t="s">
        <v>330</v>
      </c>
      <c r="P3" s="180" t="s">
        <v>200</v>
      </c>
      <c r="Q3" s="180" t="s">
        <v>199</v>
      </c>
      <c r="R3" s="180" t="s">
        <v>198</v>
      </c>
      <c r="S3" s="181" t="s">
        <v>197</v>
      </c>
    </row>
    <row r="4" spans="2:19" ht="15" customHeight="1">
      <c r="B4" s="232" t="s">
        <v>120</v>
      </c>
      <c r="C4" s="65" t="s">
        <v>168</v>
      </c>
      <c r="D4" s="54">
        <f>+'Cotizaciones Empresas'!C68</f>
        <v>3500</v>
      </c>
      <c r="E4" s="54">
        <f>+'Cotizaciones Empresas'!D68</f>
        <v>3500</v>
      </c>
      <c r="F4" s="54">
        <f>+'Cotizaciones Empresas'!E68</f>
        <v>3500</v>
      </c>
      <c r="G4" s="54">
        <f>+'Cotizaciones Empresas'!F68</f>
        <v>3500</v>
      </c>
      <c r="H4" s="54">
        <f>+'Cotizaciones Empresas'!AJ68</f>
        <v>4500</v>
      </c>
      <c r="I4" s="54">
        <f>+'Cotizaciones Empresas'!AK68</f>
        <v>4500</v>
      </c>
      <c r="J4" s="54">
        <f>+'Cotizaciones Empresas'!AL68</f>
        <v>4500</v>
      </c>
      <c r="K4" s="55">
        <f>+'Cotizaciones Empresas'!AM68</f>
        <v>4700</v>
      </c>
      <c r="L4" s="55">
        <f>+'Cotizaciones Empresas'!BD68</f>
        <v>2884</v>
      </c>
      <c r="M4" s="55">
        <f>+'Cotizaciones Empresas'!BE68</f>
        <v>2884</v>
      </c>
      <c r="N4" s="55">
        <f>+'Cotizaciones Empresas'!BF68</f>
        <v>2884</v>
      </c>
      <c r="O4" s="55">
        <f>+'Cotizaciones Empresas'!BG68</f>
        <v>2884</v>
      </c>
      <c r="P4" s="54">
        <f>AVERAGE(COTIZACIONES2025[[#This Row],[RH &amp;CIUDAD LIMPIA
Valor Kg Biosanitario  ]],COTIZACIONES2025[[#This Row],[DESCONT 
Valor Kg Biosanitario ]],COTIZACIONES2025[[#This Row],[HISTORICO
2024 + IPC 2025 (3%)Biosanitario]])</f>
        <v>3628</v>
      </c>
      <c r="Q4" s="54">
        <f>AVERAGE(COTIZACIONES2025[[#This Row],[RH &amp;CIUDAD LIMPIA
Valor Kg Cortopunzantes]],COTIZACIONES2025[[#This Row],[DESCONT 
Valor Kg Cortopunzantes]],COTIZACIONES2025[[#This Row],[HISTORICO
2024  + IPC 2025 (3%) 
Cortopunzantes]])</f>
        <v>3628</v>
      </c>
      <c r="R4" s="54">
        <f>AVERAGE(COTIZACIONES2025[[#This Row],[RH &amp;CIUDAD LIMPIA 
Valor Kg Animales]],COTIZACIONES2025[[#This Row],[DESCONT 
Valor Kg Animales]],COTIZACIONES2025[[#This Row],[HISTORICO
2024  + IPC 2025 (3%)Animales]])</f>
        <v>3628</v>
      </c>
      <c r="S4" s="54">
        <f>AVERAGE(COTIZACIONES2025[[#This Row],[RH &amp;CIUDAD LIMPIA 
Valor Kg Quimicos]],COTIZACIONES2025[[#This Row],[DESCONT 
Valor Kg Quimicos]],COTIZACIONES2025[[#This Row],[HISTORICO
2024  + IPC 2025 (3%) Quimicos]])</f>
        <v>3694.6666666666665</v>
      </c>
    </row>
    <row r="5" spans="2:19" ht="18" customHeight="1">
      <c r="B5" s="233"/>
      <c r="C5" s="53" t="s">
        <v>169</v>
      </c>
      <c r="D5" s="54">
        <f>+'Cotizaciones Empresas'!C69</f>
        <v>3500</v>
      </c>
      <c r="E5" s="54">
        <f>+'Cotizaciones Empresas'!D69</f>
        <v>3500</v>
      </c>
      <c r="F5" s="54">
        <f>+'Cotizaciones Empresas'!E69</f>
        <v>3500</v>
      </c>
      <c r="G5" s="54">
        <f>+'Cotizaciones Empresas'!F69</f>
        <v>3500</v>
      </c>
      <c r="H5" s="54">
        <f>+'Cotizaciones Empresas'!AJ69</f>
        <v>4500</v>
      </c>
      <c r="I5" s="54">
        <f>+'Cotizaciones Empresas'!AK69</f>
        <v>4500</v>
      </c>
      <c r="J5" s="54">
        <f>+'Cotizaciones Empresas'!AL69</f>
        <v>4500</v>
      </c>
      <c r="K5" s="55">
        <f>+'Cotizaciones Empresas'!AM69</f>
        <v>4700</v>
      </c>
      <c r="L5" s="55">
        <f>+'Cotizaciones Empresas'!BD69</f>
        <v>2884</v>
      </c>
      <c r="M5" s="55">
        <f>+'Cotizaciones Empresas'!BE69</f>
        <v>2884</v>
      </c>
      <c r="N5" s="55">
        <f>+'Cotizaciones Empresas'!BF69</f>
        <v>2884</v>
      </c>
      <c r="O5" s="55">
        <v>2884</v>
      </c>
      <c r="P5" s="70">
        <f>AVERAGE(COTIZACIONES2025[[#This Row],[RH &amp;CIUDAD LIMPIA
Valor Kg Biosanitario  ]],COTIZACIONES2025[[#This Row],[DESCONT 
Valor Kg Biosanitario ]],COTIZACIONES2025[[#This Row],[HISTORICO
2024 + IPC 2025 (3%)Biosanitario]])</f>
        <v>3628</v>
      </c>
      <c r="Q5" s="54">
        <f>AVERAGE(COTIZACIONES2025[[#This Row],[RH &amp;CIUDAD LIMPIA
Valor Kg Cortopunzantes]],COTIZACIONES2025[[#This Row],[DESCONT 
Valor Kg Cortopunzantes]],COTIZACIONES2025[[#This Row],[HISTORICO
2024  + IPC 2025 (3%) 
Cortopunzantes]])</f>
        <v>3628</v>
      </c>
      <c r="R5" s="54">
        <f>AVERAGE(COTIZACIONES2025[[#This Row],[RH &amp;CIUDAD LIMPIA 
Valor Kg Animales]],COTIZACIONES2025[[#This Row],[DESCONT 
Valor Kg Animales]],COTIZACIONES2025[[#This Row],[HISTORICO
2024  + IPC 2025 (3%)Animales]])</f>
        <v>3628</v>
      </c>
      <c r="S5" s="54">
        <f>AVERAGE(COTIZACIONES2025[[#This Row],[RH &amp;CIUDAD LIMPIA 
Valor Kg Quimicos]],COTIZACIONES2025[[#This Row],[DESCONT 
Valor Kg Quimicos]],COTIZACIONES2025[[#This Row],[HISTORICO
2024  + IPC 2025 (3%) Quimicos]])</f>
        <v>3694.6666666666665</v>
      </c>
    </row>
    <row r="6" spans="2:19" ht="15" customHeight="1">
      <c r="B6" s="233"/>
      <c r="C6" s="53" t="s">
        <v>170</v>
      </c>
      <c r="D6" s="54">
        <f>+'Cotizaciones Empresas'!C70</f>
        <v>3500</v>
      </c>
      <c r="E6" s="54">
        <f>+'Cotizaciones Empresas'!D70</f>
        <v>3500</v>
      </c>
      <c r="F6" s="54">
        <f>+'Cotizaciones Empresas'!E70</f>
        <v>3500</v>
      </c>
      <c r="G6" s="54">
        <f>+'Cotizaciones Empresas'!F70</f>
        <v>3500</v>
      </c>
      <c r="H6" s="54">
        <f>+'Cotizaciones Empresas'!AJ70</f>
        <v>4500</v>
      </c>
      <c r="I6" s="54">
        <f>+'Cotizaciones Empresas'!AK70</f>
        <v>4500</v>
      </c>
      <c r="J6" s="54">
        <f>+'Cotizaciones Empresas'!AL70</f>
        <v>4500</v>
      </c>
      <c r="K6" s="55">
        <f>+'Cotizaciones Empresas'!AM70</f>
        <v>4700</v>
      </c>
      <c r="L6" s="55">
        <f>+'Cotizaciones Empresas'!BD70</f>
        <v>2884</v>
      </c>
      <c r="M6" s="55">
        <f>+'Cotizaciones Empresas'!BE70</f>
        <v>2884</v>
      </c>
      <c r="N6" s="55">
        <f>+'Cotizaciones Empresas'!BF70</f>
        <v>2884</v>
      </c>
      <c r="O6" s="55">
        <v>2884</v>
      </c>
      <c r="P6" s="70">
        <f>AVERAGE(COTIZACIONES2025[[#This Row],[RH &amp;CIUDAD LIMPIA
Valor Kg Biosanitario  ]],COTIZACIONES2025[[#This Row],[DESCONT 
Valor Kg Biosanitario ]],COTIZACIONES2025[[#This Row],[HISTORICO
2024 + IPC 2025 (3%)Biosanitario]])</f>
        <v>3628</v>
      </c>
      <c r="Q6" s="54">
        <f>AVERAGE(COTIZACIONES2025[[#This Row],[RH &amp;CIUDAD LIMPIA
Valor Kg Cortopunzantes]],COTIZACIONES2025[[#This Row],[DESCONT 
Valor Kg Cortopunzantes]],COTIZACIONES2025[[#This Row],[HISTORICO
2024  + IPC 2025 (3%) 
Cortopunzantes]])</f>
        <v>3628</v>
      </c>
      <c r="R6" s="54">
        <f>AVERAGE(COTIZACIONES2025[[#This Row],[RH &amp;CIUDAD LIMPIA 
Valor Kg Animales]],COTIZACIONES2025[[#This Row],[DESCONT 
Valor Kg Animales]],COTIZACIONES2025[[#This Row],[HISTORICO
2024  + IPC 2025 (3%)Animales]])</f>
        <v>3628</v>
      </c>
      <c r="S6" s="54">
        <f>AVERAGE(COTIZACIONES2025[[#This Row],[RH &amp;CIUDAD LIMPIA 
Valor Kg Quimicos]],COTIZACIONES2025[[#This Row],[DESCONT 
Valor Kg Quimicos]],COTIZACIONES2025[[#This Row],[HISTORICO
2024  + IPC 2025 (3%) Quimicos]])</f>
        <v>3694.6666666666665</v>
      </c>
    </row>
    <row r="7" spans="2:19" ht="15" customHeight="1">
      <c r="B7" s="233"/>
      <c r="C7" s="53" t="s">
        <v>171</v>
      </c>
      <c r="D7" s="54">
        <f>+'Cotizaciones Empresas'!C71</f>
        <v>3500</v>
      </c>
      <c r="E7" s="54">
        <f>+'Cotizaciones Empresas'!D71</f>
        <v>3500</v>
      </c>
      <c r="F7" s="54">
        <f>+'Cotizaciones Empresas'!E71</f>
        <v>3500</v>
      </c>
      <c r="G7" s="54">
        <f>+'Cotizaciones Empresas'!F71</f>
        <v>3500</v>
      </c>
      <c r="H7" s="54">
        <f>+'Cotizaciones Empresas'!AJ71</f>
        <v>4500</v>
      </c>
      <c r="I7" s="54">
        <f>+'Cotizaciones Empresas'!AK71</f>
        <v>4500</v>
      </c>
      <c r="J7" s="54">
        <f>+'Cotizaciones Empresas'!AL71</f>
        <v>4500</v>
      </c>
      <c r="K7" s="55">
        <f>+'Cotizaciones Empresas'!AM71</f>
        <v>4700</v>
      </c>
      <c r="L7" s="55">
        <f>+'Cotizaciones Empresas'!BD71</f>
        <v>2884</v>
      </c>
      <c r="M7" s="55">
        <f>+'Cotizaciones Empresas'!BE71</f>
        <v>2884</v>
      </c>
      <c r="N7" s="55">
        <f>+'Cotizaciones Empresas'!BF71</f>
        <v>2884</v>
      </c>
      <c r="O7" s="55">
        <v>2884</v>
      </c>
      <c r="P7" s="70">
        <f>AVERAGE(COTIZACIONES2025[[#This Row],[RH &amp;CIUDAD LIMPIA
Valor Kg Biosanitario  ]],COTIZACIONES2025[[#This Row],[DESCONT 
Valor Kg Biosanitario ]],COTIZACIONES2025[[#This Row],[HISTORICO
2024 + IPC 2025 (3%)Biosanitario]])</f>
        <v>3628</v>
      </c>
      <c r="Q7" s="54">
        <f>AVERAGE(COTIZACIONES2025[[#This Row],[RH &amp;CIUDAD LIMPIA
Valor Kg Cortopunzantes]],COTIZACIONES2025[[#This Row],[DESCONT 
Valor Kg Cortopunzantes]],COTIZACIONES2025[[#This Row],[HISTORICO
2024  + IPC 2025 (3%) 
Cortopunzantes]])</f>
        <v>3628</v>
      </c>
      <c r="R7" s="54">
        <f>AVERAGE(COTIZACIONES2025[[#This Row],[RH &amp;CIUDAD LIMPIA 
Valor Kg Animales]],COTIZACIONES2025[[#This Row],[DESCONT 
Valor Kg Animales]],COTIZACIONES2025[[#This Row],[HISTORICO
2024  + IPC 2025 (3%)Animales]])</f>
        <v>3628</v>
      </c>
      <c r="S7" s="54">
        <f>AVERAGE(COTIZACIONES2025[[#This Row],[RH &amp;CIUDAD LIMPIA 
Valor Kg Quimicos]],COTIZACIONES2025[[#This Row],[DESCONT 
Valor Kg Quimicos]],COTIZACIONES2025[[#This Row],[HISTORICO
2024  + IPC 2025 (3%) Quimicos]])</f>
        <v>3694.6666666666665</v>
      </c>
    </row>
    <row r="8" spans="2:19" ht="15" customHeight="1">
      <c r="B8" s="233"/>
      <c r="C8" s="53" t="s">
        <v>172</v>
      </c>
      <c r="D8" s="54">
        <f>+'Cotizaciones Empresas'!C72</f>
        <v>3500</v>
      </c>
      <c r="E8" s="54">
        <f>+'Cotizaciones Empresas'!D72</f>
        <v>3500</v>
      </c>
      <c r="F8" s="54">
        <f>+'Cotizaciones Empresas'!E72</f>
        <v>3500</v>
      </c>
      <c r="G8" s="54">
        <f>+'Cotizaciones Empresas'!F72</f>
        <v>3500</v>
      </c>
      <c r="H8" s="54">
        <f>+'Cotizaciones Empresas'!AJ72</f>
        <v>4500</v>
      </c>
      <c r="I8" s="54">
        <f>+'Cotizaciones Empresas'!AK72</f>
        <v>4500</v>
      </c>
      <c r="J8" s="54">
        <f>+'Cotizaciones Empresas'!AL72</f>
        <v>4500</v>
      </c>
      <c r="K8" s="55">
        <f>+'Cotizaciones Empresas'!AM72</f>
        <v>4700</v>
      </c>
      <c r="L8" s="55">
        <f>+'Cotizaciones Empresas'!BD72</f>
        <v>2884</v>
      </c>
      <c r="M8" s="55">
        <f>+'Cotizaciones Empresas'!BE72</f>
        <v>2884</v>
      </c>
      <c r="N8" s="55">
        <f>+'Cotizaciones Empresas'!BF72</f>
        <v>2884</v>
      </c>
      <c r="O8" s="55">
        <v>2884</v>
      </c>
      <c r="P8" s="70">
        <f>AVERAGE(COTIZACIONES2025[[#This Row],[RH &amp;CIUDAD LIMPIA
Valor Kg Biosanitario  ]],COTIZACIONES2025[[#This Row],[DESCONT 
Valor Kg Biosanitario ]],COTIZACIONES2025[[#This Row],[HISTORICO
2024 + IPC 2025 (3%)Biosanitario]])</f>
        <v>3628</v>
      </c>
      <c r="Q8" s="54">
        <f>AVERAGE(COTIZACIONES2025[[#This Row],[RH &amp;CIUDAD LIMPIA
Valor Kg Cortopunzantes]],COTIZACIONES2025[[#This Row],[DESCONT 
Valor Kg Cortopunzantes]],COTIZACIONES2025[[#This Row],[HISTORICO
2024  + IPC 2025 (3%) 
Cortopunzantes]])</f>
        <v>3628</v>
      </c>
      <c r="R8" s="54">
        <f>AVERAGE(COTIZACIONES2025[[#This Row],[RH &amp;CIUDAD LIMPIA 
Valor Kg Animales]],COTIZACIONES2025[[#This Row],[DESCONT 
Valor Kg Animales]],COTIZACIONES2025[[#This Row],[HISTORICO
2024  + IPC 2025 (3%)Animales]])</f>
        <v>3628</v>
      </c>
      <c r="S8" s="54">
        <f>AVERAGE(COTIZACIONES2025[[#This Row],[RH &amp;CIUDAD LIMPIA 
Valor Kg Quimicos]],COTIZACIONES2025[[#This Row],[DESCONT 
Valor Kg Quimicos]],COTIZACIONES2025[[#This Row],[HISTORICO
2024  + IPC 2025 (3%) Quimicos]])</f>
        <v>3694.6666666666665</v>
      </c>
    </row>
    <row r="9" spans="2:19" ht="15" customHeight="1">
      <c r="B9" s="233"/>
      <c r="C9" s="53" t="s">
        <v>173</v>
      </c>
      <c r="D9" s="54">
        <f>+'Cotizaciones Empresas'!C73</f>
        <v>3500</v>
      </c>
      <c r="E9" s="54">
        <f>+'Cotizaciones Empresas'!D73</f>
        <v>3500</v>
      </c>
      <c r="F9" s="54">
        <f>+'Cotizaciones Empresas'!E73</f>
        <v>3500</v>
      </c>
      <c r="G9" s="54">
        <f>+'Cotizaciones Empresas'!F73</f>
        <v>3500</v>
      </c>
      <c r="H9" s="54">
        <f>+'Cotizaciones Empresas'!AJ73</f>
        <v>4500</v>
      </c>
      <c r="I9" s="54">
        <f>+'Cotizaciones Empresas'!AK73</f>
        <v>4500</v>
      </c>
      <c r="J9" s="54">
        <f>+'Cotizaciones Empresas'!AL73</f>
        <v>4500</v>
      </c>
      <c r="K9" s="55">
        <f>+'Cotizaciones Empresas'!AM73</f>
        <v>4700</v>
      </c>
      <c r="L9" s="55">
        <f>+'Cotizaciones Empresas'!BD73</f>
        <v>2884</v>
      </c>
      <c r="M9" s="55">
        <f>+'Cotizaciones Empresas'!BE73</f>
        <v>2884</v>
      </c>
      <c r="N9" s="55">
        <f>+'Cotizaciones Empresas'!BF73</f>
        <v>2884</v>
      </c>
      <c r="O9" s="55">
        <v>2884</v>
      </c>
      <c r="P9" s="70">
        <f>AVERAGE(COTIZACIONES2025[[#This Row],[RH &amp;CIUDAD LIMPIA
Valor Kg Biosanitario  ]],COTIZACIONES2025[[#This Row],[DESCONT 
Valor Kg Biosanitario ]],COTIZACIONES2025[[#This Row],[HISTORICO
2024 + IPC 2025 (3%)Biosanitario]])</f>
        <v>3628</v>
      </c>
      <c r="Q9" s="54">
        <f>AVERAGE(COTIZACIONES2025[[#This Row],[RH &amp;CIUDAD LIMPIA
Valor Kg Cortopunzantes]],COTIZACIONES2025[[#This Row],[DESCONT 
Valor Kg Cortopunzantes]],COTIZACIONES2025[[#This Row],[HISTORICO
2024  + IPC 2025 (3%) 
Cortopunzantes]])</f>
        <v>3628</v>
      </c>
      <c r="R9" s="54">
        <f>AVERAGE(COTIZACIONES2025[[#This Row],[RH &amp;CIUDAD LIMPIA 
Valor Kg Animales]],COTIZACIONES2025[[#This Row],[DESCONT 
Valor Kg Animales]],COTIZACIONES2025[[#This Row],[HISTORICO
2024  + IPC 2025 (3%)Animales]])</f>
        <v>3628</v>
      </c>
      <c r="S9" s="54">
        <f>AVERAGE(COTIZACIONES2025[[#This Row],[RH &amp;CIUDAD LIMPIA 
Valor Kg Quimicos]],COTIZACIONES2025[[#This Row],[DESCONT 
Valor Kg Quimicos]],COTIZACIONES2025[[#This Row],[HISTORICO
2024  + IPC 2025 (3%) Quimicos]])</f>
        <v>3694.6666666666665</v>
      </c>
    </row>
    <row r="10" spans="2:19">
      <c r="B10" s="233"/>
      <c r="C10" s="53" t="s">
        <v>174</v>
      </c>
      <c r="D10" s="54">
        <f>+'Cotizaciones Empresas'!C74</f>
        <v>3500</v>
      </c>
      <c r="E10" s="54">
        <f>+'Cotizaciones Empresas'!D74</f>
        <v>3500</v>
      </c>
      <c r="F10" s="54">
        <f>+'Cotizaciones Empresas'!E74</f>
        <v>3500</v>
      </c>
      <c r="G10" s="54">
        <f>+'Cotizaciones Empresas'!F74</f>
        <v>3500</v>
      </c>
      <c r="H10" s="54">
        <f>+'Cotizaciones Empresas'!AJ74</f>
        <v>4500</v>
      </c>
      <c r="I10" s="54">
        <f>+'Cotizaciones Empresas'!AK74</f>
        <v>4500</v>
      </c>
      <c r="J10" s="54">
        <f>+'Cotizaciones Empresas'!AL74</f>
        <v>4500</v>
      </c>
      <c r="K10" s="55">
        <f>+'Cotizaciones Empresas'!AM74</f>
        <v>4700</v>
      </c>
      <c r="L10" s="55">
        <f>+'Cotizaciones Empresas'!BD74</f>
        <v>2884</v>
      </c>
      <c r="M10" s="55">
        <f>+'Cotizaciones Empresas'!BE74</f>
        <v>2884</v>
      </c>
      <c r="N10" s="55">
        <f>+'Cotizaciones Empresas'!BF74</f>
        <v>2884</v>
      </c>
      <c r="O10" s="55">
        <v>2884</v>
      </c>
      <c r="P10" s="70">
        <f>AVERAGE(COTIZACIONES2025[[#This Row],[RH &amp;CIUDAD LIMPIA
Valor Kg Biosanitario  ]],COTIZACIONES2025[[#This Row],[DESCONT 
Valor Kg Biosanitario ]],COTIZACIONES2025[[#This Row],[HISTORICO
2024 + IPC 2025 (3%)Biosanitario]])</f>
        <v>3628</v>
      </c>
      <c r="Q10" s="54">
        <f>AVERAGE(COTIZACIONES2025[[#This Row],[RH &amp;CIUDAD LIMPIA
Valor Kg Cortopunzantes]],COTIZACIONES2025[[#This Row],[DESCONT 
Valor Kg Cortopunzantes]],COTIZACIONES2025[[#This Row],[HISTORICO
2024  + IPC 2025 (3%) 
Cortopunzantes]])</f>
        <v>3628</v>
      </c>
      <c r="R10" s="54">
        <f>AVERAGE(COTIZACIONES2025[[#This Row],[RH &amp;CIUDAD LIMPIA 
Valor Kg Animales]],COTIZACIONES2025[[#This Row],[DESCONT 
Valor Kg Animales]],COTIZACIONES2025[[#This Row],[HISTORICO
2024  + IPC 2025 (3%)Animales]])</f>
        <v>3628</v>
      </c>
      <c r="S10" s="54">
        <f>AVERAGE(COTIZACIONES2025[[#This Row],[RH &amp;CIUDAD LIMPIA 
Valor Kg Quimicos]],COTIZACIONES2025[[#This Row],[DESCONT 
Valor Kg Quimicos]],COTIZACIONES2025[[#This Row],[HISTORICO
2024  + IPC 2025 (3%) Quimicos]])</f>
        <v>3694.6666666666665</v>
      </c>
    </row>
    <row r="11" spans="2:19" ht="15" customHeight="1">
      <c r="B11" s="233"/>
      <c r="C11" s="53" t="s">
        <v>175</v>
      </c>
      <c r="D11" s="54">
        <f>+'Cotizaciones Empresas'!C75</f>
        <v>3500</v>
      </c>
      <c r="E11" s="54">
        <f>+'Cotizaciones Empresas'!D75</f>
        <v>3500</v>
      </c>
      <c r="F11" s="54">
        <f>+'Cotizaciones Empresas'!E75</f>
        <v>3500</v>
      </c>
      <c r="G11" s="54">
        <f>+'Cotizaciones Empresas'!F75</f>
        <v>3500</v>
      </c>
      <c r="H11" s="54">
        <f>+'Cotizaciones Empresas'!AJ75</f>
        <v>4500</v>
      </c>
      <c r="I11" s="54">
        <f>+'Cotizaciones Empresas'!AK75</f>
        <v>4500</v>
      </c>
      <c r="J11" s="54">
        <f>+'Cotizaciones Empresas'!AL75</f>
        <v>4500</v>
      </c>
      <c r="K11" s="55">
        <f>+'Cotizaciones Empresas'!AM75</f>
        <v>4700</v>
      </c>
      <c r="L11" s="55">
        <f>+'Cotizaciones Empresas'!BD75</f>
        <v>2884</v>
      </c>
      <c r="M11" s="55">
        <f>+'Cotizaciones Empresas'!BE75</f>
        <v>2884</v>
      </c>
      <c r="N11" s="55">
        <f>+'Cotizaciones Empresas'!BF75</f>
        <v>2884</v>
      </c>
      <c r="O11" s="55">
        <v>2884</v>
      </c>
      <c r="P11" s="70">
        <f>AVERAGE(COTIZACIONES2025[[#This Row],[RH &amp;CIUDAD LIMPIA
Valor Kg Biosanitario  ]],COTIZACIONES2025[[#This Row],[DESCONT 
Valor Kg Biosanitario ]],COTIZACIONES2025[[#This Row],[HISTORICO
2024 + IPC 2025 (3%)Biosanitario]])</f>
        <v>3628</v>
      </c>
      <c r="Q11" s="54">
        <f>AVERAGE(COTIZACIONES2025[[#This Row],[RH &amp;CIUDAD LIMPIA
Valor Kg Cortopunzantes]],COTIZACIONES2025[[#This Row],[DESCONT 
Valor Kg Cortopunzantes]],COTIZACIONES2025[[#This Row],[HISTORICO
2024  + IPC 2025 (3%) 
Cortopunzantes]])</f>
        <v>3628</v>
      </c>
      <c r="R11" s="54">
        <f>AVERAGE(COTIZACIONES2025[[#This Row],[RH &amp;CIUDAD LIMPIA 
Valor Kg Animales]],COTIZACIONES2025[[#This Row],[DESCONT 
Valor Kg Animales]],COTIZACIONES2025[[#This Row],[HISTORICO
2024  + IPC 2025 (3%)Animales]])</f>
        <v>3628</v>
      </c>
      <c r="S11" s="54">
        <f>AVERAGE(COTIZACIONES2025[[#This Row],[RH &amp;CIUDAD LIMPIA 
Valor Kg Quimicos]],COTIZACIONES2025[[#This Row],[DESCONT 
Valor Kg Quimicos]],COTIZACIONES2025[[#This Row],[HISTORICO
2024  + IPC 2025 (3%) Quimicos]])</f>
        <v>3694.6666666666665</v>
      </c>
    </row>
    <row r="12" spans="2:19" ht="15" customHeight="1">
      <c r="B12" s="233"/>
      <c r="C12" s="53" t="s">
        <v>176</v>
      </c>
      <c r="D12" s="54">
        <f>+'Cotizaciones Empresas'!C76</f>
        <v>3500</v>
      </c>
      <c r="E12" s="54">
        <f>+'Cotizaciones Empresas'!D76</f>
        <v>3500</v>
      </c>
      <c r="F12" s="54">
        <f>+'Cotizaciones Empresas'!E76</f>
        <v>3500</v>
      </c>
      <c r="G12" s="54">
        <f>+'Cotizaciones Empresas'!F76</f>
        <v>3500</v>
      </c>
      <c r="H12" s="54">
        <f>+'Cotizaciones Empresas'!AJ76</f>
        <v>4500</v>
      </c>
      <c r="I12" s="54">
        <f>+'Cotizaciones Empresas'!AK76</f>
        <v>4500</v>
      </c>
      <c r="J12" s="54">
        <f>+'Cotizaciones Empresas'!AL76</f>
        <v>4500</v>
      </c>
      <c r="K12" s="55">
        <f>+'Cotizaciones Empresas'!AM76</f>
        <v>4700</v>
      </c>
      <c r="L12" s="55">
        <f>+'Cotizaciones Empresas'!BD76</f>
        <v>2884</v>
      </c>
      <c r="M12" s="55">
        <f>+'Cotizaciones Empresas'!BE76</f>
        <v>2884</v>
      </c>
      <c r="N12" s="55">
        <f>+'Cotizaciones Empresas'!BF76</f>
        <v>2884</v>
      </c>
      <c r="O12" s="55">
        <v>2884</v>
      </c>
      <c r="P12" s="70">
        <f>AVERAGE(COTIZACIONES2025[[#This Row],[RH &amp;CIUDAD LIMPIA
Valor Kg Biosanitario  ]],COTIZACIONES2025[[#This Row],[DESCONT 
Valor Kg Biosanitario ]],COTIZACIONES2025[[#This Row],[HISTORICO
2024 + IPC 2025 (3%)Biosanitario]])</f>
        <v>3628</v>
      </c>
      <c r="Q12" s="54">
        <f>AVERAGE(COTIZACIONES2025[[#This Row],[RH &amp;CIUDAD LIMPIA
Valor Kg Cortopunzantes]],COTIZACIONES2025[[#This Row],[DESCONT 
Valor Kg Cortopunzantes]],COTIZACIONES2025[[#This Row],[HISTORICO
2024  + IPC 2025 (3%) 
Cortopunzantes]])</f>
        <v>3628</v>
      </c>
      <c r="R12" s="54">
        <f>AVERAGE(COTIZACIONES2025[[#This Row],[RH &amp;CIUDAD LIMPIA 
Valor Kg Animales]],COTIZACIONES2025[[#This Row],[DESCONT 
Valor Kg Animales]],COTIZACIONES2025[[#This Row],[HISTORICO
2024  + IPC 2025 (3%)Animales]])</f>
        <v>3628</v>
      </c>
      <c r="S12" s="54">
        <f>AVERAGE(COTIZACIONES2025[[#This Row],[RH &amp;CIUDAD LIMPIA 
Valor Kg Quimicos]],COTIZACIONES2025[[#This Row],[DESCONT 
Valor Kg Quimicos]],COTIZACIONES2025[[#This Row],[HISTORICO
2024  + IPC 2025 (3%) Quimicos]])</f>
        <v>3694.6666666666665</v>
      </c>
    </row>
    <row r="13" spans="2:19" ht="15.75" customHeight="1">
      <c r="B13" s="233"/>
      <c r="C13" s="53" t="s">
        <v>177</v>
      </c>
      <c r="D13" s="54">
        <f>+'Cotizaciones Empresas'!C77</f>
        <v>3500</v>
      </c>
      <c r="E13" s="54">
        <f>+'Cotizaciones Empresas'!D77</f>
        <v>3500</v>
      </c>
      <c r="F13" s="54">
        <f>+'Cotizaciones Empresas'!E77</f>
        <v>3500</v>
      </c>
      <c r="G13" s="54">
        <f>+'Cotizaciones Empresas'!F77</f>
        <v>3500</v>
      </c>
      <c r="H13" s="54">
        <f>+'Cotizaciones Empresas'!AJ77</f>
        <v>4500</v>
      </c>
      <c r="I13" s="54">
        <f>+'Cotizaciones Empresas'!AK77</f>
        <v>4500</v>
      </c>
      <c r="J13" s="54">
        <f>+'Cotizaciones Empresas'!AL77</f>
        <v>4500</v>
      </c>
      <c r="K13" s="55">
        <f>+'Cotizaciones Empresas'!AM77</f>
        <v>4700</v>
      </c>
      <c r="L13" s="55">
        <f>+'Cotizaciones Empresas'!BD77</f>
        <v>2884</v>
      </c>
      <c r="M13" s="55">
        <f>+'Cotizaciones Empresas'!BE77</f>
        <v>2884</v>
      </c>
      <c r="N13" s="55">
        <f>+'Cotizaciones Empresas'!BF77</f>
        <v>2884</v>
      </c>
      <c r="O13" s="55">
        <v>2884</v>
      </c>
      <c r="P13" s="70">
        <f>AVERAGE(COTIZACIONES2025[[#This Row],[RH &amp;CIUDAD LIMPIA
Valor Kg Biosanitario  ]],COTIZACIONES2025[[#This Row],[DESCONT 
Valor Kg Biosanitario ]],COTIZACIONES2025[[#This Row],[HISTORICO
2024 + IPC 2025 (3%)Biosanitario]])</f>
        <v>3628</v>
      </c>
      <c r="Q13" s="54">
        <f>AVERAGE(COTIZACIONES2025[[#This Row],[RH &amp;CIUDAD LIMPIA
Valor Kg Cortopunzantes]],COTIZACIONES2025[[#This Row],[DESCONT 
Valor Kg Cortopunzantes]],COTIZACIONES2025[[#This Row],[HISTORICO
2024  + IPC 2025 (3%) 
Cortopunzantes]])</f>
        <v>3628</v>
      </c>
      <c r="R13" s="54">
        <f>AVERAGE(COTIZACIONES2025[[#This Row],[RH &amp;CIUDAD LIMPIA 
Valor Kg Animales]],COTIZACIONES2025[[#This Row],[DESCONT 
Valor Kg Animales]],COTIZACIONES2025[[#This Row],[HISTORICO
2024  + IPC 2025 (3%)Animales]])</f>
        <v>3628</v>
      </c>
      <c r="S13" s="54">
        <f>AVERAGE(COTIZACIONES2025[[#This Row],[RH &amp;CIUDAD LIMPIA 
Valor Kg Quimicos]],COTIZACIONES2025[[#This Row],[DESCONT 
Valor Kg Quimicos]],COTIZACIONES2025[[#This Row],[HISTORICO
2024  + IPC 2025 (3%) Quimicos]])</f>
        <v>3694.6666666666665</v>
      </c>
    </row>
    <row r="14" spans="2:19" ht="15.75" customHeight="1">
      <c r="B14" s="233"/>
      <c r="C14" s="53" t="s">
        <v>178</v>
      </c>
      <c r="D14" s="54">
        <f>+'Cotizaciones Empresas'!C78</f>
        <v>3500</v>
      </c>
      <c r="E14" s="54">
        <f>+'Cotizaciones Empresas'!D78</f>
        <v>3500</v>
      </c>
      <c r="F14" s="54">
        <f>+'Cotizaciones Empresas'!E78</f>
        <v>3500</v>
      </c>
      <c r="G14" s="54">
        <f>+'Cotizaciones Empresas'!F78</f>
        <v>3500</v>
      </c>
      <c r="H14" s="54">
        <f>+'Cotizaciones Empresas'!AJ78</f>
        <v>4500</v>
      </c>
      <c r="I14" s="54">
        <f>+'Cotizaciones Empresas'!AK78</f>
        <v>4500</v>
      </c>
      <c r="J14" s="54">
        <f>+'Cotizaciones Empresas'!AL78</f>
        <v>4500</v>
      </c>
      <c r="K14" s="55">
        <f>+'Cotizaciones Empresas'!AM78</f>
        <v>4700</v>
      </c>
      <c r="L14" s="55">
        <f>+'Cotizaciones Empresas'!BD78</f>
        <v>2884</v>
      </c>
      <c r="M14" s="55">
        <f>+'Cotizaciones Empresas'!BE78</f>
        <v>2884</v>
      </c>
      <c r="N14" s="55">
        <f>+'Cotizaciones Empresas'!BF78</f>
        <v>2884</v>
      </c>
      <c r="O14" s="55">
        <v>2884</v>
      </c>
      <c r="P14" s="70">
        <f>AVERAGE(COTIZACIONES2025[[#This Row],[RH &amp;CIUDAD LIMPIA
Valor Kg Biosanitario  ]],COTIZACIONES2025[[#This Row],[DESCONT 
Valor Kg Biosanitario ]],COTIZACIONES2025[[#This Row],[HISTORICO
2024 + IPC 2025 (3%)Biosanitario]])</f>
        <v>3628</v>
      </c>
      <c r="Q14" s="54">
        <f>AVERAGE(COTIZACIONES2025[[#This Row],[RH &amp;CIUDAD LIMPIA
Valor Kg Cortopunzantes]],COTIZACIONES2025[[#This Row],[DESCONT 
Valor Kg Cortopunzantes]],COTIZACIONES2025[[#This Row],[HISTORICO
2024  + IPC 2025 (3%) 
Cortopunzantes]])</f>
        <v>3628</v>
      </c>
      <c r="R14" s="54">
        <f>AVERAGE(COTIZACIONES2025[[#This Row],[RH &amp;CIUDAD LIMPIA 
Valor Kg Animales]],COTIZACIONES2025[[#This Row],[DESCONT 
Valor Kg Animales]],COTIZACIONES2025[[#This Row],[HISTORICO
2024  + IPC 2025 (3%)Animales]])</f>
        <v>3628</v>
      </c>
      <c r="S14" s="54">
        <f>AVERAGE(COTIZACIONES2025[[#This Row],[RH &amp;CIUDAD LIMPIA 
Valor Kg Quimicos]],COTIZACIONES2025[[#This Row],[DESCONT 
Valor Kg Quimicos]],COTIZACIONES2025[[#This Row],[HISTORICO
2024  + IPC 2025 (3%) Quimicos]])</f>
        <v>3694.6666666666665</v>
      </c>
    </row>
    <row r="15" spans="2:19" ht="15" customHeight="1">
      <c r="B15" s="233"/>
      <c r="C15" s="53" t="s">
        <v>179</v>
      </c>
      <c r="D15" s="54">
        <f>+'Cotizaciones Empresas'!C79</f>
        <v>3500</v>
      </c>
      <c r="E15" s="54">
        <f>+'Cotizaciones Empresas'!D79</f>
        <v>3500</v>
      </c>
      <c r="F15" s="54">
        <f>+'Cotizaciones Empresas'!E79</f>
        <v>3500</v>
      </c>
      <c r="G15" s="54">
        <f>+'Cotizaciones Empresas'!F79</f>
        <v>3500</v>
      </c>
      <c r="H15" s="54">
        <f>+'Cotizaciones Empresas'!AJ79</f>
        <v>4500</v>
      </c>
      <c r="I15" s="54">
        <f>+'Cotizaciones Empresas'!AK79</f>
        <v>4500</v>
      </c>
      <c r="J15" s="54">
        <f>+'Cotizaciones Empresas'!AL79</f>
        <v>4500</v>
      </c>
      <c r="K15" s="55">
        <f>+'Cotizaciones Empresas'!AM79</f>
        <v>4700</v>
      </c>
      <c r="L15" s="55">
        <f>+'Cotizaciones Empresas'!BD79</f>
        <v>2884</v>
      </c>
      <c r="M15" s="55">
        <f>+'Cotizaciones Empresas'!BE79</f>
        <v>2884</v>
      </c>
      <c r="N15" s="55">
        <f>+'Cotizaciones Empresas'!BF79</f>
        <v>2884</v>
      </c>
      <c r="O15" s="55">
        <v>2884</v>
      </c>
      <c r="P15" s="70">
        <f>AVERAGE(COTIZACIONES2025[[#This Row],[RH &amp;CIUDAD LIMPIA
Valor Kg Biosanitario  ]],COTIZACIONES2025[[#This Row],[DESCONT 
Valor Kg Biosanitario ]],COTIZACIONES2025[[#This Row],[HISTORICO
2024 + IPC 2025 (3%)Biosanitario]])</f>
        <v>3628</v>
      </c>
      <c r="Q15" s="54">
        <f>AVERAGE(COTIZACIONES2025[[#This Row],[RH &amp;CIUDAD LIMPIA
Valor Kg Cortopunzantes]],COTIZACIONES2025[[#This Row],[DESCONT 
Valor Kg Cortopunzantes]],COTIZACIONES2025[[#This Row],[HISTORICO
2024  + IPC 2025 (3%) 
Cortopunzantes]])</f>
        <v>3628</v>
      </c>
      <c r="R15" s="54">
        <f>AVERAGE(COTIZACIONES2025[[#This Row],[RH &amp;CIUDAD LIMPIA 
Valor Kg Animales]],COTIZACIONES2025[[#This Row],[DESCONT 
Valor Kg Animales]],COTIZACIONES2025[[#This Row],[HISTORICO
2024  + IPC 2025 (3%)Animales]])</f>
        <v>3628</v>
      </c>
      <c r="S15" s="54">
        <f>AVERAGE(COTIZACIONES2025[[#This Row],[RH &amp;CIUDAD LIMPIA 
Valor Kg Quimicos]],COTIZACIONES2025[[#This Row],[DESCONT 
Valor Kg Quimicos]],COTIZACIONES2025[[#This Row],[HISTORICO
2024  + IPC 2025 (3%) Quimicos]])</f>
        <v>3694.6666666666665</v>
      </c>
    </row>
    <row r="16" spans="2:19" ht="15" customHeight="1">
      <c r="B16" s="233"/>
      <c r="C16" s="53" t="s">
        <v>180</v>
      </c>
      <c r="D16" s="54">
        <f>+'Cotizaciones Empresas'!C80</f>
        <v>3500</v>
      </c>
      <c r="E16" s="54">
        <f>+'Cotizaciones Empresas'!D80</f>
        <v>3500</v>
      </c>
      <c r="F16" s="54">
        <f>+'Cotizaciones Empresas'!E80</f>
        <v>3500</v>
      </c>
      <c r="G16" s="54">
        <f>+'Cotizaciones Empresas'!F80</f>
        <v>3500</v>
      </c>
      <c r="H16" s="54">
        <f>+'Cotizaciones Empresas'!AJ80</f>
        <v>4500</v>
      </c>
      <c r="I16" s="54">
        <f>+'Cotizaciones Empresas'!AK80</f>
        <v>4500</v>
      </c>
      <c r="J16" s="54">
        <f>+'Cotizaciones Empresas'!AL80</f>
        <v>4500</v>
      </c>
      <c r="K16" s="55">
        <f>+'Cotizaciones Empresas'!AM80</f>
        <v>4700</v>
      </c>
      <c r="L16" s="55">
        <f>+'Cotizaciones Empresas'!BD80</f>
        <v>2884</v>
      </c>
      <c r="M16" s="55">
        <f>+'Cotizaciones Empresas'!BE80</f>
        <v>2884</v>
      </c>
      <c r="N16" s="55">
        <f>+'Cotizaciones Empresas'!BF80</f>
        <v>2884</v>
      </c>
      <c r="O16" s="55">
        <v>2884</v>
      </c>
      <c r="P16" s="70">
        <f>AVERAGE(COTIZACIONES2025[[#This Row],[RH &amp;CIUDAD LIMPIA
Valor Kg Biosanitario  ]],COTIZACIONES2025[[#This Row],[DESCONT 
Valor Kg Biosanitario ]],COTIZACIONES2025[[#This Row],[HISTORICO
2024 + IPC 2025 (3%)Biosanitario]])</f>
        <v>3628</v>
      </c>
      <c r="Q16" s="54">
        <f>AVERAGE(COTIZACIONES2025[[#This Row],[RH &amp;CIUDAD LIMPIA
Valor Kg Cortopunzantes]],COTIZACIONES2025[[#This Row],[DESCONT 
Valor Kg Cortopunzantes]],COTIZACIONES2025[[#This Row],[HISTORICO
2024  + IPC 2025 (3%) 
Cortopunzantes]])</f>
        <v>3628</v>
      </c>
      <c r="R16" s="54">
        <f>AVERAGE(COTIZACIONES2025[[#This Row],[RH &amp;CIUDAD LIMPIA 
Valor Kg Animales]],COTIZACIONES2025[[#This Row],[DESCONT 
Valor Kg Animales]],COTIZACIONES2025[[#This Row],[HISTORICO
2024  + IPC 2025 (3%)Animales]])</f>
        <v>3628</v>
      </c>
      <c r="S16" s="54">
        <f>AVERAGE(COTIZACIONES2025[[#This Row],[RH &amp;CIUDAD LIMPIA 
Valor Kg Quimicos]],COTIZACIONES2025[[#This Row],[DESCONT 
Valor Kg Quimicos]],COTIZACIONES2025[[#This Row],[HISTORICO
2024  + IPC 2025 (3%) Quimicos]])</f>
        <v>3694.6666666666665</v>
      </c>
    </row>
    <row r="17" spans="2:19" ht="18" customHeight="1">
      <c r="B17" s="233"/>
      <c r="C17" s="53" t="s">
        <v>181</v>
      </c>
      <c r="D17" s="54">
        <f>+'Cotizaciones Empresas'!C81</f>
        <v>3500</v>
      </c>
      <c r="E17" s="54">
        <f>+'Cotizaciones Empresas'!D81</f>
        <v>3500</v>
      </c>
      <c r="F17" s="54">
        <f>+'Cotizaciones Empresas'!E81</f>
        <v>3500</v>
      </c>
      <c r="G17" s="54">
        <f>+'Cotizaciones Empresas'!F81</f>
        <v>3500</v>
      </c>
      <c r="H17" s="54">
        <f>+'Cotizaciones Empresas'!AJ81</f>
        <v>4500</v>
      </c>
      <c r="I17" s="54">
        <f>+'Cotizaciones Empresas'!AK81</f>
        <v>4500</v>
      </c>
      <c r="J17" s="54">
        <f>+'Cotizaciones Empresas'!AL81</f>
        <v>4500</v>
      </c>
      <c r="K17" s="55">
        <f>+'Cotizaciones Empresas'!AM81</f>
        <v>4700</v>
      </c>
      <c r="L17" s="55">
        <f>+'Cotizaciones Empresas'!BD81</f>
        <v>2884</v>
      </c>
      <c r="M17" s="55">
        <f>+'Cotizaciones Empresas'!BE81</f>
        <v>2884</v>
      </c>
      <c r="N17" s="55">
        <f>+'Cotizaciones Empresas'!BF81</f>
        <v>2884</v>
      </c>
      <c r="O17" s="55">
        <v>2884</v>
      </c>
      <c r="P17" s="70">
        <f>AVERAGE(COTIZACIONES2025[[#This Row],[RH &amp;CIUDAD LIMPIA
Valor Kg Biosanitario  ]],COTIZACIONES2025[[#This Row],[DESCONT 
Valor Kg Biosanitario ]],COTIZACIONES2025[[#This Row],[HISTORICO
2024 + IPC 2025 (3%)Biosanitario]])</f>
        <v>3628</v>
      </c>
      <c r="Q17" s="54">
        <f>AVERAGE(COTIZACIONES2025[[#This Row],[RH &amp;CIUDAD LIMPIA
Valor Kg Cortopunzantes]],COTIZACIONES2025[[#This Row],[DESCONT 
Valor Kg Cortopunzantes]],COTIZACIONES2025[[#This Row],[HISTORICO
2024  + IPC 2025 (3%) 
Cortopunzantes]])</f>
        <v>3628</v>
      </c>
      <c r="R17" s="54">
        <f>AVERAGE(COTIZACIONES2025[[#This Row],[RH &amp;CIUDAD LIMPIA 
Valor Kg Animales]],COTIZACIONES2025[[#This Row],[DESCONT 
Valor Kg Animales]],COTIZACIONES2025[[#This Row],[HISTORICO
2024  + IPC 2025 (3%)Animales]])</f>
        <v>3628</v>
      </c>
      <c r="S17" s="54">
        <f>AVERAGE(COTIZACIONES2025[[#This Row],[RH &amp;CIUDAD LIMPIA 
Valor Kg Quimicos]],COTIZACIONES2025[[#This Row],[DESCONT 
Valor Kg Quimicos]],COTIZACIONES2025[[#This Row],[HISTORICO
2024  + IPC 2025 (3%) Quimicos]])</f>
        <v>3694.6666666666665</v>
      </c>
    </row>
    <row r="18" spans="2:19" ht="15" customHeight="1">
      <c r="B18" s="233"/>
      <c r="C18" s="53" t="s">
        <v>182</v>
      </c>
      <c r="D18" s="54">
        <f>+'Cotizaciones Empresas'!C82</f>
        <v>3500</v>
      </c>
      <c r="E18" s="54">
        <f>+'Cotizaciones Empresas'!D82</f>
        <v>3500</v>
      </c>
      <c r="F18" s="54">
        <f>+'Cotizaciones Empresas'!E82</f>
        <v>3500</v>
      </c>
      <c r="G18" s="54">
        <f>+'Cotizaciones Empresas'!F82</f>
        <v>3500</v>
      </c>
      <c r="H18" s="54">
        <f>+'Cotizaciones Empresas'!AJ82</f>
        <v>4500</v>
      </c>
      <c r="I18" s="54">
        <f>+'Cotizaciones Empresas'!AK82</f>
        <v>4500</v>
      </c>
      <c r="J18" s="54">
        <f>+'Cotizaciones Empresas'!AL82</f>
        <v>4500</v>
      </c>
      <c r="K18" s="55">
        <f>+'Cotizaciones Empresas'!AM82</f>
        <v>4700</v>
      </c>
      <c r="L18" s="55">
        <f>+'Cotizaciones Empresas'!BD82</f>
        <v>3090</v>
      </c>
      <c r="M18" s="55">
        <f>+'Cotizaciones Empresas'!BE82</f>
        <v>3090</v>
      </c>
      <c r="N18" s="55">
        <f>+'Cotizaciones Empresas'!BF82</f>
        <v>3090</v>
      </c>
      <c r="O18" s="55">
        <v>3090</v>
      </c>
      <c r="P18" s="70">
        <f>AVERAGE(COTIZACIONES2025[[#This Row],[RH &amp;CIUDAD LIMPIA
Valor Kg Biosanitario  ]],COTIZACIONES2025[[#This Row],[DESCONT 
Valor Kg Biosanitario ]],COTIZACIONES2025[[#This Row],[HISTORICO
2024 + IPC 2025 (3%)Biosanitario]])</f>
        <v>3696.6666666666665</v>
      </c>
      <c r="Q18" s="54">
        <f>AVERAGE(COTIZACIONES2025[[#This Row],[RH &amp;CIUDAD LIMPIA
Valor Kg Cortopunzantes]],COTIZACIONES2025[[#This Row],[DESCONT 
Valor Kg Cortopunzantes]],COTIZACIONES2025[[#This Row],[HISTORICO
2024  + IPC 2025 (3%) 
Cortopunzantes]])</f>
        <v>3696.6666666666665</v>
      </c>
      <c r="R18" s="54">
        <f>AVERAGE(COTIZACIONES2025[[#This Row],[RH &amp;CIUDAD LIMPIA 
Valor Kg Animales]],COTIZACIONES2025[[#This Row],[DESCONT 
Valor Kg Animales]],COTIZACIONES2025[[#This Row],[HISTORICO
2024  + IPC 2025 (3%)Animales]])</f>
        <v>3696.6666666666665</v>
      </c>
      <c r="S18" s="54">
        <f>AVERAGE(COTIZACIONES2025[[#This Row],[RH &amp;CIUDAD LIMPIA 
Valor Kg Quimicos]],COTIZACIONES2025[[#This Row],[DESCONT 
Valor Kg Quimicos]],COTIZACIONES2025[[#This Row],[HISTORICO
2024  + IPC 2025 (3%) Quimicos]])</f>
        <v>3763.3333333333335</v>
      </c>
    </row>
    <row r="19" spans="2:19" ht="16.5" customHeight="1">
      <c r="B19" s="233"/>
      <c r="C19" s="53" t="s">
        <v>183</v>
      </c>
      <c r="D19" s="54">
        <f>+'Cotizaciones Empresas'!C83</f>
        <v>3500</v>
      </c>
      <c r="E19" s="54">
        <f>+'Cotizaciones Empresas'!D83</f>
        <v>3500</v>
      </c>
      <c r="F19" s="54">
        <f>+'Cotizaciones Empresas'!E83</f>
        <v>3500</v>
      </c>
      <c r="G19" s="54">
        <f>+'Cotizaciones Empresas'!F83</f>
        <v>3500</v>
      </c>
      <c r="H19" s="54">
        <f>+'Cotizaciones Empresas'!AJ83</f>
        <v>4500</v>
      </c>
      <c r="I19" s="54">
        <f>+'Cotizaciones Empresas'!AK83</f>
        <v>4500</v>
      </c>
      <c r="J19" s="54">
        <f>+'Cotizaciones Empresas'!AL83</f>
        <v>4500</v>
      </c>
      <c r="K19" s="55">
        <f>+'Cotizaciones Empresas'!AM83</f>
        <v>4700</v>
      </c>
      <c r="L19" s="55">
        <f>+'Cotizaciones Empresas'!BD83</f>
        <v>2884</v>
      </c>
      <c r="M19" s="55">
        <f>+'Cotizaciones Empresas'!BE83</f>
        <v>2884</v>
      </c>
      <c r="N19" s="55">
        <f>+'Cotizaciones Empresas'!BF83</f>
        <v>2884</v>
      </c>
      <c r="O19" s="55">
        <v>2884</v>
      </c>
      <c r="P19" s="70">
        <f>AVERAGE(COTIZACIONES2025[[#This Row],[RH &amp;CIUDAD LIMPIA
Valor Kg Biosanitario  ]],COTIZACIONES2025[[#This Row],[DESCONT 
Valor Kg Biosanitario ]],COTIZACIONES2025[[#This Row],[HISTORICO
2024 + IPC 2025 (3%)Biosanitario]])</f>
        <v>3628</v>
      </c>
      <c r="Q19" s="54">
        <f>AVERAGE(COTIZACIONES2025[[#This Row],[RH &amp;CIUDAD LIMPIA
Valor Kg Cortopunzantes]],COTIZACIONES2025[[#This Row],[DESCONT 
Valor Kg Cortopunzantes]],COTIZACIONES2025[[#This Row],[HISTORICO
2024  + IPC 2025 (3%) 
Cortopunzantes]])</f>
        <v>3628</v>
      </c>
      <c r="R19" s="54">
        <f>AVERAGE(COTIZACIONES2025[[#This Row],[RH &amp;CIUDAD LIMPIA 
Valor Kg Animales]],COTIZACIONES2025[[#This Row],[DESCONT 
Valor Kg Animales]],COTIZACIONES2025[[#This Row],[HISTORICO
2024  + IPC 2025 (3%)Animales]])</f>
        <v>3628</v>
      </c>
      <c r="S19" s="54">
        <f>AVERAGE(COTIZACIONES2025[[#This Row],[RH &amp;CIUDAD LIMPIA 
Valor Kg Quimicos]],COTIZACIONES2025[[#This Row],[DESCONT 
Valor Kg Quimicos]],COTIZACIONES2025[[#This Row],[HISTORICO
2024  + IPC 2025 (3%) Quimicos]])</f>
        <v>3694.6666666666665</v>
      </c>
    </row>
    <row r="20" spans="2:19" ht="15.75" customHeight="1">
      <c r="B20" s="233"/>
      <c r="C20" s="53" t="s">
        <v>184</v>
      </c>
      <c r="D20" s="54">
        <f>+'Cotizaciones Empresas'!C84</f>
        <v>3500</v>
      </c>
      <c r="E20" s="54">
        <f>+'Cotizaciones Empresas'!D84</f>
        <v>3500</v>
      </c>
      <c r="F20" s="54">
        <f>+'Cotizaciones Empresas'!E84</f>
        <v>3500</v>
      </c>
      <c r="G20" s="54">
        <f>+'Cotizaciones Empresas'!F84</f>
        <v>3500</v>
      </c>
      <c r="H20" s="54">
        <f>+'Cotizaciones Empresas'!AJ84</f>
        <v>4500</v>
      </c>
      <c r="I20" s="54">
        <f>+'Cotizaciones Empresas'!AK84</f>
        <v>4500</v>
      </c>
      <c r="J20" s="54">
        <f>+'Cotizaciones Empresas'!AL84</f>
        <v>4500</v>
      </c>
      <c r="K20" s="55">
        <f>+'Cotizaciones Empresas'!AM84</f>
        <v>4700</v>
      </c>
      <c r="L20" s="55">
        <f>+'Cotizaciones Empresas'!BD84</f>
        <v>3914</v>
      </c>
      <c r="M20" s="55">
        <f>+'Cotizaciones Empresas'!BE84</f>
        <v>3914</v>
      </c>
      <c r="N20" s="55">
        <f>+'Cotizaciones Empresas'!BF84</f>
        <v>3914</v>
      </c>
      <c r="O20" s="55">
        <v>3914</v>
      </c>
      <c r="P20" s="70">
        <f>AVERAGE(COTIZACIONES2025[[#This Row],[RH &amp;CIUDAD LIMPIA
Valor Kg Biosanitario  ]],COTIZACIONES2025[[#This Row],[DESCONT 
Valor Kg Biosanitario ]],COTIZACIONES2025[[#This Row],[HISTORICO
2024 + IPC 2025 (3%)Biosanitario]])</f>
        <v>3971.3333333333335</v>
      </c>
      <c r="Q20" s="54">
        <f>AVERAGE(COTIZACIONES2025[[#This Row],[RH &amp;CIUDAD LIMPIA
Valor Kg Cortopunzantes]],COTIZACIONES2025[[#This Row],[DESCONT 
Valor Kg Cortopunzantes]],COTIZACIONES2025[[#This Row],[HISTORICO
2024  + IPC 2025 (3%) 
Cortopunzantes]])</f>
        <v>3971.3333333333335</v>
      </c>
      <c r="R20" s="54">
        <f>AVERAGE(COTIZACIONES2025[[#This Row],[RH &amp;CIUDAD LIMPIA 
Valor Kg Animales]],COTIZACIONES2025[[#This Row],[DESCONT 
Valor Kg Animales]],COTIZACIONES2025[[#This Row],[HISTORICO
2024  + IPC 2025 (3%)Animales]])</f>
        <v>3971.3333333333335</v>
      </c>
      <c r="S20" s="54">
        <f>AVERAGE(COTIZACIONES2025[[#This Row],[RH &amp;CIUDAD LIMPIA 
Valor Kg Quimicos]],COTIZACIONES2025[[#This Row],[DESCONT 
Valor Kg Quimicos]],COTIZACIONES2025[[#This Row],[HISTORICO
2024  + IPC 2025 (3%) Quimicos]])</f>
        <v>4038</v>
      </c>
    </row>
    <row r="21" spans="2:19">
      <c r="B21" s="233"/>
      <c r="C21" s="53" t="s">
        <v>185</v>
      </c>
      <c r="D21" s="54">
        <f>+'Cotizaciones Empresas'!C85</f>
        <v>3500</v>
      </c>
      <c r="E21" s="54">
        <f>+'Cotizaciones Empresas'!D85</f>
        <v>3500</v>
      </c>
      <c r="F21" s="54">
        <f>+'Cotizaciones Empresas'!E85</f>
        <v>3500</v>
      </c>
      <c r="G21" s="54">
        <f>+'Cotizaciones Empresas'!F85</f>
        <v>3500</v>
      </c>
      <c r="H21" s="54">
        <f>+'Cotizaciones Empresas'!AJ85</f>
        <v>4500</v>
      </c>
      <c r="I21" s="54">
        <f>+'Cotizaciones Empresas'!AK85</f>
        <v>4500</v>
      </c>
      <c r="J21" s="54">
        <f>+'Cotizaciones Empresas'!AL85</f>
        <v>4500</v>
      </c>
      <c r="K21" s="55">
        <f>+'Cotizaciones Empresas'!AM85</f>
        <v>4700</v>
      </c>
      <c r="L21" s="55">
        <f>+'Cotizaciones Empresas'!BD85</f>
        <v>2884</v>
      </c>
      <c r="M21" s="55">
        <f>+'Cotizaciones Empresas'!BE85</f>
        <v>2884</v>
      </c>
      <c r="N21" s="55">
        <f>+'Cotizaciones Empresas'!BF85</f>
        <v>2884</v>
      </c>
      <c r="O21" s="55">
        <v>2884</v>
      </c>
      <c r="P21" s="70">
        <f>AVERAGE(COTIZACIONES2025[[#This Row],[RH &amp;CIUDAD LIMPIA
Valor Kg Biosanitario  ]],COTIZACIONES2025[[#This Row],[DESCONT 
Valor Kg Biosanitario ]],COTIZACIONES2025[[#This Row],[HISTORICO
2024 + IPC 2025 (3%)Biosanitario]])</f>
        <v>3628</v>
      </c>
      <c r="Q21" s="54">
        <f>AVERAGE(COTIZACIONES2025[[#This Row],[RH &amp;CIUDAD LIMPIA
Valor Kg Cortopunzantes]],COTIZACIONES2025[[#This Row],[DESCONT 
Valor Kg Cortopunzantes]],COTIZACIONES2025[[#This Row],[HISTORICO
2024  + IPC 2025 (3%) 
Cortopunzantes]])</f>
        <v>3628</v>
      </c>
      <c r="R21" s="54">
        <f>AVERAGE(COTIZACIONES2025[[#This Row],[RH &amp;CIUDAD LIMPIA 
Valor Kg Animales]],COTIZACIONES2025[[#This Row],[DESCONT 
Valor Kg Animales]],COTIZACIONES2025[[#This Row],[HISTORICO
2024  + IPC 2025 (3%)Animales]])</f>
        <v>3628</v>
      </c>
      <c r="S21" s="54">
        <f>AVERAGE(COTIZACIONES2025[[#This Row],[RH &amp;CIUDAD LIMPIA 
Valor Kg Quimicos]],COTIZACIONES2025[[#This Row],[DESCONT 
Valor Kg Quimicos]],COTIZACIONES2025[[#This Row],[HISTORICO
2024  + IPC 2025 (3%) Quimicos]])</f>
        <v>3694.6666666666665</v>
      </c>
    </row>
    <row r="22" spans="2:19">
      <c r="B22" s="233"/>
      <c r="C22" s="53" t="s">
        <v>186</v>
      </c>
      <c r="D22" s="54">
        <f>+'Cotizaciones Empresas'!C86</f>
        <v>3500</v>
      </c>
      <c r="E22" s="54">
        <f>+'Cotizaciones Empresas'!D86</f>
        <v>3500</v>
      </c>
      <c r="F22" s="54">
        <f>+'Cotizaciones Empresas'!E86</f>
        <v>3500</v>
      </c>
      <c r="G22" s="54">
        <f>+'Cotizaciones Empresas'!F86</f>
        <v>3500</v>
      </c>
      <c r="H22" s="54">
        <f>+'Cotizaciones Empresas'!AJ86</f>
        <v>4500</v>
      </c>
      <c r="I22" s="54">
        <f>+'Cotizaciones Empresas'!AK86</f>
        <v>4500</v>
      </c>
      <c r="J22" s="54">
        <f>+'Cotizaciones Empresas'!AL86</f>
        <v>4500</v>
      </c>
      <c r="K22" s="55">
        <f>+'Cotizaciones Empresas'!AM86</f>
        <v>4700</v>
      </c>
      <c r="L22" s="55">
        <f>+'Cotizaciones Empresas'!BD86</f>
        <v>4100</v>
      </c>
      <c r="M22" s="55">
        <f>+'Cotizaciones Empresas'!BE86</f>
        <v>4100</v>
      </c>
      <c r="N22" s="55">
        <f>+'Cotizaciones Empresas'!BF86</f>
        <v>4100</v>
      </c>
      <c r="O22" s="55">
        <v>4100</v>
      </c>
      <c r="P22" s="70">
        <f>AVERAGE(COTIZACIONES2025[[#This Row],[RH &amp;CIUDAD LIMPIA
Valor Kg Biosanitario  ]],COTIZACIONES2025[[#This Row],[DESCONT 
Valor Kg Biosanitario ]],COTIZACIONES2025[[#This Row],[HISTORICO
2024 + IPC 2025 (3%)Biosanitario]])</f>
        <v>4033.3333333333335</v>
      </c>
      <c r="Q22" s="54">
        <f>AVERAGE(COTIZACIONES2025[[#This Row],[RH &amp;CIUDAD LIMPIA
Valor Kg Cortopunzantes]],COTIZACIONES2025[[#This Row],[DESCONT 
Valor Kg Cortopunzantes]],COTIZACIONES2025[[#This Row],[HISTORICO
2024  + IPC 2025 (3%) 
Cortopunzantes]])</f>
        <v>4033.3333333333335</v>
      </c>
      <c r="R22" s="54">
        <f>AVERAGE(COTIZACIONES2025[[#This Row],[RH &amp;CIUDAD LIMPIA 
Valor Kg Animales]],COTIZACIONES2025[[#This Row],[DESCONT 
Valor Kg Animales]],COTIZACIONES2025[[#This Row],[HISTORICO
2024  + IPC 2025 (3%)Animales]])</f>
        <v>4033.3333333333335</v>
      </c>
      <c r="S22" s="54">
        <f>AVERAGE(COTIZACIONES2025[[#This Row],[RH &amp;CIUDAD LIMPIA 
Valor Kg Quimicos]],COTIZACIONES2025[[#This Row],[DESCONT 
Valor Kg Quimicos]],COTIZACIONES2025[[#This Row],[HISTORICO
2024  + IPC 2025 (3%) Quimicos]])</f>
        <v>4100</v>
      </c>
    </row>
    <row r="23" spans="2:19">
      <c r="B23" s="233"/>
      <c r="C23" s="53" t="s">
        <v>187</v>
      </c>
      <c r="D23" s="54">
        <f>+'Cotizaciones Empresas'!C87</f>
        <v>3500</v>
      </c>
      <c r="E23" s="54">
        <f>+'Cotizaciones Empresas'!D87</f>
        <v>3500</v>
      </c>
      <c r="F23" s="54">
        <f>+'Cotizaciones Empresas'!E87</f>
        <v>3500</v>
      </c>
      <c r="G23" s="54">
        <f>+'Cotizaciones Empresas'!F87</f>
        <v>3500</v>
      </c>
      <c r="H23" s="54">
        <f>+'Cotizaciones Empresas'!AJ87</f>
        <v>4500</v>
      </c>
      <c r="I23" s="54">
        <f>+'Cotizaciones Empresas'!AK87</f>
        <v>4500</v>
      </c>
      <c r="J23" s="54">
        <f>+'Cotizaciones Empresas'!AL87</f>
        <v>4500</v>
      </c>
      <c r="K23" s="55">
        <f>+'Cotizaciones Empresas'!AM87</f>
        <v>4700</v>
      </c>
      <c r="L23" s="55">
        <f>+'Cotizaciones Empresas'!BD87</f>
        <v>4223</v>
      </c>
      <c r="M23" s="55">
        <f>+'Cotizaciones Empresas'!BE87</f>
        <v>4223</v>
      </c>
      <c r="N23" s="55">
        <f>+'Cotizaciones Empresas'!BF87</f>
        <v>4223</v>
      </c>
      <c r="O23" s="55">
        <v>4223</v>
      </c>
      <c r="P23" s="70">
        <f>AVERAGE(COTIZACIONES2025[[#This Row],[RH &amp;CIUDAD LIMPIA
Valor Kg Biosanitario  ]],COTIZACIONES2025[[#This Row],[DESCONT 
Valor Kg Biosanitario ]],COTIZACIONES2025[[#This Row],[HISTORICO
2024 + IPC 2025 (3%)Biosanitario]])</f>
        <v>4074.3333333333335</v>
      </c>
      <c r="Q23" s="54">
        <f>AVERAGE(COTIZACIONES2025[[#This Row],[RH &amp;CIUDAD LIMPIA
Valor Kg Cortopunzantes]],COTIZACIONES2025[[#This Row],[DESCONT 
Valor Kg Cortopunzantes]],COTIZACIONES2025[[#This Row],[HISTORICO
2024  + IPC 2025 (3%) 
Cortopunzantes]])</f>
        <v>4074.3333333333335</v>
      </c>
      <c r="R23" s="54">
        <f>AVERAGE(COTIZACIONES2025[[#This Row],[RH &amp;CIUDAD LIMPIA 
Valor Kg Animales]],COTIZACIONES2025[[#This Row],[DESCONT 
Valor Kg Animales]],COTIZACIONES2025[[#This Row],[HISTORICO
2024  + IPC 2025 (3%)Animales]])</f>
        <v>4074.3333333333335</v>
      </c>
      <c r="S23" s="54">
        <f>AVERAGE(COTIZACIONES2025[[#This Row],[RH &amp;CIUDAD LIMPIA 
Valor Kg Quimicos]],COTIZACIONES2025[[#This Row],[DESCONT 
Valor Kg Quimicos]],COTIZACIONES2025[[#This Row],[HISTORICO
2024  + IPC 2025 (3%) Quimicos]])</f>
        <v>4141</v>
      </c>
    </row>
    <row r="24" spans="2:19" ht="15" customHeight="1">
      <c r="B24" s="233"/>
      <c r="C24" s="53" t="s">
        <v>188</v>
      </c>
      <c r="D24" s="54">
        <f>+'Cotizaciones Empresas'!C88</f>
        <v>3500</v>
      </c>
      <c r="E24" s="54">
        <f>+'Cotizaciones Empresas'!D88</f>
        <v>3500</v>
      </c>
      <c r="F24" s="54">
        <f>+'Cotizaciones Empresas'!E88</f>
        <v>3500</v>
      </c>
      <c r="G24" s="54">
        <f>+'Cotizaciones Empresas'!F88</f>
        <v>3500</v>
      </c>
      <c r="H24" s="54">
        <f>+'Cotizaciones Empresas'!AJ88</f>
        <v>4500</v>
      </c>
      <c r="I24" s="54">
        <f>+'Cotizaciones Empresas'!AK88</f>
        <v>4500</v>
      </c>
      <c r="J24" s="54">
        <f>+'Cotizaciones Empresas'!AL88</f>
        <v>4500</v>
      </c>
      <c r="K24" s="55">
        <f>+'Cotizaciones Empresas'!AM88</f>
        <v>4700</v>
      </c>
      <c r="L24" s="55">
        <f>+'Cotizaciones Empresas'!BD88</f>
        <v>5480</v>
      </c>
      <c r="M24" s="55">
        <f>+'Cotizaciones Empresas'!BE88</f>
        <v>5480</v>
      </c>
      <c r="N24" s="55">
        <f>+'Cotizaciones Empresas'!BF88</f>
        <v>5480</v>
      </c>
      <c r="O24" s="55">
        <v>5480</v>
      </c>
      <c r="P24" s="70">
        <f>AVERAGE(COTIZACIONES2025[[#This Row],[RH &amp;CIUDAD LIMPIA
Valor Kg Biosanitario  ]],COTIZACIONES2025[[#This Row],[DESCONT 
Valor Kg Biosanitario ]],COTIZACIONES2025[[#This Row],[HISTORICO
2024 + IPC 2025 (3%)Biosanitario]])</f>
        <v>4493.333333333333</v>
      </c>
      <c r="Q24" s="54">
        <f>AVERAGE(COTIZACIONES2025[[#This Row],[RH &amp;CIUDAD LIMPIA
Valor Kg Cortopunzantes]],COTIZACIONES2025[[#This Row],[DESCONT 
Valor Kg Cortopunzantes]],COTIZACIONES2025[[#This Row],[HISTORICO
2024  + IPC 2025 (3%) 
Cortopunzantes]])</f>
        <v>4493.333333333333</v>
      </c>
      <c r="R24" s="54">
        <f>AVERAGE(COTIZACIONES2025[[#This Row],[RH &amp;CIUDAD LIMPIA 
Valor Kg Animales]],COTIZACIONES2025[[#This Row],[DESCONT 
Valor Kg Animales]],COTIZACIONES2025[[#This Row],[HISTORICO
2024  + IPC 2025 (3%)Animales]])</f>
        <v>4493.333333333333</v>
      </c>
      <c r="S24" s="54">
        <f>AVERAGE(COTIZACIONES2025[[#This Row],[RH &amp;CIUDAD LIMPIA 
Valor Kg Quimicos]],COTIZACIONES2025[[#This Row],[DESCONT 
Valor Kg Quimicos]],COTIZACIONES2025[[#This Row],[HISTORICO
2024  + IPC 2025 (3%) Quimicos]])</f>
        <v>4560</v>
      </c>
    </row>
    <row r="25" spans="2:19" ht="15" customHeight="1">
      <c r="B25" s="233"/>
      <c r="C25" s="53" t="s">
        <v>189</v>
      </c>
      <c r="D25" s="54">
        <f>+'Cotizaciones Empresas'!C89</f>
        <v>3500</v>
      </c>
      <c r="E25" s="54">
        <f>+'Cotizaciones Empresas'!D89</f>
        <v>3500</v>
      </c>
      <c r="F25" s="54">
        <f>+'Cotizaciones Empresas'!E89</f>
        <v>3500</v>
      </c>
      <c r="G25" s="54">
        <f>+'Cotizaciones Empresas'!F89</f>
        <v>3500</v>
      </c>
      <c r="H25" s="54">
        <f>+'Cotizaciones Empresas'!AJ89</f>
        <v>4500</v>
      </c>
      <c r="I25" s="54">
        <f>+'Cotizaciones Empresas'!AK89</f>
        <v>4500</v>
      </c>
      <c r="J25" s="54">
        <f>+'Cotizaciones Empresas'!AL89</f>
        <v>4500</v>
      </c>
      <c r="K25" s="55">
        <f>+'Cotizaciones Empresas'!AM89</f>
        <v>4700</v>
      </c>
      <c r="L25" s="55">
        <f>+'Cotizaciones Empresas'!BD89</f>
        <v>2884</v>
      </c>
      <c r="M25" s="55">
        <f>+'Cotizaciones Empresas'!BE89</f>
        <v>2884</v>
      </c>
      <c r="N25" s="55">
        <f>+'Cotizaciones Empresas'!BF89</f>
        <v>2884</v>
      </c>
      <c r="O25" s="55">
        <v>2884</v>
      </c>
      <c r="P25" s="70">
        <f>AVERAGE(COTIZACIONES2025[[#This Row],[RH &amp;CIUDAD LIMPIA
Valor Kg Biosanitario  ]],COTIZACIONES2025[[#This Row],[DESCONT 
Valor Kg Biosanitario ]],COTIZACIONES2025[[#This Row],[HISTORICO
2024 + IPC 2025 (3%)Biosanitario]])</f>
        <v>3628</v>
      </c>
      <c r="Q25" s="54">
        <f>AVERAGE(COTIZACIONES2025[[#This Row],[RH &amp;CIUDAD LIMPIA
Valor Kg Cortopunzantes]],COTIZACIONES2025[[#This Row],[DESCONT 
Valor Kg Cortopunzantes]],COTIZACIONES2025[[#This Row],[HISTORICO
2024  + IPC 2025 (3%) 
Cortopunzantes]])</f>
        <v>3628</v>
      </c>
      <c r="R25" s="54">
        <f>AVERAGE(COTIZACIONES2025[[#This Row],[RH &amp;CIUDAD LIMPIA 
Valor Kg Animales]],COTIZACIONES2025[[#This Row],[DESCONT 
Valor Kg Animales]],COTIZACIONES2025[[#This Row],[HISTORICO
2024  + IPC 2025 (3%)Animales]])</f>
        <v>3628</v>
      </c>
      <c r="S25" s="54">
        <f>AVERAGE(COTIZACIONES2025[[#This Row],[RH &amp;CIUDAD LIMPIA 
Valor Kg Quimicos]],COTIZACIONES2025[[#This Row],[DESCONT 
Valor Kg Quimicos]],COTIZACIONES2025[[#This Row],[HISTORICO
2024  + IPC 2025 (3%) Quimicos]])</f>
        <v>3694.6666666666665</v>
      </c>
    </row>
    <row r="26" spans="2:19" ht="15" customHeight="1">
      <c r="B26" s="233"/>
      <c r="C26" s="53" t="s">
        <v>190</v>
      </c>
      <c r="D26" s="54">
        <f>+'Cotizaciones Empresas'!C90</f>
        <v>3500</v>
      </c>
      <c r="E26" s="54">
        <f>+'Cotizaciones Empresas'!D90</f>
        <v>3500</v>
      </c>
      <c r="F26" s="54">
        <f>+'Cotizaciones Empresas'!E90</f>
        <v>3500</v>
      </c>
      <c r="G26" s="54">
        <f>+'Cotizaciones Empresas'!F90</f>
        <v>3500</v>
      </c>
      <c r="H26" s="54">
        <f>+'Cotizaciones Empresas'!AJ90</f>
        <v>4500</v>
      </c>
      <c r="I26" s="54">
        <f>+'Cotizaciones Empresas'!AK90</f>
        <v>4500</v>
      </c>
      <c r="J26" s="54">
        <f>+'Cotizaciones Empresas'!AL90</f>
        <v>4500</v>
      </c>
      <c r="K26" s="55">
        <f>+'Cotizaciones Empresas'!AM90</f>
        <v>4700</v>
      </c>
      <c r="L26" s="55">
        <f>+'Cotizaciones Empresas'!BD90</f>
        <v>3296</v>
      </c>
      <c r="M26" s="55">
        <f>+'Cotizaciones Empresas'!BE90</f>
        <v>3296</v>
      </c>
      <c r="N26" s="55">
        <f>+'Cotizaciones Empresas'!BF90</f>
        <v>3296</v>
      </c>
      <c r="O26" s="55">
        <v>3296</v>
      </c>
      <c r="P26" s="70">
        <f>AVERAGE(COTIZACIONES2025[[#This Row],[RH &amp;CIUDAD LIMPIA
Valor Kg Biosanitario  ]],COTIZACIONES2025[[#This Row],[DESCONT 
Valor Kg Biosanitario ]],COTIZACIONES2025[[#This Row],[HISTORICO
2024 + IPC 2025 (3%)Biosanitario]])</f>
        <v>3765.3333333333335</v>
      </c>
      <c r="Q26" s="54">
        <f>AVERAGE(COTIZACIONES2025[[#This Row],[RH &amp;CIUDAD LIMPIA
Valor Kg Cortopunzantes]],COTIZACIONES2025[[#This Row],[DESCONT 
Valor Kg Cortopunzantes]],COTIZACIONES2025[[#This Row],[HISTORICO
2024  + IPC 2025 (3%) 
Cortopunzantes]])</f>
        <v>3765.3333333333335</v>
      </c>
      <c r="R26" s="54">
        <f>AVERAGE(COTIZACIONES2025[[#This Row],[RH &amp;CIUDAD LIMPIA 
Valor Kg Animales]],COTIZACIONES2025[[#This Row],[DESCONT 
Valor Kg Animales]],COTIZACIONES2025[[#This Row],[HISTORICO
2024  + IPC 2025 (3%)Animales]])</f>
        <v>3765.3333333333335</v>
      </c>
      <c r="S26" s="54">
        <f>AVERAGE(COTIZACIONES2025[[#This Row],[RH &amp;CIUDAD LIMPIA 
Valor Kg Quimicos]],COTIZACIONES2025[[#This Row],[DESCONT 
Valor Kg Quimicos]],COTIZACIONES2025[[#This Row],[HISTORICO
2024  + IPC 2025 (3%) Quimicos]])</f>
        <v>3832</v>
      </c>
    </row>
    <row r="27" spans="2:19" ht="15" customHeight="1">
      <c r="B27" s="233"/>
      <c r="C27" s="53" t="s">
        <v>191</v>
      </c>
      <c r="D27" s="54">
        <f>+'Cotizaciones Empresas'!C91</f>
        <v>3500</v>
      </c>
      <c r="E27" s="54">
        <f>+'Cotizaciones Empresas'!D91</f>
        <v>3500</v>
      </c>
      <c r="F27" s="54">
        <f>+'Cotizaciones Empresas'!E91</f>
        <v>3500</v>
      </c>
      <c r="G27" s="54">
        <f>+'Cotizaciones Empresas'!F91</f>
        <v>3500</v>
      </c>
      <c r="H27" s="54">
        <f>+'Cotizaciones Empresas'!AJ91</f>
        <v>4500</v>
      </c>
      <c r="I27" s="54">
        <f>+'Cotizaciones Empresas'!AK91</f>
        <v>4500</v>
      </c>
      <c r="J27" s="54">
        <f>+'Cotizaciones Empresas'!AL91</f>
        <v>4500</v>
      </c>
      <c r="K27" s="55">
        <f>+'Cotizaciones Empresas'!AM91</f>
        <v>4700</v>
      </c>
      <c r="L27" s="55">
        <f>+'Cotizaciones Empresas'!BD91</f>
        <v>3296</v>
      </c>
      <c r="M27" s="55">
        <f>+'Cotizaciones Empresas'!BE91</f>
        <v>3296</v>
      </c>
      <c r="N27" s="55">
        <f>+'Cotizaciones Empresas'!BF91</f>
        <v>3296</v>
      </c>
      <c r="O27" s="55">
        <v>3296</v>
      </c>
      <c r="P27" s="70">
        <f>AVERAGE(COTIZACIONES2025[[#This Row],[RH &amp;CIUDAD LIMPIA
Valor Kg Biosanitario  ]],COTIZACIONES2025[[#This Row],[DESCONT 
Valor Kg Biosanitario ]],COTIZACIONES2025[[#This Row],[HISTORICO
2024 + IPC 2025 (3%)Biosanitario]])</f>
        <v>3765.3333333333335</v>
      </c>
      <c r="Q27" s="54">
        <f>AVERAGE(COTIZACIONES2025[[#This Row],[RH &amp;CIUDAD LIMPIA
Valor Kg Cortopunzantes]],COTIZACIONES2025[[#This Row],[DESCONT 
Valor Kg Cortopunzantes]],COTIZACIONES2025[[#This Row],[HISTORICO
2024  + IPC 2025 (3%) 
Cortopunzantes]])</f>
        <v>3765.3333333333335</v>
      </c>
      <c r="R27" s="54">
        <f>AVERAGE(COTIZACIONES2025[[#This Row],[RH &amp;CIUDAD LIMPIA 
Valor Kg Animales]],COTIZACIONES2025[[#This Row],[DESCONT 
Valor Kg Animales]],COTIZACIONES2025[[#This Row],[HISTORICO
2024  + IPC 2025 (3%)Animales]])</f>
        <v>3765.3333333333335</v>
      </c>
      <c r="S27" s="54">
        <f>AVERAGE(COTIZACIONES2025[[#This Row],[RH &amp;CIUDAD LIMPIA 
Valor Kg Quimicos]],COTIZACIONES2025[[#This Row],[DESCONT 
Valor Kg Quimicos]],COTIZACIONES2025[[#This Row],[HISTORICO
2024  + IPC 2025 (3%) Quimicos]])</f>
        <v>3832</v>
      </c>
    </row>
    <row r="28" spans="2:19" ht="15" customHeight="1">
      <c r="B28" s="233"/>
      <c r="C28" s="53" t="s">
        <v>192</v>
      </c>
      <c r="D28" s="54">
        <f>+'Cotizaciones Empresas'!C92</f>
        <v>3500</v>
      </c>
      <c r="E28" s="54">
        <f>+'Cotizaciones Empresas'!D92</f>
        <v>3500</v>
      </c>
      <c r="F28" s="54">
        <f>+'Cotizaciones Empresas'!E92</f>
        <v>3500</v>
      </c>
      <c r="G28" s="54">
        <f>+'Cotizaciones Empresas'!F92</f>
        <v>3500</v>
      </c>
      <c r="H28" s="54">
        <f>+'Cotizaciones Empresas'!AJ92</f>
        <v>4500</v>
      </c>
      <c r="I28" s="54">
        <f>+'Cotizaciones Empresas'!AK92</f>
        <v>4500</v>
      </c>
      <c r="J28" s="54">
        <f>+'Cotizaciones Empresas'!AL92</f>
        <v>4500</v>
      </c>
      <c r="K28" s="55">
        <f>+'Cotizaciones Empresas'!AM92</f>
        <v>4700</v>
      </c>
      <c r="L28" s="55">
        <f>+'Cotizaciones Empresas'!BD92</f>
        <v>3811</v>
      </c>
      <c r="M28" s="55">
        <f>+'Cotizaciones Empresas'!BE92</f>
        <v>3811</v>
      </c>
      <c r="N28" s="55">
        <f>+'Cotizaciones Empresas'!BF92</f>
        <v>3811</v>
      </c>
      <c r="O28" s="55">
        <v>3811</v>
      </c>
      <c r="P28" s="70">
        <f>AVERAGE(COTIZACIONES2025[[#This Row],[RH &amp;CIUDAD LIMPIA
Valor Kg Biosanitario  ]],COTIZACIONES2025[[#This Row],[DESCONT 
Valor Kg Biosanitario ]],COTIZACIONES2025[[#This Row],[HISTORICO
2024 + IPC 2025 (3%)Biosanitario]])</f>
        <v>3937</v>
      </c>
      <c r="Q28" s="54">
        <f>AVERAGE(COTIZACIONES2025[[#This Row],[RH &amp;CIUDAD LIMPIA
Valor Kg Cortopunzantes]],COTIZACIONES2025[[#This Row],[DESCONT 
Valor Kg Cortopunzantes]],COTIZACIONES2025[[#This Row],[HISTORICO
2024  + IPC 2025 (3%) 
Cortopunzantes]])</f>
        <v>3937</v>
      </c>
      <c r="R28" s="54">
        <f>AVERAGE(COTIZACIONES2025[[#This Row],[RH &amp;CIUDAD LIMPIA 
Valor Kg Animales]],COTIZACIONES2025[[#This Row],[DESCONT 
Valor Kg Animales]],COTIZACIONES2025[[#This Row],[HISTORICO
2024  + IPC 2025 (3%)Animales]])</f>
        <v>3937</v>
      </c>
      <c r="S28" s="54">
        <f>AVERAGE(COTIZACIONES2025[[#This Row],[RH &amp;CIUDAD LIMPIA 
Valor Kg Quimicos]],COTIZACIONES2025[[#This Row],[DESCONT 
Valor Kg Quimicos]],COTIZACIONES2025[[#This Row],[HISTORICO
2024  + IPC 2025 (3%) Quimicos]])</f>
        <v>4003.6666666666665</v>
      </c>
    </row>
    <row r="29" spans="2:19" ht="15" customHeight="1">
      <c r="B29" s="233"/>
      <c r="C29" s="53" t="s">
        <v>193</v>
      </c>
      <c r="D29" s="54">
        <f>+'Cotizaciones Empresas'!C93</f>
        <v>3500</v>
      </c>
      <c r="E29" s="54">
        <f>+'Cotizaciones Empresas'!D93</f>
        <v>3500</v>
      </c>
      <c r="F29" s="54">
        <f>+'Cotizaciones Empresas'!E93</f>
        <v>3500</v>
      </c>
      <c r="G29" s="54">
        <f>+'Cotizaciones Empresas'!F93</f>
        <v>3500</v>
      </c>
      <c r="H29" s="54">
        <f>+'Cotizaciones Empresas'!AJ93</f>
        <v>4500</v>
      </c>
      <c r="I29" s="54">
        <f>+'Cotizaciones Empresas'!AK93</f>
        <v>4500</v>
      </c>
      <c r="J29" s="54">
        <f>+'Cotizaciones Empresas'!AL93</f>
        <v>4500</v>
      </c>
      <c r="K29" s="55">
        <f>+'Cotizaciones Empresas'!AM93</f>
        <v>4700</v>
      </c>
      <c r="L29" s="55">
        <f>+'Cotizaciones Empresas'!BD93</f>
        <v>3914</v>
      </c>
      <c r="M29" s="55">
        <f>+'Cotizaciones Empresas'!BE93</f>
        <v>3914</v>
      </c>
      <c r="N29" s="55">
        <f>+'Cotizaciones Empresas'!BF93</f>
        <v>3914</v>
      </c>
      <c r="O29" s="55">
        <v>3914</v>
      </c>
      <c r="P29" s="70">
        <f>AVERAGE(COTIZACIONES2025[[#This Row],[RH &amp;CIUDAD LIMPIA
Valor Kg Biosanitario  ]],COTIZACIONES2025[[#This Row],[DESCONT 
Valor Kg Biosanitario ]],COTIZACIONES2025[[#This Row],[HISTORICO
2024 + IPC 2025 (3%)Biosanitario]])</f>
        <v>3971.3333333333335</v>
      </c>
      <c r="Q29" s="54">
        <f>AVERAGE(COTIZACIONES2025[[#This Row],[RH &amp;CIUDAD LIMPIA
Valor Kg Cortopunzantes]],COTIZACIONES2025[[#This Row],[DESCONT 
Valor Kg Cortopunzantes]],COTIZACIONES2025[[#This Row],[HISTORICO
2024  + IPC 2025 (3%) 
Cortopunzantes]])</f>
        <v>3971.3333333333335</v>
      </c>
      <c r="R29" s="54">
        <f>AVERAGE(COTIZACIONES2025[[#This Row],[RH &amp;CIUDAD LIMPIA 
Valor Kg Animales]],COTIZACIONES2025[[#This Row],[DESCONT 
Valor Kg Animales]],COTIZACIONES2025[[#This Row],[HISTORICO
2024  + IPC 2025 (3%)Animales]])</f>
        <v>3971.3333333333335</v>
      </c>
      <c r="S29" s="54">
        <f>AVERAGE(COTIZACIONES2025[[#This Row],[RH &amp;CIUDAD LIMPIA 
Valor Kg Quimicos]],COTIZACIONES2025[[#This Row],[DESCONT 
Valor Kg Quimicos]],COTIZACIONES2025[[#This Row],[HISTORICO
2024  + IPC 2025 (3%) Quimicos]])</f>
        <v>4038</v>
      </c>
    </row>
    <row r="30" spans="2:19" ht="15" customHeight="1">
      <c r="B30" s="234"/>
      <c r="C30" s="68" t="s">
        <v>194</v>
      </c>
      <c r="D30" s="54">
        <f>+'Cotizaciones Empresas'!C94</f>
        <v>3500</v>
      </c>
      <c r="E30" s="54">
        <f>+'Cotizaciones Empresas'!D94</f>
        <v>3500</v>
      </c>
      <c r="F30" s="54">
        <f>+'Cotizaciones Empresas'!E94</f>
        <v>3500</v>
      </c>
      <c r="G30" s="54">
        <f>+'Cotizaciones Empresas'!F94</f>
        <v>3500</v>
      </c>
      <c r="H30" s="54">
        <f>+'Cotizaciones Empresas'!AJ94</f>
        <v>4500</v>
      </c>
      <c r="I30" s="54">
        <f>+'Cotizaciones Empresas'!AK94</f>
        <v>4500</v>
      </c>
      <c r="J30" s="54">
        <f>+'Cotizaciones Empresas'!AL94</f>
        <v>4500</v>
      </c>
      <c r="K30" s="55">
        <f>+'Cotizaciones Empresas'!AM94</f>
        <v>4700</v>
      </c>
      <c r="L30" s="55">
        <f>+'Cotizaciones Empresas'!BD94</f>
        <v>3811</v>
      </c>
      <c r="M30" s="55">
        <f>+'Cotizaciones Empresas'!BE94</f>
        <v>3811</v>
      </c>
      <c r="N30" s="55">
        <f>+'Cotizaciones Empresas'!BF94</f>
        <v>3811</v>
      </c>
      <c r="O30" s="55">
        <v>3811</v>
      </c>
      <c r="P30" s="70">
        <f>AVERAGE(COTIZACIONES2025[[#This Row],[RH &amp;CIUDAD LIMPIA
Valor Kg Biosanitario  ]],COTIZACIONES2025[[#This Row],[DESCONT 
Valor Kg Biosanitario ]],COTIZACIONES2025[[#This Row],[HISTORICO
2024 + IPC 2025 (3%)Biosanitario]])</f>
        <v>3937</v>
      </c>
      <c r="Q30" s="54">
        <f>AVERAGE(COTIZACIONES2025[[#This Row],[RH &amp;CIUDAD LIMPIA
Valor Kg Cortopunzantes]],COTIZACIONES2025[[#This Row],[DESCONT 
Valor Kg Cortopunzantes]],COTIZACIONES2025[[#This Row],[HISTORICO
2024  + IPC 2025 (3%) 
Cortopunzantes]])</f>
        <v>3937</v>
      </c>
      <c r="R30" s="54">
        <f>AVERAGE(COTIZACIONES2025[[#This Row],[RH &amp;CIUDAD LIMPIA 
Valor Kg Animales]],COTIZACIONES2025[[#This Row],[DESCONT 
Valor Kg Animales]],COTIZACIONES2025[[#This Row],[HISTORICO
2024  + IPC 2025 (3%)Animales]])</f>
        <v>3937</v>
      </c>
      <c r="S30" s="54">
        <f>AVERAGE(COTIZACIONES2025[[#This Row],[RH &amp;CIUDAD LIMPIA 
Valor Kg Quimicos]],COTIZACIONES2025[[#This Row],[DESCONT 
Valor Kg Quimicos]],COTIZACIONES2025[[#This Row],[HISTORICO
2024  + IPC 2025 (3%) Quimicos]])</f>
        <v>4003.6666666666665</v>
      </c>
    </row>
    <row r="32" spans="2:19" ht="15.75" thickBot="1"/>
    <row r="33" spans="2:15" ht="30.75" thickBot="1">
      <c r="B33" s="241" t="s">
        <v>217</v>
      </c>
      <c r="C33" s="242"/>
      <c r="D33" s="243"/>
      <c r="F33" s="245" t="s">
        <v>227</v>
      </c>
      <c r="G33" s="246"/>
      <c r="H33" s="246"/>
      <c r="I33" s="246"/>
      <c r="J33" s="246"/>
      <c r="K33" s="247"/>
      <c r="O33" s="63"/>
    </row>
    <row r="34" spans="2:15" ht="16.5" thickBot="1">
      <c r="B34" s="66" t="s">
        <v>165</v>
      </c>
      <c r="C34" s="76" t="s">
        <v>166</v>
      </c>
      <c r="D34" s="142" t="s">
        <v>202</v>
      </c>
      <c r="E34" s="146" t="s">
        <v>201</v>
      </c>
      <c r="F34" s="137" t="s">
        <v>165</v>
      </c>
      <c r="G34" s="96" t="s">
        <v>166</v>
      </c>
      <c r="H34" s="95" t="s">
        <v>223</v>
      </c>
      <c r="I34" s="95" t="s">
        <v>224</v>
      </c>
      <c r="J34" s="95" t="s">
        <v>226</v>
      </c>
      <c r="K34" s="138" t="s">
        <v>225</v>
      </c>
      <c r="O34" s="63"/>
    </row>
    <row r="35" spans="2:15">
      <c r="B35" s="235" t="s">
        <v>120</v>
      </c>
      <c r="C35" s="65" t="s">
        <v>168</v>
      </c>
      <c r="D35" s="143">
        <f>+'D.P. 2025 SAD, SPA &amp; SPF'!D69</f>
        <v>60000000</v>
      </c>
      <c r="E35" s="147">
        <f>+PRESUPUSTO_2025[[#This Row],[PRESUPUESTO 2025]]/4</f>
        <v>15000000</v>
      </c>
      <c r="F35" s="236" t="s">
        <v>120</v>
      </c>
      <c r="G35" s="53" t="s">
        <v>168</v>
      </c>
      <c r="H35" s="97">
        <f>+PRESUPUSTO_2025[[#This Row],[Columna1]]</f>
        <v>15000000</v>
      </c>
      <c r="I35" s="97">
        <f>+PRESUPUSTO_2025[[#This Row],[Columna1]]</f>
        <v>15000000</v>
      </c>
      <c r="J35" s="97">
        <f>+PRESUPUSTO_2025[[#This Row],[Columna1]]</f>
        <v>15000000</v>
      </c>
      <c r="K35" s="139">
        <f>+PRESUPUSTO_2025[[#This Row],[Columna1]]</f>
        <v>15000000</v>
      </c>
      <c r="O35" s="63"/>
    </row>
    <row r="36" spans="2:15">
      <c r="B36" s="236"/>
      <c r="C36" s="53" t="s">
        <v>169</v>
      </c>
      <c r="D36" s="144">
        <f>+'D.P. 2025 SAD, SPA &amp; SPF'!D70</f>
        <v>40000000</v>
      </c>
      <c r="E36" s="147">
        <f>+PRESUPUSTO_2025[[#This Row],[PRESUPUESTO 2025]]/4</f>
        <v>10000000</v>
      </c>
      <c r="F36" s="236"/>
      <c r="G36" s="53" t="s">
        <v>169</v>
      </c>
      <c r="H36" s="97">
        <f>+PRESUPUSTO_2025[[#This Row],[Columna1]]</f>
        <v>10000000</v>
      </c>
      <c r="I36" s="97">
        <f>+PRESUPUSTO_2025[[#This Row],[Columna1]]</f>
        <v>10000000</v>
      </c>
      <c r="J36" s="97">
        <f>+PRESUPUSTO_2025[[#This Row],[Columna1]]</f>
        <v>10000000</v>
      </c>
      <c r="K36" s="139">
        <f>+PRESUPUSTO_2025[[#This Row],[Columna1]]</f>
        <v>10000000</v>
      </c>
      <c r="O36" s="63"/>
    </row>
    <row r="37" spans="2:15">
      <c r="B37" s="236"/>
      <c r="C37" s="53" t="s">
        <v>204</v>
      </c>
      <c r="D37" s="144">
        <f>+'D.P. 2025 SAD, SPA &amp; SPF'!D71</f>
        <v>7500000</v>
      </c>
      <c r="E37" s="147">
        <f>+PRESUPUSTO_2025[[#This Row],[PRESUPUESTO 2025]]/3</f>
        <v>2500000</v>
      </c>
      <c r="F37" s="236"/>
      <c r="G37" s="53" t="s">
        <v>204</v>
      </c>
      <c r="H37" s="97">
        <f>+PRESUPUSTO_2025[[#This Row],[Columna1]]</f>
        <v>2500000</v>
      </c>
      <c r="I37" s="97">
        <f>+PRESUPUSTO_2025[[#This Row],[Columna1]]</f>
        <v>2500000</v>
      </c>
      <c r="J37" s="97">
        <v>0</v>
      </c>
      <c r="K37" s="139">
        <f>+PRESUPUSTO_2025[[#This Row],[Columna1]]</f>
        <v>2500000</v>
      </c>
      <c r="O37" s="63"/>
    </row>
    <row r="38" spans="2:15">
      <c r="B38" s="236"/>
      <c r="C38" s="53" t="s">
        <v>205</v>
      </c>
      <c r="D38" s="144">
        <f>+'D.P. 2025 SAD, SPA &amp; SPF'!D72</f>
        <v>7500000</v>
      </c>
      <c r="E38" s="147">
        <f>+PRESUPUSTO_2025[[#This Row],[PRESUPUESTO 2025]]/3</f>
        <v>2500000</v>
      </c>
      <c r="F38" s="236"/>
      <c r="G38" s="53" t="s">
        <v>205</v>
      </c>
      <c r="H38" s="97">
        <f>+PRESUPUSTO_2025[[#This Row],[Columna1]]</f>
        <v>2500000</v>
      </c>
      <c r="I38" s="97">
        <f>+PRESUPUSTO_2025[[#This Row],[Columna1]]</f>
        <v>2500000</v>
      </c>
      <c r="J38" s="97">
        <v>0</v>
      </c>
      <c r="K38" s="139">
        <f>+PRESUPUSTO_2025[[#This Row],[Columna1]]</f>
        <v>2500000</v>
      </c>
      <c r="O38" s="63"/>
    </row>
    <row r="39" spans="2:15">
      <c r="B39" s="236"/>
      <c r="C39" s="53" t="s">
        <v>172</v>
      </c>
      <c r="D39" s="144">
        <f>+'D.P. 2025 SAD, SPA &amp; SPF'!D73</f>
        <v>1000000</v>
      </c>
      <c r="E39" s="147">
        <f>+PRESUPUSTO_2025[[#This Row],[PRESUPUESTO 2025]]/3</f>
        <v>333333.33333333331</v>
      </c>
      <c r="F39" s="236"/>
      <c r="G39" s="53" t="s">
        <v>172</v>
      </c>
      <c r="H39" s="97">
        <f>+PRESUPUSTO_2025[[#This Row],[Columna1]]</f>
        <v>333333.33333333331</v>
      </c>
      <c r="I39" s="97">
        <f>+PRESUPUSTO_2025[[#This Row],[Columna1]]</f>
        <v>333333.33333333331</v>
      </c>
      <c r="J39" s="97">
        <v>0</v>
      </c>
      <c r="K39" s="139">
        <f>+PRESUPUSTO_2025[[#This Row],[Columna1]]</f>
        <v>333333.33333333331</v>
      </c>
      <c r="O39" s="63"/>
    </row>
    <row r="40" spans="2:15">
      <c r="B40" s="236"/>
      <c r="C40" s="53" t="s">
        <v>173</v>
      </c>
      <c r="D40" s="144">
        <f>+'D.P. 2025 SAD, SPA &amp; SPF'!D74</f>
        <v>27000000</v>
      </c>
      <c r="E40" s="147">
        <f>+PRESUPUSTO_2025[[#This Row],[PRESUPUESTO 2025]]/3</f>
        <v>9000000</v>
      </c>
      <c r="F40" s="236"/>
      <c r="G40" s="53" t="s">
        <v>173</v>
      </c>
      <c r="H40" s="97">
        <f>+PRESUPUSTO_2025[[#This Row],[Columna1]]</f>
        <v>9000000</v>
      </c>
      <c r="I40" s="97">
        <f>+PRESUPUSTO_2025[[#This Row],[Columna1]]</f>
        <v>9000000</v>
      </c>
      <c r="J40" s="97">
        <v>0</v>
      </c>
      <c r="K40" s="139">
        <f>+PRESUPUSTO_2025[[#This Row],[Columna1]]</f>
        <v>9000000</v>
      </c>
      <c r="O40" s="63"/>
    </row>
    <row r="41" spans="2:15">
      <c r="B41" s="236"/>
      <c r="C41" s="53" t="s">
        <v>174</v>
      </c>
      <c r="D41" s="144">
        <f>+'D.P. 2025 SAD, SPA &amp; SPF'!D75</f>
        <v>7500000</v>
      </c>
      <c r="E41" s="147">
        <f>+PRESUPUSTO_2025[[#This Row],[PRESUPUESTO 2025]]/3</f>
        <v>2500000</v>
      </c>
      <c r="F41" s="236"/>
      <c r="G41" s="53" t="s">
        <v>174</v>
      </c>
      <c r="H41" s="97">
        <f>+PRESUPUSTO_2025[[#This Row],[Columna1]]</f>
        <v>2500000</v>
      </c>
      <c r="I41" s="97">
        <f>+PRESUPUSTO_2025[[#This Row],[Columna1]]</f>
        <v>2500000</v>
      </c>
      <c r="J41" s="97">
        <v>0</v>
      </c>
      <c r="K41" s="139">
        <f>+PRESUPUSTO_2025[[#This Row],[Columna1]]</f>
        <v>2500000</v>
      </c>
      <c r="O41" s="63"/>
    </row>
    <row r="42" spans="2:15" ht="15" customHeight="1">
      <c r="B42" s="236"/>
      <c r="C42" s="53" t="s">
        <v>175</v>
      </c>
      <c r="D42" s="144">
        <f>+'D.P. 2025 SAD, SPA &amp; SPF'!D76</f>
        <v>7500000</v>
      </c>
      <c r="E42" s="147">
        <f>+PRESUPUSTO_2025[[#This Row],[PRESUPUESTO 2025]]/3</f>
        <v>2500000</v>
      </c>
      <c r="F42" s="236"/>
      <c r="G42" s="53" t="s">
        <v>175</v>
      </c>
      <c r="H42" s="97">
        <f>+PRESUPUSTO_2025[[#This Row],[Columna1]]</f>
        <v>2500000</v>
      </c>
      <c r="I42" s="97">
        <f>+PRESUPUSTO_2025[[#This Row],[Columna1]]</f>
        <v>2500000</v>
      </c>
      <c r="J42" s="97">
        <v>0</v>
      </c>
      <c r="K42" s="139">
        <f>+PRESUPUSTO_2025[[#This Row],[Columna1]]</f>
        <v>2500000</v>
      </c>
      <c r="O42" s="63"/>
    </row>
    <row r="43" spans="2:15">
      <c r="B43" s="236"/>
      <c r="C43" s="53" t="s">
        <v>176</v>
      </c>
      <c r="D43" s="144">
        <f>+'D.P. 2025 SAD, SPA &amp; SPF'!D77</f>
        <v>2500000</v>
      </c>
      <c r="E43" s="147">
        <f>+PRESUPUSTO_2025[[#This Row],[PRESUPUESTO 2025]]/4</f>
        <v>625000</v>
      </c>
      <c r="F43" s="236"/>
      <c r="G43" s="53" t="s">
        <v>176</v>
      </c>
      <c r="H43" s="97">
        <f>+PRESUPUSTO_2025[[#This Row],[Columna1]]</f>
        <v>625000</v>
      </c>
      <c r="I43" s="97">
        <f>+PRESUPUSTO_2025[[#This Row],[Columna1]]</f>
        <v>625000</v>
      </c>
      <c r="J43" s="97">
        <f>+PRESUPUSTO_2025[[#This Row],[Columna1]]</f>
        <v>625000</v>
      </c>
      <c r="K43" s="139">
        <f>+PRESUPUSTO_2025[[#This Row],[Columna1]]</f>
        <v>625000</v>
      </c>
      <c r="O43" s="63"/>
    </row>
    <row r="44" spans="2:15">
      <c r="B44" s="236"/>
      <c r="C44" s="53" t="s">
        <v>177</v>
      </c>
      <c r="D44" s="144">
        <f>+'D.P. 2025 SAD, SPA &amp; SPF'!D78</f>
        <v>2500000</v>
      </c>
      <c r="E44" s="147">
        <f>+PRESUPUSTO_2025[[#This Row],[PRESUPUESTO 2025]]/3</f>
        <v>833333.33333333337</v>
      </c>
      <c r="F44" s="236"/>
      <c r="G44" s="53" t="s">
        <v>177</v>
      </c>
      <c r="H44" s="97">
        <f>+PRESUPUSTO_2025[[#This Row],[Columna1]]</f>
        <v>833333.33333333337</v>
      </c>
      <c r="I44" s="97">
        <f>+PRESUPUSTO_2025[[#This Row],[Columna1]]</f>
        <v>833333.33333333337</v>
      </c>
      <c r="J44" s="97">
        <v>0</v>
      </c>
      <c r="K44" s="139">
        <f>+PRESUPUSTO_2025[[#This Row],[Columna1]]</f>
        <v>833333.33333333337</v>
      </c>
      <c r="O44" s="63"/>
    </row>
    <row r="45" spans="2:15">
      <c r="B45" s="236"/>
      <c r="C45" s="53" t="s">
        <v>178</v>
      </c>
      <c r="D45" s="144">
        <f>+'D.P. 2025 SAD, SPA &amp; SPF'!E79</f>
        <v>0</v>
      </c>
      <c r="E45" s="147">
        <f>+PRESUPUSTO_2025[[#This Row],[PRESUPUESTO 2025]]/4</f>
        <v>0</v>
      </c>
      <c r="F45" s="236"/>
      <c r="G45" s="53" t="s">
        <v>178</v>
      </c>
      <c r="H45" s="97"/>
      <c r="I45" s="97"/>
      <c r="J45" s="97"/>
      <c r="K45" s="139"/>
      <c r="O45" s="63"/>
    </row>
    <row r="46" spans="2:15">
      <c r="B46" s="236"/>
      <c r="C46" s="53" t="s">
        <v>179</v>
      </c>
      <c r="D46" s="144">
        <f>+'D.P. 2025 SAD, SPA &amp; SPF'!E80</f>
        <v>0</v>
      </c>
      <c r="E46" s="147">
        <f>+PRESUPUSTO_2025[[#This Row],[PRESUPUESTO 2025]]/4</f>
        <v>0</v>
      </c>
      <c r="F46" s="236"/>
      <c r="G46" s="53" t="s">
        <v>179</v>
      </c>
      <c r="H46" s="97"/>
      <c r="I46" s="97"/>
      <c r="J46" s="97"/>
      <c r="K46" s="139"/>
      <c r="O46" s="63"/>
    </row>
    <row r="47" spans="2:15">
      <c r="B47" s="236"/>
      <c r="C47" s="53" t="s">
        <v>180</v>
      </c>
      <c r="D47" s="144">
        <f>+'D.P. 2025 SAD, SPA &amp; SPF'!E81</f>
        <v>0</v>
      </c>
      <c r="E47" s="147">
        <f>+PRESUPUSTO_2025[[#This Row],[PRESUPUESTO 2025]]/4</f>
        <v>0</v>
      </c>
      <c r="F47" s="236"/>
      <c r="G47" s="53" t="s">
        <v>180</v>
      </c>
      <c r="H47" s="97"/>
      <c r="I47" s="97"/>
      <c r="J47" s="97"/>
      <c r="K47" s="139"/>
      <c r="O47" s="63"/>
    </row>
    <row r="48" spans="2:15">
      <c r="B48" s="236"/>
      <c r="C48" s="53" t="s">
        <v>181</v>
      </c>
      <c r="D48" s="144">
        <f>+'D.P. 2025 SAD, SPA &amp; SPF'!E82</f>
        <v>0</v>
      </c>
      <c r="E48" s="147">
        <f>+PRESUPUSTO_2025[[#This Row],[PRESUPUESTO 2025]]/4</f>
        <v>0</v>
      </c>
      <c r="F48" s="236"/>
      <c r="G48" s="53" t="s">
        <v>181</v>
      </c>
      <c r="H48" s="97"/>
      <c r="I48" s="97"/>
      <c r="J48" s="97"/>
      <c r="K48" s="139"/>
      <c r="O48" s="63"/>
    </row>
    <row r="49" spans="2:15">
      <c r="B49" s="236"/>
      <c r="C49" s="53" t="s">
        <v>182</v>
      </c>
      <c r="D49" s="144">
        <f>+'D.P. 2025 SAD, SPA &amp; SPF'!E83</f>
        <v>0</v>
      </c>
      <c r="E49" s="147">
        <f>+PRESUPUSTO_2025[[#This Row],[PRESUPUESTO 2025]]/4</f>
        <v>0</v>
      </c>
      <c r="F49" s="236"/>
      <c r="G49" s="53" t="s">
        <v>182</v>
      </c>
      <c r="H49" s="97"/>
      <c r="I49" s="97"/>
      <c r="J49" s="97"/>
      <c r="K49" s="139"/>
      <c r="O49" s="63"/>
    </row>
    <row r="50" spans="2:15">
      <c r="B50" s="236"/>
      <c r="C50" s="53" t="s">
        <v>183</v>
      </c>
      <c r="D50" s="144">
        <f>+'D.P. 2025 SAD, SPA &amp; SPF'!E84</f>
        <v>0</v>
      </c>
      <c r="E50" s="147">
        <f>+PRESUPUSTO_2025[[#This Row],[PRESUPUESTO 2025]]/4</f>
        <v>0</v>
      </c>
      <c r="F50" s="236"/>
      <c r="G50" s="53" t="s">
        <v>183</v>
      </c>
      <c r="H50" s="97"/>
      <c r="I50" s="97"/>
      <c r="J50" s="97"/>
      <c r="K50" s="139"/>
      <c r="O50" s="63"/>
    </row>
    <row r="51" spans="2:15">
      <c r="B51" s="236"/>
      <c r="C51" s="53" t="s">
        <v>184</v>
      </c>
      <c r="D51" s="144">
        <f>+'D.P. 2025 SAD, SPA &amp; SPF'!E85</f>
        <v>0</v>
      </c>
      <c r="E51" s="147">
        <f>+PRESUPUSTO_2025[[#This Row],[PRESUPUESTO 2025]]/4</f>
        <v>0</v>
      </c>
      <c r="F51" s="236"/>
      <c r="G51" s="53" t="s">
        <v>184</v>
      </c>
      <c r="H51" s="97"/>
      <c r="I51" s="97"/>
      <c r="J51" s="97"/>
      <c r="K51" s="139"/>
      <c r="O51" s="63"/>
    </row>
    <row r="52" spans="2:15">
      <c r="B52" s="236"/>
      <c r="C52" s="53" t="s">
        <v>185</v>
      </c>
      <c r="D52" s="144">
        <f>+'D.P. 2025 SAD, SPA &amp; SPF'!E86</f>
        <v>0</v>
      </c>
      <c r="E52" s="147">
        <f>+PRESUPUSTO_2025[[#This Row],[PRESUPUESTO 2025]]/4</f>
        <v>0</v>
      </c>
      <c r="F52" s="236"/>
      <c r="G52" s="53" t="s">
        <v>185</v>
      </c>
      <c r="H52" s="97"/>
      <c r="I52" s="97"/>
      <c r="J52" s="97"/>
      <c r="K52" s="139"/>
      <c r="O52" s="63"/>
    </row>
    <row r="53" spans="2:15">
      <c r="B53" s="236"/>
      <c r="C53" s="53" t="s">
        <v>186</v>
      </c>
      <c r="D53" s="144">
        <f>+'D.P. 2025 SAD, SPA &amp; SPF'!E87</f>
        <v>0</v>
      </c>
      <c r="E53" s="147">
        <f>+PRESUPUSTO_2025[[#This Row],[PRESUPUESTO 2025]]/4</f>
        <v>0</v>
      </c>
      <c r="F53" s="236"/>
      <c r="G53" s="53" t="s">
        <v>186</v>
      </c>
      <c r="H53" s="97"/>
      <c r="I53" s="97"/>
      <c r="J53" s="97"/>
      <c r="K53" s="139"/>
      <c r="O53" s="63"/>
    </row>
    <row r="54" spans="2:15">
      <c r="B54" s="236"/>
      <c r="C54" s="53" t="s">
        <v>187</v>
      </c>
      <c r="D54" s="144">
        <f>+'D.P. 2025 SAD, SPA &amp; SPF'!E88</f>
        <v>0</v>
      </c>
      <c r="E54" s="147">
        <f>+PRESUPUSTO_2025[[#This Row],[PRESUPUESTO 2025]]/4</f>
        <v>0</v>
      </c>
      <c r="F54" s="236"/>
      <c r="G54" s="53" t="s">
        <v>187</v>
      </c>
      <c r="H54" s="97"/>
      <c r="I54" s="97"/>
      <c r="J54" s="97"/>
      <c r="K54" s="139"/>
      <c r="O54" s="63"/>
    </row>
    <row r="55" spans="2:15">
      <c r="B55" s="236"/>
      <c r="C55" s="53" t="s">
        <v>188</v>
      </c>
      <c r="D55" s="144">
        <f>+'D.P. 2025 SAD, SPA &amp; SPF'!E89</f>
        <v>0</v>
      </c>
      <c r="E55" s="147">
        <f>+PRESUPUSTO_2025[[#This Row],[PRESUPUESTO 2025]]/4</f>
        <v>0</v>
      </c>
      <c r="F55" s="236"/>
      <c r="G55" s="53" t="s">
        <v>188</v>
      </c>
      <c r="H55" s="97"/>
      <c r="I55" s="97"/>
      <c r="J55" s="97"/>
      <c r="K55" s="139"/>
      <c r="O55" s="63"/>
    </row>
    <row r="56" spans="2:15">
      <c r="B56" s="236"/>
      <c r="C56" s="53" t="s">
        <v>189</v>
      </c>
      <c r="D56" s="144">
        <f>+'D.P. 2025 SAD, SPA &amp; SPF'!E90</f>
        <v>0</v>
      </c>
      <c r="E56" s="147">
        <f>+PRESUPUSTO_2025[[#This Row],[PRESUPUESTO 2025]]/4</f>
        <v>0</v>
      </c>
      <c r="F56" s="236"/>
      <c r="G56" s="53" t="s">
        <v>189</v>
      </c>
      <c r="H56" s="97"/>
      <c r="I56" s="97"/>
      <c r="J56" s="97"/>
      <c r="K56" s="139"/>
      <c r="O56" s="63"/>
    </row>
    <row r="57" spans="2:15">
      <c r="B57" s="236"/>
      <c r="C57" s="53" t="s">
        <v>190</v>
      </c>
      <c r="D57" s="144">
        <f>+'D.P. 2025 SAD, SPA &amp; SPF'!E91</f>
        <v>0</v>
      </c>
      <c r="E57" s="147">
        <f>+PRESUPUSTO_2025[[#This Row],[PRESUPUESTO 2025]]/4</f>
        <v>0</v>
      </c>
      <c r="F57" s="236"/>
      <c r="G57" s="53" t="s">
        <v>190</v>
      </c>
      <c r="H57" s="97"/>
      <c r="I57" s="97"/>
      <c r="J57" s="97"/>
      <c r="K57" s="139"/>
      <c r="O57" s="63"/>
    </row>
    <row r="58" spans="2:15">
      <c r="B58" s="236"/>
      <c r="C58" s="53" t="s">
        <v>191</v>
      </c>
      <c r="D58" s="144">
        <f>+'D.P. 2025 SAD, SPA &amp; SPF'!E92</f>
        <v>0</v>
      </c>
      <c r="E58" s="147">
        <f>+PRESUPUSTO_2025[[#This Row],[PRESUPUESTO 2025]]/4</f>
        <v>0</v>
      </c>
      <c r="F58" s="236"/>
      <c r="G58" s="53" t="s">
        <v>191</v>
      </c>
      <c r="H58" s="97"/>
      <c r="I58" s="97"/>
      <c r="J58" s="97"/>
      <c r="K58" s="139"/>
      <c r="O58" s="63"/>
    </row>
    <row r="59" spans="2:15">
      <c r="B59" s="236"/>
      <c r="C59" s="53" t="s">
        <v>192</v>
      </c>
      <c r="D59" s="144">
        <f>+'D.P. 2025 SAD, SPA &amp; SPF'!E93</f>
        <v>0</v>
      </c>
      <c r="E59" s="147">
        <f>+PRESUPUSTO_2025[[#This Row],[PRESUPUESTO 2025]]/4</f>
        <v>0</v>
      </c>
      <c r="F59" s="236"/>
      <c r="G59" s="53" t="s">
        <v>192</v>
      </c>
      <c r="H59" s="97"/>
      <c r="I59" s="97"/>
      <c r="J59" s="97"/>
      <c r="K59" s="139"/>
      <c r="O59" s="63"/>
    </row>
    <row r="60" spans="2:15">
      <c r="B60" s="236"/>
      <c r="C60" s="53" t="s">
        <v>193</v>
      </c>
      <c r="D60" s="144">
        <f>+'D.P. 2025 SAD, SPA &amp; SPF'!E94</f>
        <v>0</v>
      </c>
      <c r="E60" s="147">
        <f>+PRESUPUSTO_2025[[#This Row],[PRESUPUESTO 2025]]/4</f>
        <v>0</v>
      </c>
      <c r="F60" s="236"/>
      <c r="G60" s="53" t="s">
        <v>193</v>
      </c>
      <c r="H60" s="97"/>
      <c r="I60" s="97"/>
      <c r="J60" s="97"/>
      <c r="K60" s="139"/>
    </row>
    <row r="61" spans="2:15" ht="15.75" thickBot="1">
      <c r="B61" s="237"/>
      <c r="C61" s="133" t="s">
        <v>194</v>
      </c>
      <c r="D61" s="145">
        <f>+'D.P. 2025 SAD, SPA &amp; SPF'!E95</f>
        <v>0</v>
      </c>
      <c r="E61" s="147">
        <f>+PRESUPUSTO_2025[[#This Row],[PRESUPUESTO 2025]]/4</f>
        <v>0</v>
      </c>
      <c r="F61" s="237"/>
      <c r="G61" s="133" t="s">
        <v>194</v>
      </c>
      <c r="H61" s="140"/>
      <c r="I61" s="140"/>
      <c r="J61" s="140"/>
      <c r="K61" s="141"/>
    </row>
    <row r="62" spans="2:15" ht="20.25">
      <c r="C62" s="149" t="s">
        <v>326</v>
      </c>
      <c r="D62" s="148">
        <f>SUBTOTAL(109,PRESUPUSTO_2025[PRESUPUESTO 2025])</f>
        <v>163000000</v>
      </c>
      <c r="E62" s="147">
        <f>SUBTOTAL(109,PRESUPUSTO_2025[Columna1])</f>
        <v>45791666.666666664</v>
      </c>
    </row>
    <row r="63" spans="2:15" ht="15.75" thickBot="1"/>
    <row r="64" spans="2:15" ht="30.75" thickBot="1">
      <c r="B64" s="248" t="s">
        <v>222</v>
      </c>
      <c r="C64" s="249"/>
      <c r="D64" s="249"/>
      <c r="E64" s="249"/>
      <c r="F64" s="249"/>
      <c r="G64" s="249"/>
      <c r="H64" s="250"/>
    </row>
    <row r="65" spans="2:8" ht="31.5">
      <c r="B65" s="91" t="s">
        <v>165</v>
      </c>
      <c r="C65" s="89" t="s">
        <v>166</v>
      </c>
      <c r="D65" s="90" t="s">
        <v>218</v>
      </c>
      <c r="E65" s="90" t="s">
        <v>219</v>
      </c>
      <c r="F65" s="90" t="s">
        <v>220</v>
      </c>
      <c r="G65" s="93" t="s">
        <v>221</v>
      </c>
      <c r="H65" s="90" t="s">
        <v>228</v>
      </c>
    </row>
    <row r="66" spans="2:8">
      <c r="B66" s="244" t="s">
        <v>120</v>
      </c>
      <c r="C66" s="74" t="s">
        <v>168</v>
      </c>
      <c r="D66" s="98">
        <f>+H35/P4</f>
        <v>4134.5093715545754</v>
      </c>
      <c r="E66" s="98">
        <f t="shared" ref="E66:G81" si="0">+I35/Q4</f>
        <v>4134.5093715545754</v>
      </c>
      <c r="F66" s="98">
        <f t="shared" si="0"/>
        <v>4134.5093715545754</v>
      </c>
      <c r="G66" s="98">
        <f t="shared" si="0"/>
        <v>4059.9061710573801</v>
      </c>
      <c r="H66" s="99">
        <f>+ProyeccionKg2025[[#This Row],[Proyección kilogramos 2025 Biosanitario  ]]+ProyeccionKg2025[[#This Row],[Proyección kilogramos 2025 Cortopunzantes]]+ProyeccionKg2025[[#This Row],[Proyección kilogramos 2025 Animales]]+ProyeccionKg2025[[#This Row],[Proyección kilogramos 2025 Quimicos]]</f>
        <v>16463.434285721105</v>
      </c>
    </row>
    <row r="67" spans="2:8">
      <c r="B67" s="244"/>
      <c r="C67" s="74" t="s">
        <v>169</v>
      </c>
      <c r="D67" s="98">
        <f t="shared" ref="D67:D92" si="1">+H36/P5</f>
        <v>2756.3395810363836</v>
      </c>
      <c r="E67" s="98">
        <f t="shared" si="0"/>
        <v>2756.3395810363836</v>
      </c>
      <c r="F67" s="98">
        <f t="shared" si="0"/>
        <v>2756.3395810363836</v>
      </c>
      <c r="G67" s="98">
        <f t="shared" si="0"/>
        <v>2706.6041140382536</v>
      </c>
      <c r="H67" s="99">
        <f>+ProyeccionKg2025[[#This Row],[Proyección kilogramos 2025 Biosanitario  ]]+ProyeccionKg2025[[#This Row],[Proyección kilogramos 2025 Cortopunzantes]]+ProyeccionKg2025[[#This Row],[Proyección kilogramos 2025 Animales]]+ProyeccionKg2025[[#This Row],[Proyección kilogramos 2025 Quimicos]]</f>
        <v>10975.622857147404</v>
      </c>
    </row>
    <row r="68" spans="2:8">
      <c r="B68" s="244"/>
      <c r="C68" s="74" t="s">
        <v>204</v>
      </c>
      <c r="D68" s="98">
        <f t="shared" si="1"/>
        <v>689.0848952590959</v>
      </c>
      <c r="E68" s="98">
        <f t="shared" si="0"/>
        <v>689.0848952590959</v>
      </c>
      <c r="F68" s="98">
        <f t="shared" si="0"/>
        <v>0</v>
      </c>
      <c r="G68" s="98">
        <f t="shared" si="0"/>
        <v>676.65102850956339</v>
      </c>
      <c r="H68" s="99">
        <f>+ProyeccionKg2025[[#This Row],[Proyección kilogramos 2025 Biosanitario  ]]+ProyeccionKg2025[[#This Row],[Proyección kilogramos 2025 Cortopunzantes]]+ProyeccionKg2025[[#This Row],[Proyección kilogramos 2025 Animales]]+ProyeccionKg2025[[#This Row],[Proyección kilogramos 2025 Quimicos]]</f>
        <v>2054.8208190277551</v>
      </c>
    </row>
    <row r="69" spans="2:8">
      <c r="B69" s="244"/>
      <c r="C69" s="74" t="s">
        <v>205</v>
      </c>
      <c r="D69" s="98">
        <f t="shared" si="1"/>
        <v>689.0848952590959</v>
      </c>
      <c r="E69" s="98">
        <f t="shared" si="0"/>
        <v>689.0848952590959</v>
      </c>
      <c r="F69" s="98">
        <f t="shared" si="0"/>
        <v>0</v>
      </c>
      <c r="G69" s="98">
        <f t="shared" si="0"/>
        <v>676.65102850956339</v>
      </c>
      <c r="H69" s="99">
        <f>+ProyeccionKg2025[[#This Row],[Proyección kilogramos 2025 Biosanitario  ]]+ProyeccionKg2025[[#This Row],[Proyección kilogramos 2025 Cortopunzantes]]+ProyeccionKg2025[[#This Row],[Proyección kilogramos 2025 Animales]]+ProyeccionKg2025[[#This Row],[Proyección kilogramos 2025 Quimicos]]</f>
        <v>2054.8208190277551</v>
      </c>
    </row>
    <row r="70" spans="2:8">
      <c r="B70" s="244"/>
      <c r="C70" s="74" t="s">
        <v>172</v>
      </c>
      <c r="D70" s="98">
        <f t="shared" si="1"/>
        <v>91.877986034546112</v>
      </c>
      <c r="E70" s="98">
        <f t="shared" si="0"/>
        <v>91.877986034546112</v>
      </c>
      <c r="F70" s="98">
        <f t="shared" si="0"/>
        <v>0</v>
      </c>
      <c r="G70" s="98">
        <f t="shared" si="0"/>
        <v>90.22013713460845</v>
      </c>
      <c r="H70" s="99">
        <f>+ProyeccionKg2025[[#This Row],[Proyección kilogramos 2025 Biosanitario  ]]+ProyeccionKg2025[[#This Row],[Proyección kilogramos 2025 Cortopunzantes]]+ProyeccionKg2025[[#This Row],[Proyección kilogramos 2025 Animales]]+ProyeccionKg2025[[#This Row],[Proyección kilogramos 2025 Quimicos]]</f>
        <v>273.97610920370067</v>
      </c>
    </row>
    <row r="71" spans="2:8">
      <c r="B71" s="244"/>
      <c r="C71" s="74" t="s">
        <v>173</v>
      </c>
      <c r="D71" s="98">
        <f t="shared" si="1"/>
        <v>2480.7056229327454</v>
      </c>
      <c r="E71" s="98">
        <f t="shared" si="0"/>
        <v>2480.7056229327454</v>
      </c>
      <c r="F71" s="98">
        <f t="shared" si="0"/>
        <v>0</v>
      </c>
      <c r="G71" s="98">
        <f t="shared" si="0"/>
        <v>2435.9437026344281</v>
      </c>
      <c r="H71" s="99">
        <f>+ProyeccionKg2025[[#This Row],[Proyección kilogramos 2025 Biosanitario  ]]+ProyeccionKg2025[[#This Row],[Proyección kilogramos 2025 Cortopunzantes]]+ProyeccionKg2025[[#This Row],[Proyección kilogramos 2025 Animales]]+ProyeccionKg2025[[#This Row],[Proyección kilogramos 2025 Quimicos]]</f>
        <v>7397.3549484999185</v>
      </c>
    </row>
    <row r="72" spans="2:8">
      <c r="B72" s="244"/>
      <c r="C72" s="74" t="s">
        <v>174</v>
      </c>
      <c r="D72" s="98">
        <f t="shared" si="1"/>
        <v>689.0848952590959</v>
      </c>
      <c r="E72" s="98">
        <f t="shared" si="0"/>
        <v>689.0848952590959</v>
      </c>
      <c r="F72" s="98">
        <f t="shared" si="0"/>
        <v>0</v>
      </c>
      <c r="G72" s="98">
        <f t="shared" si="0"/>
        <v>676.65102850956339</v>
      </c>
      <c r="H72" s="99">
        <f>+ProyeccionKg2025[[#This Row],[Proyección kilogramos 2025 Biosanitario  ]]+ProyeccionKg2025[[#This Row],[Proyección kilogramos 2025 Cortopunzantes]]+ProyeccionKg2025[[#This Row],[Proyección kilogramos 2025 Animales]]+ProyeccionKg2025[[#This Row],[Proyección kilogramos 2025 Quimicos]]</f>
        <v>2054.8208190277551</v>
      </c>
    </row>
    <row r="73" spans="2:8">
      <c r="B73" s="244"/>
      <c r="C73" s="74" t="s">
        <v>175</v>
      </c>
      <c r="D73" s="98">
        <f t="shared" si="1"/>
        <v>689.0848952590959</v>
      </c>
      <c r="E73" s="98">
        <f t="shared" si="0"/>
        <v>689.0848952590959</v>
      </c>
      <c r="F73" s="98">
        <f t="shared" si="0"/>
        <v>0</v>
      </c>
      <c r="G73" s="98">
        <f t="shared" si="0"/>
        <v>676.65102850956339</v>
      </c>
      <c r="H73" s="99">
        <f>+ProyeccionKg2025[[#This Row],[Proyección kilogramos 2025 Biosanitario  ]]+ProyeccionKg2025[[#This Row],[Proyección kilogramos 2025 Cortopunzantes]]+ProyeccionKg2025[[#This Row],[Proyección kilogramos 2025 Animales]]+ProyeccionKg2025[[#This Row],[Proyección kilogramos 2025 Quimicos]]</f>
        <v>2054.8208190277551</v>
      </c>
    </row>
    <row r="74" spans="2:8">
      <c r="B74" s="244"/>
      <c r="C74" s="74" t="s">
        <v>176</v>
      </c>
      <c r="D74" s="98">
        <f t="shared" si="1"/>
        <v>172.27122381477398</v>
      </c>
      <c r="E74" s="98">
        <f t="shared" si="0"/>
        <v>172.27122381477398</v>
      </c>
      <c r="F74" s="98">
        <f t="shared" si="0"/>
        <v>172.27122381477398</v>
      </c>
      <c r="G74" s="98">
        <f t="shared" si="0"/>
        <v>169.16275712739085</v>
      </c>
      <c r="H74" s="99">
        <f>+ProyeccionKg2025[[#This Row],[Proyección kilogramos 2025 Biosanitario  ]]+ProyeccionKg2025[[#This Row],[Proyección kilogramos 2025 Cortopunzantes]]+ProyeccionKg2025[[#This Row],[Proyección kilogramos 2025 Animales]]+ProyeccionKg2025[[#This Row],[Proyección kilogramos 2025 Quimicos]]</f>
        <v>685.97642857171274</v>
      </c>
    </row>
    <row r="75" spans="2:8">
      <c r="B75" s="244"/>
      <c r="C75" s="74" t="s">
        <v>177</v>
      </c>
      <c r="D75" s="98">
        <f t="shared" si="1"/>
        <v>229.69496508636533</v>
      </c>
      <c r="E75" s="98">
        <f t="shared" si="0"/>
        <v>229.69496508636533</v>
      </c>
      <c r="F75" s="98">
        <f t="shared" si="0"/>
        <v>0</v>
      </c>
      <c r="G75" s="98">
        <f t="shared" si="0"/>
        <v>225.55034283652114</v>
      </c>
      <c r="H75" s="99">
        <f>+ProyeccionKg2025[[#This Row],[Proyección kilogramos 2025 Biosanitario  ]]+ProyeccionKg2025[[#This Row],[Proyección kilogramos 2025 Cortopunzantes]]+ProyeccionKg2025[[#This Row],[Proyección kilogramos 2025 Animales]]+ProyeccionKg2025[[#This Row],[Proyección kilogramos 2025 Quimicos]]</f>
        <v>684.94027300925177</v>
      </c>
    </row>
    <row r="76" spans="2:8">
      <c r="B76" s="244"/>
      <c r="C76" s="74" t="s">
        <v>178</v>
      </c>
      <c r="D76" s="98">
        <f t="shared" si="1"/>
        <v>0</v>
      </c>
      <c r="E76" s="98">
        <f t="shared" si="0"/>
        <v>0</v>
      </c>
      <c r="F76" s="98">
        <f t="shared" si="0"/>
        <v>0</v>
      </c>
      <c r="G76" s="98">
        <f t="shared" si="0"/>
        <v>0</v>
      </c>
      <c r="H76" s="99">
        <f>+ProyeccionKg2025[[#This Row],[Proyección kilogramos 2025 Biosanitario  ]]+ProyeccionKg2025[[#This Row],[Proyección kilogramos 2025 Cortopunzantes]]+ProyeccionKg2025[[#This Row],[Proyección kilogramos 2025 Animales]]+ProyeccionKg2025[[#This Row],[Proyección kilogramos 2025 Quimicos]]</f>
        <v>0</v>
      </c>
    </row>
    <row r="77" spans="2:8">
      <c r="B77" s="244"/>
      <c r="C77" s="74" t="s">
        <v>179</v>
      </c>
      <c r="D77" s="98">
        <f t="shared" si="1"/>
        <v>0</v>
      </c>
      <c r="E77" s="98">
        <f t="shared" si="0"/>
        <v>0</v>
      </c>
      <c r="F77" s="98">
        <f t="shared" si="0"/>
        <v>0</v>
      </c>
      <c r="G77" s="98">
        <f t="shared" si="0"/>
        <v>0</v>
      </c>
      <c r="H77" s="99">
        <f>+ProyeccionKg2025[[#This Row],[Proyección kilogramos 2025 Biosanitario  ]]+ProyeccionKg2025[[#This Row],[Proyección kilogramos 2025 Cortopunzantes]]+ProyeccionKg2025[[#This Row],[Proyección kilogramos 2025 Animales]]+ProyeccionKg2025[[#This Row],[Proyección kilogramos 2025 Quimicos]]</f>
        <v>0</v>
      </c>
    </row>
    <row r="78" spans="2:8">
      <c r="B78" s="244"/>
      <c r="C78" s="74" t="s">
        <v>180</v>
      </c>
      <c r="D78" s="98">
        <f t="shared" si="1"/>
        <v>0</v>
      </c>
      <c r="E78" s="98">
        <f t="shared" si="0"/>
        <v>0</v>
      </c>
      <c r="F78" s="98">
        <f t="shared" si="0"/>
        <v>0</v>
      </c>
      <c r="G78" s="98">
        <f t="shared" si="0"/>
        <v>0</v>
      </c>
      <c r="H78" s="99">
        <f>+ProyeccionKg2025[[#This Row],[Proyección kilogramos 2025 Biosanitario  ]]+ProyeccionKg2025[[#This Row],[Proyección kilogramos 2025 Cortopunzantes]]+ProyeccionKg2025[[#This Row],[Proyección kilogramos 2025 Animales]]+ProyeccionKg2025[[#This Row],[Proyección kilogramos 2025 Quimicos]]</f>
        <v>0</v>
      </c>
    </row>
    <row r="79" spans="2:8">
      <c r="B79" s="244"/>
      <c r="C79" s="74" t="s">
        <v>181</v>
      </c>
      <c r="D79" s="98">
        <f t="shared" si="1"/>
        <v>0</v>
      </c>
      <c r="E79" s="98">
        <f t="shared" si="0"/>
        <v>0</v>
      </c>
      <c r="F79" s="98">
        <f t="shared" si="0"/>
        <v>0</v>
      </c>
      <c r="G79" s="98">
        <f t="shared" si="0"/>
        <v>0</v>
      </c>
      <c r="H79" s="99">
        <f>+ProyeccionKg2025[[#This Row],[Proyección kilogramos 2025 Biosanitario  ]]+ProyeccionKg2025[[#This Row],[Proyección kilogramos 2025 Cortopunzantes]]+ProyeccionKg2025[[#This Row],[Proyección kilogramos 2025 Animales]]+ProyeccionKg2025[[#This Row],[Proyección kilogramos 2025 Quimicos]]</f>
        <v>0</v>
      </c>
    </row>
    <row r="80" spans="2:8">
      <c r="B80" s="244"/>
      <c r="C80" s="74" t="s">
        <v>182</v>
      </c>
      <c r="D80" s="98">
        <f t="shared" si="1"/>
        <v>0</v>
      </c>
      <c r="E80" s="98">
        <f t="shared" si="0"/>
        <v>0</v>
      </c>
      <c r="F80" s="98">
        <f t="shared" si="0"/>
        <v>0</v>
      </c>
      <c r="G80" s="98">
        <f t="shared" si="0"/>
        <v>0</v>
      </c>
      <c r="H80" s="99">
        <f>+ProyeccionKg2025[[#This Row],[Proyección kilogramos 2025 Biosanitario  ]]+ProyeccionKg2025[[#This Row],[Proyección kilogramos 2025 Cortopunzantes]]+ProyeccionKg2025[[#This Row],[Proyección kilogramos 2025 Animales]]+ProyeccionKg2025[[#This Row],[Proyección kilogramos 2025 Quimicos]]</f>
        <v>0</v>
      </c>
    </row>
    <row r="81" spans="2:9">
      <c r="B81" s="244"/>
      <c r="C81" s="74" t="s">
        <v>183</v>
      </c>
      <c r="D81" s="98">
        <f t="shared" si="1"/>
        <v>0</v>
      </c>
      <c r="E81" s="98">
        <f t="shared" si="0"/>
        <v>0</v>
      </c>
      <c r="F81" s="98">
        <f t="shared" si="0"/>
        <v>0</v>
      </c>
      <c r="G81" s="98">
        <f t="shared" si="0"/>
        <v>0</v>
      </c>
      <c r="H81" s="99">
        <f>+ProyeccionKg2025[[#This Row],[Proyección kilogramos 2025 Biosanitario  ]]+ProyeccionKg2025[[#This Row],[Proyección kilogramos 2025 Cortopunzantes]]+ProyeccionKg2025[[#This Row],[Proyección kilogramos 2025 Animales]]+ProyeccionKg2025[[#This Row],[Proyección kilogramos 2025 Quimicos]]</f>
        <v>0</v>
      </c>
    </row>
    <row r="82" spans="2:9">
      <c r="B82" s="244"/>
      <c r="C82" s="74" t="s">
        <v>184</v>
      </c>
      <c r="D82" s="98">
        <f t="shared" si="1"/>
        <v>0</v>
      </c>
      <c r="E82" s="98">
        <f t="shared" ref="E82:E92" si="2">+I51/Q20</f>
        <v>0</v>
      </c>
      <c r="F82" s="98">
        <f t="shared" ref="F82:F92" si="3">+J51/R20</f>
        <v>0</v>
      </c>
      <c r="G82" s="98">
        <f t="shared" ref="G82:G92" si="4">+K51/S20</f>
        <v>0</v>
      </c>
      <c r="H82" s="99">
        <f>+ProyeccionKg2025[[#This Row],[Proyección kilogramos 2025 Biosanitario  ]]+ProyeccionKg2025[[#This Row],[Proyección kilogramos 2025 Cortopunzantes]]+ProyeccionKg2025[[#This Row],[Proyección kilogramos 2025 Animales]]+ProyeccionKg2025[[#This Row],[Proyección kilogramos 2025 Quimicos]]</f>
        <v>0</v>
      </c>
    </row>
    <row r="83" spans="2:9">
      <c r="B83" s="244"/>
      <c r="C83" s="74" t="s">
        <v>185</v>
      </c>
      <c r="D83" s="98">
        <f t="shared" si="1"/>
        <v>0</v>
      </c>
      <c r="E83" s="98">
        <f t="shared" si="2"/>
        <v>0</v>
      </c>
      <c r="F83" s="98">
        <f t="shared" si="3"/>
        <v>0</v>
      </c>
      <c r="G83" s="98">
        <f t="shared" si="4"/>
        <v>0</v>
      </c>
      <c r="H83" s="99">
        <f>+ProyeccionKg2025[[#This Row],[Proyección kilogramos 2025 Biosanitario  ]]+ProyeccionKg2025[[#This Row],[Proyección kilogramos 2025 Cortopunzantes]]+ProyeccionKg2025[[#This Row],[Proyección kilogramos 2025 Animales]]+ProyeccionKg2025[[#This Row],[Proyección kilogramos 2025 Quimicos]]</f>
        <v>0</v>
      </c>
    </row>
    <row r="84" spans="2:9">
      <c r="B84" s="244"/>
      <c r="C84" s="74" t="s">
        <v>186</v>
      </c>
      <c r="D84" s="98">
        <f t="shared" si="1"/>
        <v>0</v>
      </c>
      <c r="E84" s="98">
        <f t="shared" si="2"/>
        <v>0</v>
      </c>
      <c r="F84" s="98">
        <f t="shared" si="3"/>
        <v>0</v>
      </c>
      <c r="G84" s="98">
        <f t="shared" si="4"/>
        <v>0</v>
      </c>
      <c r="H84" s="99">
        <f>+ProyeccionKg2025[[#This Row],[Proyección kilogramos 2025 Biosanitario  ]]+ProyeccionKg2025[[#This Row],[Proyección kilogramos 2025 Cortopunzantes]]+ProyeccionKg2025[[#This Row],[Proyección kilogramos 2025 Animales]]+ProyeccionKg2025[[#This Row],[Proyección kilogramos 2025 Quimicos]]</f>
        <v>0</v>
      </c>
    </row>
    <row r="85" spans="2:9">
      <c r="B85" s="244"/>
      <c r="C85" s="74" t="s">
        <v>187</v>
      </c>
      <c r="D85" s="98">
        <f t="shared" si="1"/>
        <v>0</v>
      </c>
      <c r="E85" s="98">
        <f t="shared" si="2"/>
        <v>0</v>
      </c>
      <c r="F85" s="98">
        <f t="shared" si="3"/>
        <v>0</v>
      </c>
      <c r="G85" s="98">
        <f t="shared" si="4"/>
        <v>0</v>
      </c>
      <c r="H85" s="99">
        <f>+ProyeccionKg2025[[#This Row],[Proyección kilogramos 2025 Biosanitario  ]]+ProyeccionKg2025[[#This Row],[Proyección kilogramos 2025 Cortopunzantes]]+ProyeccionKg2025[[#This Row],[Proyección kilogramos 2025 Animales]]+ProyeccionKg2025[[#This Row],[Proyección kilogramos 2025 Quimicos]]</f>
        <v>0</v>
      </c>
    </row>
    <row r="86" spans="2:9">
      <c r="B86" s="244"/>
      <c r="C86" s="74" t="s">
        <v>188</v>
      </c>
      <c r="D86" s="98">
        <f t="shared" si="1"/>
        <v>0</v>
      </c>
      <c r="E86" s="98">
        <f t="shared" si="2"/>
        <v>0</v>
      </c>
      <c r="F86" s="98">
        <f t="shared" si="3"/>
        <v>0</v>
      </c>
      <c r="G86" s="98">
        <f t="shared" si="4"/>
        <v>0</v>
      </c>
      <c r="H86" s="99">
        <f>+ProyeccionKg2025[[#This Row],[Proyección kilogramos 2025 Biosanitario  ]]+ProyeccionKg2025[[#This Row],[Proyección kilogramos 2025 Cortopunzantes]]+ProyeccionKg2025[[#This Row],[Proyección kilogramos 2025 Animales]]+ProyeccionKg2025[[#This Row],[Proyección kilogramos 2025 Quimicos]]</f>
        <v>0</v>
      </c>
    </row>
    <row r="87" spans="2:9">
      <c r="B87" s="244"/>
      <c r="C87" s="74" t="s">
        <v>189</v>
      </c>
      <c r="D87" s="98">
        <f t="shared" si="1"/>
        <v>0</v>
      </c>
      <c r="E87" s="98">
        <f t="shared" si="2"/>
        <v>0</v>
      </c>
      <c r="F87" s="98">
        <f t="shared" si="3"/>
        <v>0</v>
      </c>
      <c r="G87" s="98">
        <f t="shared" si="4"/>
        <v>0</v>
      </c>
      <c r="H87" s="99">
        <f>+ProyeccionKg2025[[#This Row],[Proyección kilogramos 2025 Biosanitario  ]]+ProyeccionKg2025[[#This Row],[Proyección kilogramos 2025 Cortopunzantes]]+ProyeccionKg2025[[#This Row],[Proyección kilogramos 2025 Animales]]+ProyeccionKg2025[[#This Row],[Proyección kilogramos 2025 Quimicos]]</f>
        <v>0</v>
      </c>
    </row>
    <row r="88" spans="2:9">
      <c r="B88" s="244"/>
      <c r="C88" s="74" t="s">
        <v>190</v>
      </c>
      <c r="D88" s="98">
        <f t="shared" si="1"/>
        <v>0</v>
      </c>
      <c r="E88" s="98">
        <f t="shared" si="2"/>
        <v>0</v>
      </c>
      <c r="F88" s="98">
        <f t="shared" si="3"/>
        <v>0</v>
      </c>
      <c r="G88" s="98">
        <f t="shared" si="4"/>
        <v>0</v>
      </c>
      <c r="H88" s="99">
        <f>+ProyeccionKg2025[[#This Row],[Proyección kilogramos 2025 Biosanitario  ]]+ProyeccionKg2025[[#This Row],[Proyección kilogramos 2025 Cortopunzantes]]+ProyeccionKg2025[[#This Row],[Proyección kilogramos 2025 Animales]]+ProyeccionKg2025[[#This Row],[Proyección kilogramos 2025 Quimicos]]</f>
        <v>0</v>
      </c>
    </row>
    <row r="89" spans="2:9">
      <c r="B89" s="244"/>
      <c r="C89" s="74" t="s">
        <v>191</v>
      </c>
      <c r="D89" s="98">
        <f t="shared" si="1"/>
        <v>0</v>
      </c>
      <c r="E89" s="98">
        <f t="shared" si="2"/>
        <v>0</v>
      </c>
      <c r="F89" s="98">
        <f t="shared" si="3"/>
        <v>0</v>
      </c>
      <c r="G89" s="98">
        <f t="shared" si="4"/>
        <v>0</v>
      </c>
      <c r="H89" s="99">
        <f>+ProyeccionKg2025[[#This Row],[Proyección kilogramos 2025 Biosanitario  ]]+ProyeccionKg2025[[#This Row],[Proyección kilogramos 2025 Cortopunzantes]]+ProyeccionKg2025[[#This Row],[Proyección kilogramos 2025 Animales]]+ProyeccionKg2025[[#This Row],[Proyección kilogramos 2025 Quimicos]]</f>
        <v>0</v>
      </c>
    </row>
    <row r="90" spans="2:9">
      <c r="B90" s="244"/>
      <c r="C90" s="74" t="s">
        <v>192</v>
      </c>
      <c r="D90" s="98">
        <f t="shared" si="1"/>
        <v>0</v>
      </c>
      <c r="E90" s="98">
        <f t="shared" si="2"/>
        <v>0</v>
      </c>
      <c r="F90" s="98">
        <f t="shared" si="3"/>
        <v>0</v>
      </c>
      <c r="G90" s="98">
        <f t="shared" si="4"/>
        <v>0</v>
      </c>
      <c r="H90" s="99">
        <f>+ProyeccionKg2025[[#This Row],[Proyección kilogramos 2025 Biosanitario  ]]+ProyeccionKg2025[[#This Row],[Proyección kilogramos 2025 Cortopunzantes]]+ProyeccionKg2025[[#This Row],[Proyección kilogramos 2025 Animales]]+ProyeccionKg2025[[#This Row],[Proyección kilogramos 2025 Quimicos]]</f>
        <v>0</v>
      </c>
    </row>
    <row r="91" spans="2:9">
      <c r="B91" s="244"/>
      <c r="C91" s="74" t="s">
        <v>193</v>
      </c>
      <c r="D91" s="98">
        <f t="shared" si="1"/>
        <v>0</v>
      </c>
      <c r="E91" s="98">
        <f t="shared" si="2"/>
        <v>0</v>
      </c>
      <c r="F91" s="98">
        <f t="shared" si="3"/>
        <v>0</v>
      </c>
      <c r="G91" s="98">
        <f t="shared" si="4"/>
        <v>0</v>
      </c>
      <c r="H91" s="99">
        <f>+ProyeccionKg2025[[#This Row],[Proyección kilogramos 2025 Biosanitario  ]]+ProyeccionKg2025[[#This Row],[Proyección kilogramos 2025 Cortopunzantes]]+ProyeccionKg2025[[#This Row],[Proyección kilogramos 2025 Animales]]+ProyeccionKg2025[[#This Row],[Proyección kilogramos 2025 Quimicos]]</f>
        <v>0</v>
      </c>
    </row>
    <row r="92" spans="2:9">
      <c r="B92" s="244"/>
      <c r="C92" s="94" t="s">
        <v>194</v>
      </c>
      <c r="D92" s="98">
        <f t="shared" si="1"/>
        <v>0</v>
      </c>
      <c r="E92" s="98">
        <f t="shared" si="2"/>
        <v>0</v>
      </c>
      <c r="F92" s="98">
        <f t="shared" si="3"/>
        <v>0</v>
      </c>
      <c r="G92" s="98">
        <f t="shared" si="4"/>
        <v>0</v>
      </c>
      <c r="H92" s="99">
        <f>+ProyeccionKg2025[[#This Row],[Proyección kilogramos 2025 Biosanitario  ]]+ProyeccionKg2025[[#This Row],[Proyección kilogramos 2025 Cortopunzantes]]+ProyeccionKg2025[[#This Row],[Proyección kilogramos 2025 Animales]]+ProyeccionKg2025[[#This Row],[Proyección kilogramos 2025 Quimicos]]</f>
        <v>0</v>
      </c>
    </row>
    <row r="93" spans="2:9" ht="18">
      <c r="C93" s="134" t="s">
        <v>326</v>
      </c>
      <c r="D93" s="135">
        <f>SUBTOTAL(109,ProyeccionKg2025[[Proyección kilogramos 2025 Biosanitario  ]])</f>
        <v>12621.738331495777</v>
      </c>
      <c r="E93" s="135">
        <f>SUBTOTAL(109,ProyeccionKg2025[Proyección kilogramos 2025 Cortopunzantes])</f>
        <v>12621.738331495777</v>
      </c>
      <c r="F93" s="135">
        <f>SUBTOTAL(109,ProyeccionKg2025[Proyección kilogramos 2025 Animales])</f>
        <v>7063.1201764057332</v>
      </c>
      <c r="G93" s="136">
        <f>SUBTOTAL(109,ProyeccionKg2025[Proyección kilogramos 2025 Quimicos])</f>
        <v>12393.991338866836</v>
      </c>
      <c r="H93" s="135">
        <f>SUBTOTAL(109,ProyeccionKg2025[[TOTAL DE KILOGRAMOS ]])</f>
        <v>44700.588178264115</v>
      </c>
    </row>
    <row r="95" spans="2:9" ht="15.75" thickBot="1"/>
    <row r="96" spans="2:9" ht="16.5" thickBot="1">
      <c r="B96" s="226" t="s">
        <v>135</v>
      </c>
      <c r="C96" s="227"/>
      <c r="D96" s="227"/>
      <c r="E96" s="227"/>
      <c r="F96" s="227"/>
      <c r="G96" s="227"/>
      <c r="H96" s="227"/>
      <c r="I96" s="228"/>
    </row>
    <row r="97" spans="2:9" ht="15.75">
      <c r="B97" s="216" t="s">
        <v>163</v>
      </c>
      <c r="C97" s="212" t="s">
        <v>19</v>
      </c>
      <c r="D97" s="214" t="s">
        <v>136</v>
      </c>
      <c r="E97" s="222" t="s">
        <v>137</v>
      </c>
      <c r="F97" s="212"/>
      <c r="G97" s="212"/>
      <c r="H97" s="212"/>
      <c r="I97" s="214"/>
    </row>
    <row r="98" spans="2:9" ht="16.5" thickBot="1">
      <c r="B98" s="223"/>
      <c r="C98" s="224"/>
      <c r="D98" s="225"/>
      <c r="E98" s="113" t="s">
        <v>158</v>
      </c>
      <c r="F98" s="107" t="s">
        <v>159</v>
      </c>
      <c r="G98" s="107" t="s">
        <v>160</v>
      </c>
      <c r="H98" s="107" t="s">
        <v>161</v>
      </c>
      <c r="I98" s="108" t="s">
        <v>228</v>
      </c>
    </row>
    <row r="99" spans="2:9" ht="15.75" customHeight="1">
      <c r="B99" s="216" t="s">
        <v>120</v>
      </c>
      <c r="C99" s="112" t="s">
        <v>168</v>
      </c>
      <c r="D99" s="118" t="s">
        <v>229</v>
      </c>
      <c r="E99" s="114">
        <f>+D66</f>
        <v>4134.5093715545754</v>
      </c>
      <c r="F99" s="101">
        <f t="shared" ref="F99:I99" si="5">+E66</f>
        <v>4134.5093715545754</v>
      </c>
      <c r="G99" s="101">
        <f t="shared" si="5"/>
        <v>4134.5093715545754</v>
      </c>
      <c r="H99" s="101">
        <f t="shared" si="5"/>
        <v>4059.9061710573801</v>
      </c>
      <c r="I99" s="102">
        <f t="shared" si="5"/>
        <v>16463.434285721105</v>
      </c>
    </row>
    <row r="100" spans="2:9" ht="15" customHeight="1">
      <c r="B100" s="218"/>
      <c r="C100" s="74" t="s">
        <v>169</v>
      </c>
      <c r="D100" s="119" t="s">
        <v>229</v>
      </c>
      <c r="E100" s="115">
        <f t="shared" ref="E100:I106" si="6">+D67</f>
        <v>2756.3395810363836</v>
      </c>
      <c r="F100" s="56">
        <f t="shared" si="6"/>
        <v>2756.3395810363836</v>
      </c>
      <c r="G100" s="56">
        <f t="shared" si="6"/>
        <v>2756.3395810363836</v>
      </c>
      <c r="H100" s="56">
        <f t="shared" si="6"/>
        <v>2706.6041140382536</v>
      </c>
      <c r="I100" s="57">
        <f t="shared" si="6"/>
        <v>10975.622857147404</v>
      </c>
    </row>
    <row r="101" spans="2:9" ht="15.75" customHeight="1">
      <c r="B101" s="218"/>
      <c r="C101" s="74" t="s">
        <v>204</v>
      </c>
      <c r="D101" s="119" t="s">
        <v>229</v>
      </c>
      <c r="E101" s="115">
        <f t="shared" si="6"/>
        <v>689.0848952590959</v>
      </c>
      <c r="F101" s="56">
        <f t="shared" si="6"/>
        <v>689.0848952590959</v>
      </c>
      <c r="G101" s="56">
        <f t="shared" si="6"/>
        <v>0</v>
      </c>
      <c r="H101" s="56">
        <f t="shared" si="6"/>
        <v>676.65102850956339</v>
      </c>
      <c r="I101" s="57">
        <f t="shared" si="6"/>
        <v>2054.8208190277551</v>
      </c>
    </row>
    <row r="102" spans="2:9" ht="15.75" customHeight="1">
      <c r="B102" s="218"/>
      <c r="C102" s="74" t="s">
        <v>205</v>
      </c>
      <c r="D102" s="119" t="s">
        <v>229</v>
      </c>
      <c r="E102" s="115">
        <f t="shared" si="6"/>
        <v>689.0848952590959</v>
      </c>
      <c r="F102" s="56">
        <f t="shared" si="6"/>
        <v>689.0848952590959</v>
      </c>
      <c r="G102" s="56">
        <f t="shared" si="6"/>
        <v>0</v>
      </c>
      <c r="H102" s="56">
        <f t="shared" si="6"/>
        <v>676.65102850956339</v>
      </c>
      <c r="I102" s="57">
        <f t="shared" si="6"/>
        <v>2054.8208190277551</v>
      </c>
    </row>
    <row r="103" spans="2:9" ht="15.75" customHeight="1">
      <c r="B103" s="218"/>
      <c r="C103" s="74" t="s">
        <v>172</v>
      </c>
      <c r="D103" s="119" t="s">
        <v>229</v>
      </c>
      <c r="E103" s="115">
        <f t="shared" si="6"/>
        <v>91.877986034546112</v>
      </c>
      <c r="F103" s="56">
        <f t="shared" si="6"/>
        <v>91.877986034546112</v>
      </c>
      <c r="G103" s="56">
        <f t="shared" si="6"/>
        <v>0</v>
      </c>
      <c r="H103" s="56">
        <f t="shared" si="6"/>
        <v>90.22013713460845</v>
      </c>
      <c r="I103" s="57">
        <f t="shared" si="6"/>
        <v>273.97610920370067</v>
      </c>
    </row>
    <row r="104" spans="2:9" ht="15.75" customHeight="1">
      <c r="B104" s="218"/>
      <c r="C104" s="74" t="s">
        <v>173</v>
      </c>
      <c r="D104" s="119" t="s">
        <v>229</v>
      </c>
      <c r="E104" s="115">
        <f t="shared" si="6"/>
        <v>2480.7056229327454</v>
      </c>
      <c r="F104" s="56">
        <f t="shared" si="6"/>
        <v>2480.7056229327454</v>
      </c>
      <c r="G104" s="56">
        <f t="shared" si="6"/>
        <v>0</v>
      </c>
      <c r="H104" s="56">
        <f t="shared" si="6"/>
        <v>2435.9437026344281</v>
      </c>
      <c r="I104" s="57">
        <f t="shared" si="6"/>
        <v>7397.3549484999185</v>
      </c>
    </row>
    <row r="105" spans="2:9" ht="15.75" customHeight="1">
      <c r="B105" s="218"/>
      <c r="C105" s="74" t="s">
        <v>174</v>
      </c>
      <c r="D105" s="119" t="s">
        <v>229</v>
      </c>
      <c r="E105" s="115">
        <f t="shared" si="6"/>
        <v>689.0848952590959</v>
      </c>
      <c r="F105" s="56">
        <f t="shared" si="6"/>
        <v>689.0848952590959</v>
      </c>
      <c r="G105" s="56">
        <f t="shared" si="6"/>
        <v>0</v>
      </c>
      <c r="H105" s="56">
        <f t="shared" si="6"/>
        <v>676.65102850956339</v>
      </c>
      <c r="I105" s="57">
        <f t="shared" si="6"/>
        <v>2054.8208190277551</v>
      </c>
    </row>
    <row r="106" spans="2:9" ht="16.5" customHeight="1" thickBot="1">
      <c r="B106" s="217"/>
      <c r="C106" s="75" t="s">
        <v>175</v>
      </c>
      <c r="D106" s="120" t="s">
        <v>229</v>
      </c>
      <c r="E106" s="116">
        <f t="shared" si="6"/>
        <v>689.0848952590959</v>
      </c>
      <c r="F106" s="59">
        <f t="shared" si="6"/>
        <v>689.0848952590959</v>
      </c>
      <c r="G106" s="59">
        <f t="shared" si="6"/>
        <v>0</v>
      </c>
      <c r="H106" s="59">
        <f t="shared" si="6"/>
        <v>676.65102850956339</v>
      </c>
      <c r="I106" s="60">
        <f t="shared" si="6"/>
        <v>2054.8208190277551</v>
      </c>
    </row>
    <row r="107" spans="2:9" ht="15.75" thickBot="1">
      <c r="B107" s="52"/>
      <c r="C107" s="52"/>
      <c r="D107" s="52"/>
      <c r="E107" s="61"/>
      <c r="F107" s="61"/>
      <c r="G107" s="61"/>
      <c r="H107" s="61"/>
      <c r="I107" s="61"/>
    </row>
    <row r="108" spans="2:9" ht="16.5" thickBot="1">
      <c r="B108" s="229" t="s">
        <v>138</v>
      </c>
      <c r="C108" s="230"/>
      <c r="D108" s="230"/>
      <c r="E108" s="230"/>
      <c r="F108" s="230"/>
      <c r="G108" s="230"/>
      <c r="H108" s="230"/>
      <c r="I108" s="231"/>
    </row>
    <row r="109" spans="2:9" ht="15.75">
      <c r="B109" s="216" t="s">
        <v>163</v>
      </c>
      <c r="C109" s="212" t="s">
        <v>19</v>
      </c>
      <c r="D109" s="214" t="s">
        <v>136</v>
      </c>
      <c r="E109" s="222" t="s">
        <v>137</v>
      </c>
      <c r="F109" s="212"/>
      <c r="G109" s="212"/>
      <c r="H109" s="212"/>
      <c r="I109" s="214"/>
    </row>
    <row r="110" spans="2:9" ht="16.5" thickBot="1">
      <c r="B110" s="223"/>
      <c r="C110" s="224"/>
      <c r="D110" s="225"/>
      <c r="E110" s="113" t="s">
        <v>158</v>
      </c>
      <c r="F110" s="107" t="s">
        <v>159</v>
      </c>
      <c r="G110" s="107" t="s">
        <v>160</v>
      </c>
      <c r="H110" s="107" t="s">
        <v>161</v>
      </c>
      <c r="I110" s="108" t="s">
        <v>228</v>
      </c>
    </row>
    <row r="111" spans="2:9">
      <c r="B111" s="216" t="s">
        <v>120</v>
      </c>
      <c r="C111" s="105" t="s">
        <v>139</v>
      </c>
      <c r="D111" s="118" t="s">
        <v>229</v>
      </c>
      <c r="E111" s="121">
        <f>+D74</f>
        <v>172.27122381477398</v>
      </c>
      <c r="F111" s="106">
        <f t="shared" ref="F111:I111" si="7">+E74</f>
        <v>172.27122381477398</v>
      </c>
      <c r="G111" s="106">
        <f t="shared" si="7"/>
        <v>172.27122381477398</v>
      </c>
      <c r="H111" s="106">
        <f t="shared" si="7"/>
        <v>169.16275712739085</v>
      </c>
      <c r="I111" s="109">
        <f t="shared" si="7"/>
        <v>685.97642857171274</v>
      </c>
    </row>
    <row r="112" spans="2:9" ht="15.75" thickBot="1">
      <c r="B112" s="217"/>
      <c r="C112" s="58" t="s">
        <v>140</v>
      </c>
      <c r="D112" s="120" t="s">
        <v>229</v>
      </c>
      <c r="E112" s="122">
        <f>+D75</f>
        <v>229.69496508636533</v>
      </c>
      <c r="F112" s="110">
        <f t="shared" ref="F112:I112" si="8">+E75</f>
        <v>229.69496508636533</v>
      </c>
      <c r="G112" s="110">
        <f t="shared" si="8"/>
        <v>0</v>
      </c>
      <c r="H112" s="110">
        <f t="shared" si="8"/>
        <v>225.55034283652114</v>
      </c>
      <c r="I112" s="111">
        <f t="shared" si="8"/>
        <v>684.94027300925177</v>
      </c>
    </row>
    <row r="113" spans="2:9" ht="15.75" thickBot="1">
      <c r="B113" s="52"/>
      <c r="C113" s="52"/>
      <c r="D113" s="52"/>
      <c r="E113" s="52"/>
      <c r="F113" s="52"/>
      <c r="G113" s="52"/>
      <c r="H113" s="52"/>
      <c r="I113" s="52"/>
    </row>
    <row r="114" spans="2:9" ht="16.5" thickBot="1">
      <c r="B114" s="219" t="s">
        <v>141</v>
      </c>
      <c r="C114" s="220"/>
      <c r="D114" s="220"/>
      <c r="E114" s="220"/>
      <c r="F114" s="220"/>
      <c r="G114" s="220"/>
      <c r="H114" s="220"/>
      <c r="I114" s="221"/>
    </row>
    <row r="115" spans="2:9" ht="15.75">
      <c r="B115" s="216" t="s">
        <v>0</v>
      </c>
      <c r="C115" s="212" t="s">
        <v>19</v>
      </c>
      <c r="D115" s="214" t="s">
        <v>136</v>
      </c>
      <c r="E115" s="222" t="s">
        <v>137</v>
      </c>
      <c r="F115" s="212"/>
      <c r="G115" s="212"/>
      <c r="H115" s="212"/>
      <c r="I115" s="214"/>
    </row>
    <row r="116" spans="2:9" ht="16.5" thickBot="1">
      <c r="B116" s="217"/>
      <c r="C116" s="213"/>
      <c r="D116" s="215"/>
      <c r="E116" s="123" t="s">
        <v>158</v>
      </c>
      <c r="F116" s="69" t="s">
        <v>164</v>
      </c>
      <c r="G116" s="69" t="s">
        <v>195</v>
      </c>
      <c r="H116" s="69" t="s">
        <v>196</v>
      </c>
      <c r="I116" s="117" t="s">
        <v>228</v>
      </c>
    </row>
    <row r="117" spans="2:9">
      <c r="B117" s="216" t="s">
        <v>120</v>
      </c>
      <c r="C117" s="103" t="s">
        <v>142</v>
      </c>
      <c r="D117" s="104" t="s">
        <v>229</v>
      </c>
      <c r="E117" s="124">
        <f>+D76</f>
        <v>0</v>
      </c>
      <c r="F117" s="125">
        <f t="shared" ref="F117:I117" si="9">+E76</f>
        <v>0</v>
      </c>
      <c r="G117" s="125">
        <f t="shared" si="9"/>
        <v>0</v>
      </c>
      <c r="H117" s="125">
        <f t="shared" si="9"/>
        <v>0</v>
      </c>
      <c r="I117" s="126">
        <f t="shared" si="9"/>
        <v>0</v>
      </c>
    </row>
    <row r="118" spans="2:9">
      <c r="B118" s="218"/>
      <c r="C118" s="62" t="s">
        <v>143</v>
      </c>
      <c r="D118" s="92" t="s">
        <v>229</v>
      </c>
      <c r="E118" s="127">
        <f t="shared" ref="E118:I133" si="10">+D77</f>
        <v>0</v>
      </c>
      <c r="F118" s="98">
        <f t="shared" si="10"/>
        <v>0</v>
      </c>
      <c r="G118" s="98">
        <f t="shared" si="10"/>
        <v>0</v>
      </c>
      <c r="H118" s="98">
        <f t="shared" si="10"/>
        <v>0</v>
      </c>
      <c r="I118" s="128">
        <f t="shared" si="10"/>
        <v>0</v>
      </c>
    </row>
    <row r="119" spans="2:9">
      <c r="B119" s="218"/>
      <c r="C119" s="62" t="s">
        <v>144</v>
      </c>
      <c r="D119" s="92" t="s">
        <v>229</v>
      </c>
      <c r="E119" s="127">
        <f t="shared" si="10"/>
        <v>0</v>
      </c>
      <c r="F119" s="98">
        <f t="shared" si="10"/>
        <v>0</v>
      </c>
      <c r="G119" s="98">
        <f t="shared" si="10"/>
        <v>0</v>
      </c>
      <c r="H119" s="98">
        <f t="shared" si="10"/>
        <v>0</v>
      </c>
      <c r="I119" s="128">
        <f t="shared" si="10"/>
        <v>0</v>
      </c>
    </row>
    <row r="120" spans="2:9">
      <c r="B120" s="218"/>
      <c r="C120" s="62" t="s">
        <v>145</v>
      </c>
      <c r="D120" s="92" t="s">
        <v>229</v>
      </c>
      <c r="E120" s="127">
        <f t="shared" si="10"/>
        <v>0</v>
      </c>
      <c r="F120" s="98">
        <f t="shared" si="10"/>
        <v>0</v>
      </c>
      <c r="G120" s="98">
        <f t="shared" si="10"/>
        <v>0</v>
      </c>
      <c r="H120" s="98">
        <f t="shared" si="10"/>
        <v>0</v>
      </c>
      <c r="I120" s="128">
        <f t="shared" si="10"/>
        <v>0</v>
      </c>
    </row>
    <row r="121" spans="2:9">
      <c r="B121" s="218"/>
      <c r="C121" s="62" t="s">
        <v>146</v>
      </c>
      <c r="D121" s="92" t="s">
        <v>229</v>
      </c>
      <c r="E121" s="127">
        <f t="shared" si="10"/>
        <v>0</v>
      </c>
      <c r="F121" s="98">
        <f t="shared" si="10"/>
        <v>0</v>
      </c>
      <c r="G121" s="98">
        <f t="shared" si="10"/>
        <v>0</v>
      </c>
      <c r="H121" s="98">
        <f t="shared" si="10"/>
        <v>0</v>
      </c>
      <c r="I121" s="128">
        <f t="shared" si="10"/>
        <v>0</v>
      </c>
    </row>
    <row r="122" spans="2:9">
      <c r="B122" s="218"/>
      <c r="C122" s="62" t="s">
        <v>162</v>
      </c>
      <c r="D122" s="92" t="s">
        <v>229</v>
      </c>
      <c r="E122" s="127">
        <f t="shared" si="10"/>
        <v>0</v>
      </c>
      <c r="F122" s="98">
        <f t="shared" si="10"/>
        <v>0</v>
      </c>
      <c r="G122" s="98">
        <f t="shared" si="10"/>
        <v>0</v>
      </c>
      <c r="H122" s="98">
        <f t="shared" si="10"/>
        <v>0</v>
      </c>
      <c r="I122" s="128">
        <f t="shared" si="10"/>
        <v>0</v>
      </c>
    </row>
    <row r="123" spans="2:9">
      <c r="B123" s="218"/>
      <c r="C123" s="62" t="s">
        <v>147</v>
      </c>
      <c r="D123" s="92" t="s">
        <v>229</v>
      </c>
      <c r="E123" s="127">
        <f t="shared" si="10"/>
        <v>0</v>
      </c>
      <c r="F123" s="98">
        <f t="shared" si="10"/>
        <v>0</v>
      </c>
      <c r="G123" s="98">
        <f t="shared" si="10"/>
        <v>0</v>
      </c>
      <c r="H123" s="98">
        <f t="shared" si="10"/>
        <v>0</v>
      </c>
      <c r="I123" s="128">
        <f t="shared" si="10"/>
        <v>0</v>
      </c>
    </row>
    <row r="124" spans="2:9">
      <c r="B124" s="218"/>
      <c r="C124" s="62" t="s">
        <v>148</v>
      </c>
      <c r="D124" s="92" t="s">
        <v>229</v>
      </c>
      <c r="E124" s="127">
        <f t="shared" si="10"/>
        <v>0</v>
      </c>
      <c r="F124" s="98">
        <f t="shared" si="10"/>
        <v>0</v>
      </c>
      <c r="G124" s="98">
        <f t="shared" si="10"/>
        <v>0</v>
      </c>
      <c r="H124" s="98">
        <f t="shared" si="10"/>
        <v>0</v>
      </c>
      <c r="I124" s="128">
        <f t="shared" si="10"/>
        <v>0</v>
      </c>
    </row>
    <row r="125" spans="2:9">
      <c r="B125" s="218"/>
      <c r="C125" s="62" t="s">
        <v>149</v>
      </c>
      <c r="D125" s="92" t="s">
        <v>229</v>
      </c>
      <c r="E125" s="127">
        <f t="shared" si="10"/>
        <v>0</v>
      </c>
      <c r="F125" s="98">
        <f t="shared" si="10"/>
        <v>0</v>
      </c>
      <c r="G125" s="98">
        <f t="shared" si="10"/>
        <v>0</v>
      </c>
      <c r="H125" s="98">
        <f t="shared" si="10"/>
        <v>0</v>
      </c>
      <c r="I125" s="128">
        <f t="shared" si="10"/>
        <v>0</v>
      </c>
    </row>
    <row r="126" spans="2:9">
      <c r="B126" s="218"/>
      <c r="C126" s="62" t="s">
        <v>150</v>
      </c>
      <c r="D126" s="92" t="s">
        <v>229</v>
      </c>
      <c r="E126" s="127">
        <f t="shared" si="10"/>
        <v>0</v>
      </c>
      <c r="F126" s="98">
        <f t="shared" si="10"/>
        <v>0</v>
      </c>
      <c r="G126" s="98">
        <f t="shared" si="10"/>
        <v>0</v>
      </c>
      <c r="H126" s="98">
        <f t="shared" si="10"/>
        <v>0</v>
      </c>
      <c r="I126" s="128">
        <f t="shared" si="10"/>
        <v>0</v>
      </c>
    </row>
    <row r="127" spans="2:9">
      <c r="B127" s="218"/>
      <c r="C127" s="62" t="s">
        <v>151</v>
      </c>
      <c r="D127" s="92" t="s">
        <v>229</v>
      </c>
      <c r="E127" s="127">
        <f t="shared" si="10"/>
        <v>0</v>
      </c>
      <c r="F127" s="98">
        <f t="shared" si="10"/>
        <v>0</v>
      </c>
      <c r="G127" s="98">
        <f t="shared" si="10"/>
        <v>0</v>
      </c>
      <c r="H127" s="98">
        <f t="shared" si="10"/>
        <v>0</v>
      </c>
      <c r="I127" s="128">
        <f t="shared" si="10"/>
        <v>0</v>
      </c>
    </row>
    <row r="128" spans="2:9">
      <c r="B128" s="218"/>
      <c r="C128" s="62" t="s">
        <v>152</v>
      </c>
      <c r="D128" s="92" t="s">
        <v>229</v>
      </c>
      <c r="E128" s="127">
        <f t="shared" si="10"/>
        <v>0</v>
      </c>
      <c r="F128" s="98">
        <f t="shared" si="10"/>
        <v>0</v>
      </c>
      <c r="G128" s="98">
        <f t="shared" si="10"/>
        <v>0</v>
      </c>
      <c r="H128" s="98">
        <f t="shared" si="10"/>
        <v>0</v>
      </c>
      <c r="I128" s="128">
        <f t="shared" si="10"/>
        <v>0</v>
      </c>
    </row>
    <row r="129" spans="2:9">
      <c r="B129" s="218"/>
      <c r="C129" s="62" t="s">
        <v>153</v>
      </c>
      <c r="D129" s="92" t="s">
        <v>229</v>
      </c>
      <c r="E129" s="127">
        <f t="shared" si="10"/>
        <v>0</v>
      </c>
      <c r="F129" s="98">
        <f t="shared" si="10"/>
        <v>0</v>
      </c>
      <c r="G129" s="98">
        <f t="shared" si="10"/>
        <v>0</v>
      </c>
      <c r="H129" s="98">
        <f t="shared" si="10"/>
        <v>0</v>
      </c>
      <c r="I129" s="128">
        <f t="shared" si="10"/>
        <v>0</v>
      </c>
    </row>
    <row r="130" spans="2:9">
      <c r="B130" s="218"/>
      <c r="C130" s="62" t="s">
        <v>154</v>
      </c>
      <c r="D130" s="92" t="s">
        <v>229</v>
      </c>
      <c r="E130" s="127">
        <f t="shared" si="10"/>
        <v>0</v>
      </c>
      <c r="F130" s="98">
        <f t="shared" si="10"/>
        <v>0</v>
      </c>
      <c r="G130" s="98">
        <f t="shared" si="10"/>
        <v>0</v>
      </c>
      <c r="H130" s="98">
        <f t="shared" si="10"/>
        <v>0</v>
      </c>
      <c r="I130" s="128">
        <f t="shared" si="10"/>
        <v>0</v>
      </c>
    </row>
    <row r="131" spans="2:9">
      <c r="B131" s="218"/>
      <c r="C131" s="62" t="s">
        <v>155</v>
      </c>
      <c r="D131" s="92" t="s">
        <v>229</v>
      </c>
      <c r="E131" s="127">
        <f t="shared" si="10"/>
        <v>0</v>
      </c>
      <c r="F131" s="98">
        <f t="shared" si="10"/>
        <v>0</v>
      </c>
      <c r="G131" s="98">
        <f t="shared" si="10"/>
        <v>0</v>
      </c>
      <c r="H131" s="98">
        <f t="shared" si="10"/>
        <v>0</v>
      </c>
      <c r="I131" s="128">
        <f t="shared" si="10"/>
        <v>0</v>
      </c>
    </row>
    <row r="132" spans="2:9">
      <c r="B132" s="218"/>
      <c r="C132" s="62" t="s">
        <v>156</v>
      </c>
      <c r="D132" s="92" t="s">
        <v>229</v>
      </c>
      <c r="E132" s="127">
        <f t="shared" si="10"/>
        <v>0</v>
      </c>
      <c r="F132" s="98">
        <f t="shared" si="10"/>
        <v>0</v>
      </c>
      <c r="G132" s="98">
        <f t="shared" si="10"/>
        <v>0</v>
      </c>
      <c r="H132" s="98">
        <f t="shared" si="10"/>
        <v>0</v>
      </c>
      <c r="I132" s="128">
        <f t="shared" si="10"/>
        <v>0</v>
      </c>
    </row>
    <row r="133" spans="2:9" ht="15.75" thickBot="1">
      <c r="B133" s="217"/>
      <c r="C133" s="64" t="s">
        <v>157</v>
      </c>
      <c r="D133" s="100" t="s">
        <v>229</v>
      </c>
      <c r="E133" s="129">
        <f t="shared" si="10"/>
        <v>0</v>
      </c>
      <c r="F133" s="130">
        <f t="shared" si="10"/>
        <v>0</v>
      </c>
      <c r="G133" s="130">
        <f t="shared" si="10"/>
        <v>0</v>
      </c>
      <c r="H133" s="130">
        <f t="shared" si="10"/>
        <v>0</v>
      </c>
      <c r="I133" s="131">
        <f t="shared" si="10"/>
        <v>0</v>
      </c>
    </row>
  </sheetData>
  <mergeCells count="26">
    <mergeCell ref="B4:B30"/>
    <mergeCell ref="B35:B61"/>
    <mergeCell ref="B1:H1"/>
    <mergeCell ref="B33:D33"/>
    <mergeCell ref="B66:B92"/>
    <mergeCell ref="F35:F61"/>
    <mergeCell ref="F33:K33"/>
    <mergeCell ref="B64:H64"/>
    <mergeCell ref="B99:B106"/>
    <mergeCell ref="B109:B110"/>
    <mergeCell ref="C109:C110"/>
    <mergeCell ref="D109:D110"/>
    <mergeCell ref="B96:I96"/>
    <mergeCell ref="E109:I109"/>
    <mergeCell ref="B108:I108"/>
    <mergeCell ref="B97:B98"/>
    <mergeCell ref="C97:C98"/>
    <mergeCell ref="D97:D98"/>
    <mergeCell ref="E97:I97"/>
    <mergeCell ref="C115:C116"/>
    <mergeCell ref="D115:D116"/>
    <mergeCell ref="B111:B112"/>
    <mergeCell ref="B117:B133"/>
    <mergeCell ref="B114:I114"/>
    <mergeCell ref="E115:I115"/>
    <mergeCell ref="B115:B116"/>
  </mergeCells>
  <phoneticPr fontId="16" type="noConversion"/>
  <pageMargins left="0.7" right="0.7" top="0.75" bottom="0.75" header="0.3" footer="0.3"/>
  <pageSetup orientation="portrait" r:id="rId1"/>
  <tableParts count="4">
    <tablePart r:id="rId2"/>
    <tablePart r:id="rId3"/>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6CBE7-E2AE-4E5F-946B-6E29C5964A7F}">
  <dimension ref="B1:S42"/>
  <sheetViews>
    <sheetView tabSelected="1" topLeftCell="A7" zoomScale="70" zoomScaleNormal="70" workbookViewId="0">
      <selection activeCell="K13" sqref="K13"/>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AVERAGE(COTIZACIONES20252[[#This Row],[EDEPSA 
Valor Kg Biosanitario  ]],COTIZACIONES20252[[#This Row],[
Valor Kg Biosanitario ]],COTIZACIONES20252[[#This Row],[HISTORICO
2024 + IPC 2025 (3%)Biosanitario]])</f>
        <v>6678</v>
      </c>
      <c r="Q4" s="191">
        <f>AVERAGE(COTIZACIONES20252[[#This Row],[EDEPSA 
Valor Kg Cortopunzantes]],COTIZACIONES20252[[#This Row],[ 
Valor Kg Cortopunzantes]],COTIZACIONES20252[[#This Row],[HISTORICO
2024  + IPC 2025 (3%) 
Cortopunzantes]])</f>
        <v>6678</v>
      </c>
      <c r="R4" s="191">
        <f>AVERAGE(COTIZACIONES20252[[#This Row],[EDEPSA 
Valor Kg Animales]],COTIZACIONES20252[[#This Row],[
Valor Kg Animales]],COTIZACIONES20252[[#This Row],[HISTORICO
2024  + IPC 2025 (3%)Animales]])</f>
        <v>6678</v>
      </c>
      <c r="S4" s="193">
        <f>AVERAGE(COTIZACIONES20252[[#This Row],[EDEPSA 
Valor Kg Quimicos]],COTIZACIONES20252[[#This Row],[
Valor Kg Quimicos]],COTIZACIONES20252[[#This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AVERAGE(COTIZACIONES20252[[#This Row],[EDEPSA 
Valor Kg Biosanitario  ]],COTIZACIONES20252[[#This Row],[
Valor Kg Biosanitario ]],COTIZACIONES20252[[#This Row],[HISTORICO
2024 + IPC 2025 (3%)Biosanitario]])</f>
        <v>6678</v>
      </c>
      <c r="Q5" s="54">
        <f>AVERAGE(COTIZACIONES20252[[#This Row],[EDEPSA 
Valor Kg Cortopunzantes]],COTIZACIONES20252[[#This Row],[ 
Valor Kg Cortopunzantes]],COTIZACIONES20252[[#This Row],[HISTORICO
2024  + IPC 2025 (3%) 
Cortopunzantes]])</f>
        <v>6678</v>
      </c>
      <c r="R5" s="54">
        <f>AVERAGE(COTIZACIONES20252[[#This Row],[EDEPSA 
Valor Kg Animales]],COTIZACIONES20252[[#This Row],[
Valor Kg Animales]],COTIZACIONES20252[[#This Row],[HISTORICO
2024  + IPC 2025 (3%)Animales]])</f>
        <v>6678</v>
      </c>
      <c r="S5" s="194">
        <f>AVERAGE(COTIZACIONES20252[[#This Row],[EDEPSA 
Valor Kg Quimicos]],COTIZACIONES20252[[#This Row],[
Valor Kg Quimicos]],COTIZACIONES20252[[#This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AVERAGE(COTIZACIONES20252[[#This Row],[EDEPSA 
Valor Kg Biosanitario  ]],COTIZACIONES20252[[#This Row],[
Valor Kg Biosanitario ]],COTIZACIONES20252[[#This Row],[HISTORICO
2024 + IPC 2025 (3%)Biosanitario]])</f>
        <v>6678</v>
      </c>
      <c r="Q6" s="54">
        <f>AVERAGE(COTIZACIONES20252[[#This Row],[EDEPSA 
Valor Kg Cortopunzantes]],COTIZACIONES20252[[#This Row],[ 
Valor Kg Cortopunzantes]],COTIZACIONES20252[[#This Row],[HISTORICO
2024  + IPC 2025 (3%) 
Cortopunzantes]])</f>
        <v>6678</v>
      </c>
      <c r="R6" s="54">
        <f>AVERAGE(COTIZACIONES20252[[#This Row],[EDEPSA 
Valor Kg Animales]],COTIZACIONES20252[[#This Row],[
Valor Kg Animales]],COTIZACIONES20252[[#This Row],[HISTORICO
2024  + IPC 2025 (3%)Animales]])</f>
        <v>6678</v>
      </c>
      <c r="S6" s="194">
        <f>AVERAGE(COTIZACIONES20252[[#This Row],[EDEPSA 
Valor Kg Quimicos]],COTIZACIONES20252[[#This Row],[
Valor Kg Quimicos]],COTIZACIONES20252[[#This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AVERAGE(COTIZACIONES20252[[#This Row],[EDEPSA 
Valor Kg Biosanitario  ]],COTIZACIONES20252[[#This Row],[
Valor Kg Biosanitario ]],COTIZACIONES20252[[#This Row],[HISTORICO
2024 + IPC 2025 (3%)Biosanitario]])</f>
        <v>6678</v>
      </c>
      <c r="Q7" s="54">
        <f>AVERAGE(COTIZACIONES20252[[#This Row],[EDEPSA 
Valor Kg Cortopunzantes]],COTIZACIONES20252[[#This Row],[ 
Valor Kg Cortopunzantes]],COTIZACIONES20252[[#This Row],[HISTORICO
2024  + IPC 2025 (3%) 
Cortopunzantes]])</f>
        <v>6678</v>
      </c>
      <c r="R7" s="54">
        <f>AVERAGE(COTIZACIONES20252[[#This Row],[EDEPSA 
Valor Kg Animales]],COTIZACIONES20252[[#This Row],[
Valor Kg Animales]],COTIZACIONES20252[[#This Row],[HISTORICO
2024  + IPC 2025 (3%)Animales]])</f>
        <v>6678</v>
      </c>
      <c r="S7" s="194">
        <f>AVERAGE(COTIZACIONES20252[[#This Row],[EDEPSA 
Valor Kg Quimicos]],COTIZACIONES20252[[#This Row],[
Valor Kg Quimicos]],COTIZACIONES20252[[#This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AVERAGE(COTIZACIONES20252[[#This Row],[EDEPSA 
Valor Kg Biosanitario  ]],COTIZACIONES20252[[#This Row],[
Valor Kg Biosanitario ]],COTIZACIONES20252[[#This Row],[HISTORICO
2024 + IPC 2025 (3%)Biosanitario]])</f>
        <v>6678</v>
      </c>
      <c r="Q8" s="195">
        <f>AVERAGE(COTIZACIONES20252[[#This Row],[EDEPSA 
Valor Kg Cortopunzantes]],COTIZACIONES20252[[#This Row],[ 
Valor Kg Cortopunzantes]],COTIZACIONES20252[[#This Row],[HISTORICO
2024  + IPC 2025 (3%) 
Cortopunzantes]])</f>
        <v>6678</v>
      </c>
      <c r="R8" s="195">
        <f>AVERAGE(COTIZACIONES20252[[#This Row],[EDEPSA 
Valor Kg Animales]],COTIZACIONES20252[[#This Row],[
Valor Kg Animales]],COTIZACIONES20252[[#This Row],[HISTORICO
2024  + IPC 2025 (3%)Animales]])</f>
        <v>6678</v>
      </c>
      <c r="S8" s="198">
        <f>AVERAGE(COTIZACIONES20252[[#This Row],[EDEPSA 
Valor Kg Quimicos]],COTIZACIONES20252[[#This Row],[
Valor Kg Quimicos]],COTIZACIONES20252[[#This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ht="14.25" customHeight="1">
      <c r="B13" s="251" t="s">
        <v>340</v>
      </c>
      <c r="C13" s="190" t="s">
        <v>341</v>
      </c>
      <c r="D13" s="199">
        <v>4800000</v>
      </c>
      <c r="E13" s="147">
        <f>+PRESUPUSTO_20254[[#This Row],[PRESUPUESTO 2025]]/4</f>
        <v>1200000</v>
      </c>
      <c r="F13" s="251" t="s">
        <v>340</v>
      </c>
      <c r="G13" s="190" t="s">
        <v>341</v>
      </c>
      <c r="H13" s="206">
        <f>+PRESUPUSTO_20254[[#This Row],[Columna1]]</f>
        <v>1200000</v>
      </c>
      <c r="I13" s="206">
        <f>+PRESUPUSTO_20254[[#This Row],[Columna1]]</f>
        <v>1200000</v>
      </c>
      <c r="J13" s="206">
        <f>+PRESUPUSTO_20254[[#This Row],[Columna1]]</f>
        <v>1200000</v>
      </c>
      <c r="K13" s="207">
        <f>+PRESUPUSTO_20254[[#This Row],[Columna1]]</f>
        <v>1200000</v>
      </c>
      <c r="O13" s="63"/>
    </row>
    <row r="14" spans="2:19" ht="14.25" customHeight="1">
      <c r="B14" s="252"/>
      <c r="C14" s="53" t="s">
        <v>2</v>
      </c>
      <c r="D14" s="200"/>
      <c r="E14" s="147">
        <f>+PRESUPUSTO_20254[[#This Row],[PRESUPUESTO 2025]]/4</f>
        <v>0</v>
      </c>
      <c r="F14" s="252"/>
      <c r="G14" s="53" t="s">
        <v>2</v>
      </c>
      <c r="H14" s="97">
        <f>+PRESUPUSTO_20254[[#This Row],[Columna1]]</f>
        <v>0</v>
      </c>
      <c r="I14" s="97">
        <f>+PRESUPUSTO_20254[[#This Row],[Columna1]]</f>
        <v>0</v>
      </c>
      <c r="J14" s="97">
        <f>+PRESUPUSTO_20254[[#This Row],[Columna1]]</f>
        <v>0</v>
      </c>
      <c r="K14" s="139">
        <f>+PRESUPUSTO_20254[[#This Row],[Columna1]]</f>
        <v>0</v>
      </c>
      <c r="O14" s="63"/>
    </row>
    <row r="15" spans="2:19" ht="14.25" customHeight="1">
      <c r="B15" s="252"/>
      <c r="C15" s="53"/>
      <c r="D15" s="200"/>
      <c r="E15" s="147">
        <f>+PRESUPUSTO_20254[[#This Row],[PRESUPUESTO 2025]]/3</f>
        <v>0</v>
      </c>
      <c r="F15" s="252"/>
      <c r="G15" s="53" t="s">
        <v>239</v>
      </c>
      <c r="H15" s="97">
        <f>+PRESUPUSTO_20254[[#This Row],[Columna1]]</f>
        <v>0</v>
      </c>
      <c r="I15" s="97">
        <f>+PRESUPUSTO_20254[[#This Row],[Columna1]]</f>
        <v>0</v>
      </c>
      <c r="J15" s="97">
        <v>0</v>
      </c>
      <c r="K15" s="139">
        <f>+PRESUPUSTO_20254[[#This Row],[Columna1]]</f>
        <v>0</v>
      </c>
      <c r="O15" s="63"/>
    </row>
    <row r="16" spans="2:19">
      <c r="B16" s="252"/>
      <c r="C16" s="53"/>
      <c r="D16" s="200"/>
      <c r="E16" s="147">
        <f>+PRESUPUSTO_20254[[#This Row],[PRESUPUESTO 2025]]/3</f>
        <v>0</v>
      </c>
      <c r="F16" s="252"/>
      <c r="G16" s="53" t="s">
        <v>240</v>
      </c>
      <c r="H16" s="97">
        <f>+PRESUPUSTO_20254[[#This Row],[Columna1]]</f>
        <v>0</v>
      </c>
      <c r="I16" s="97">
        <f>+PRESUPUSTO_20254[[#This Row],[Columna1]]</f>
        <v>0</v>
      </c>
      <c r="J16" s="97">
        <v>0</v>
      </c>
      <c r="K16" s="139">
        <f>+PRESUPUSTO_20254[[#This Row],[Columna1]]</f>
        <v>0</v>
      </c>
      <c r="O16" s="63"/>
    </row>
    <row r="17" spans="2:15" ht="15.75" thickBot="1">
      <c r="B17" s="253"/>
      <c r="C17" s="133"/>
      <c r="D17" s="201"/>
      <c r="E17" s="147">
        <f>+PRESUPUSTO_20254[[#This Row],[PRESUPUESTO 2025]]/3</f>
        <v>0</v>
      </c>
      <c r="F17" s="253"/>
      <c r="G17" s="133" t="s">
        <v>241</v>
      </c>
      <c r="H17" s="140">
        <f>+PRESUPUSTO_20254[[#This Row],[Columna1]]</f>
        <v>0</v>
      </c>
      <c r="I17" s="140">
        <f>+PRESUPUSTO_20254[[#This Row],[Columna1]]</f>
        <v>0</v>
      </c>
      <c r="J17" s="140">
        <v>0</v>
      </c>
      <c r="K17" s="141">
        <f>+PRESUPUSTO_20254[[#This Row],[Columna1]]</f>
        <v>0</v>
      </c>
      <c r="O17" s="63"/>
    </row>
    <row r="18" spans="2:15" ht="21" thickBot="1">
      <c r="C18" s="208" t="s">
        <v>326</v>
      </c>
      <c r="D18" s="209">
        <f>SUBTOTAL(109,PRESUPUSTO_20254[PRESUPUESTO 2025])</f>
        <v>4800000</v>
      </c>
      <c r="E18" s="147">
        <f>SUBTOTAL(109,PRESUPUSTO_20254[Columna1])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c r="J21" s="51">
        <v>719</v>
      </c>
    </row>
    <row r="22" spans="2:15">
      <c r="B22" s="251" t="s">
        <v>340</v>
      </c>
      <c r="C22" s="190" t="s">
        <v>341</v>
      </c>
      <c r="D22" s="211">
        <v>180</v>
      </c>
      <c r="E22" s="211">
        <v>180</v>
      </c>
      <c r="F22" s="211">
        <v>180</v>
      </c>
      <c r="G22" s="211">
        <v>180</v>
      </c>
      <c r="H22" s="126">
        <f>+ProyeccionKg202510[[#This Row],[Proyección kilogramos 2025 Biosanitario  ]]+ProyeccionKg202510[[#This Row],[Proyección kilogramos 2025 Cortopunzantes]]+ProyeccionKg202510[[#This Row],[Proyección kilogramos 2025 Animales]]+ProyeccionKg202510[[#This Row],[Proyección kilogramos 2025 Quimicos]]</f>
        <v>720</v>
      </c>
      <c r="J22" s="51">
        <v>20</v>
      </c>
    </row>
    <row r="23" spans="2:15">
      <c r="B23" s="252"/>
      <c r="C23" s="53" t="s">
        <v>2</v>
      </c>
      <c r="D23" s="211"/>
      <c r="E23" s="211"/>
      <c r="F23" s="211"/>
      <c r="G23" s="211"/>
      <c r="H23" s="183"/>
      <c r="J23" s="51">
        <f>+J21/J22</f>
        <v>35.950000000000003</v>
      </c>
    </row>
    <row r="24" spans="2:15">
      <c r="B24" s="252"/>
      <c r="C24" s="53"/>
      <c r="D24" s="211"/>
      <c r="E24" s="211"/>
      <c r="F24" s="211"/>
      <c r="G24" s="211"/>
      <c r="H24" s="183"/>
    </row>
    <row r="25" spans="2:15">
      <c r="B25" s="252"/>
      <c r="C25" s="53"/>
      <c r="D25" s="211"/>
      <c r="E25" s="211"/>
      <c r="F25" s="211"/>
      <c r="G25" s="211"/>
      <c r="H25" s="183"/>
    </row>
    <row r="26" spans="2:15" ht="15.75" thickBot="1">
      <c r="B26" s="253"/>
      <c r="C26" s="133"/>
      <c r="D26" s="211"/>
      <c r="E26" s="211"/>
      <c r="F26" s="211"/>
      <c r="G26" s="211"/>
      <c r="H26" s="184"/>
    </row>
    <row r="27" spans="2:15" ht="18">
      <c r="C27" s="134" t="s">
        <v>326</v>
      </c>
      <c r="D27" s="135">
        <f>SUBTOTAL(109,ProyeccionKg202510[[Proyección kilogramos 2025 Biosanitario  ]])</f>
        <v>180</v>
      </c>
      <c r="E27" s="135">
        <f>SUBTOTAL(109,ProyeccionKg202510[Proyección kilogramos 2025 Cortopunzantes])</f>
        <v>180</v>
      </c>
      <c r="F27" s="135">
        <f>SUBTOTAL(109,ProyeccionKg202510[Proyección kilogramos 2025 Animales])</f>
        <v>180</v>
      </c>
      <c r="G27" s="136">
        <f>SUBTOTAL(109,ProyeccionKg202510[Proyección kilogramos 2025 Quimicos])</f>
        <v>180</v>
      </c>
      <c r="H27" s="135">
        <f>SUBTOTAL(109,ProyeccionKg202510[[TOTAL DE KILOGRAMOS ]])</f>
        <v>720</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180</v>
      </c>
      <c r="F33" s="188">
        <f>+E22</f>
        <v>180</v>
      </c>
      <c r="G33" s="188">
        <f>+F22</f>
        <v>180</v>
      </c>
      <c r="H33" s="188">
        <f>+G22</f>
        <v>180</v>
      </c>
      <c r="I33" s="189">
        <f>+H22</f>
        <v>720</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39" si="0">+E23</f>
        <v>0</v>
      </c>
      <c r="G39" s="125">
        <f t="shared" si="0"/>
        <v>0</v>
      </c>
      <c r="H39" s="125">
        <f t="shared" si="0"/>
        <v>0</v>
      </c>
      <c r="I39" s="126">
        <f t="shared" si="0"/>
        <v>0</v>
      </c>
    </row>
    <row r="40" spans="2:9">
      <c r="B40" s="218"/>
      <c r="C40" s="74"/>
      <c r="D40" s="119" t="s">
        <v>229</v>
      </c>
      <c r="E40" s="127"/>
      <c r="F40" s="98">
        <f t="shared" ref="E40:G42" si="1">+E24</f>
        <v>0</v>
      </c>
      <c r="G40" s="98">
        <f t="shared" si="1"/>
        <v>0</v>
      </c>
      <c r="H40" s="98">
        <f t="shared" ref="H40:I40" si="2">+G24</f>
        <v>0</v>
      </c>
      <c r="I40" s="128">
        <f t="shared" si="2"/>
        <v>0</v>
      </c>
    </row>
    <row r="41" spans="2:9">
      <c r="B41" s="218"/>
      <c r="C41" s="74"/>
      <c r="D41" s="119" t="s">
        <v>229</v>
      </c>
      <c r="E41" s="127"/>
      <c r="F41" s="98">
        <f t="shared" si="1"/>
        <v>0</v>
      </c>
      <c r="G41" s="98">
        <f t="shared" si="1"/>
        <v>0</v>
      </c>
      <c r="H41" s="98">
        <f t="shared" ref="H41:I41" si="3">+G25</f>
        <v>0</v>
      </c>
      <c r="I41" s="128">
        <f t="shared" si="3"/>
        <v>0</v>
      </c>
    </row>
    <row r="42" spans="2:9" ht="15.75" thickBot="1">
      <c r="B42" s="217"/>
      <c r="C42" s="75"/>
      <c r="D42" s="120" t="s">
        <v>229</v>
      </c>
      <c r="E42" s="129"/>
      <c r="F42" s="130">
        <f t="shared" si="1"/>
        <v>0</v>
      </c>
      <c r="G42" s="130">
        <f t="shared" si="1"/>
        <v>0</v>
      </c>
      <c r="H42" s="130">
        <f t="shared" ref="H42:I42" si="4">+G26</f>
        <v>0</v>
      </c>
      <c r="I42" s="131">
        <f t="shared" si="4"/>
        <v>0</v>
      </c>
    </row>
  </sheetData>
  <mergeCells count="19">
    <mergeCell ref="C31:C32"/>
    <mergeCell ref="D31:D32"/>
    <mergeCell ref="E31:I31"/>
    <mergeCell ref="B1:H1"/>
    <mergeCell ref="B4:B8"/>
    <mergeCell ref="B11:D11"/>
    <mergeCell ref="F11:K11"/>
    <mergeCell ref="B39:B42"/>
    <mergeCell ref="B13:B17"/>
    <mergeCell ref="B22:B26"/>
    <mergeCell ref="F13:F17"/>
    <mergeCell ref="B36:I36"/>
    <mergeCell ref="B37:B38"/>
    <mergeCell ref="C37:C38"/>
    <mergeCell ref="D37:D38"/>
    <mergeCell ref="E37:I37"/>
    <mergeCell ref="B20:H20"/>
    <mergeCell ref="B30:I30"/>
    <mergeCell ref="B31:B32"/>
  </mergeCells>
  <pageMargins left="0.7" right="0.7" top="0.75" bottom="0.75" header="0.3" footer="0.3"/>
  <pageSetup orientation="portrait" r:id="rId1"/>
  <ignoredErrors>
    <ignoredError sqref="E15:E17 G6" calculatedColumn="1"/>
  </ignoredErrors>
  <tableParts count="4">
    <tablePart r:id="rId2"/>
    <tablePart r:id="rId3"/>
    <tablePart r:id="rId4"/>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C58E-F14E-4888-8E38-18ED9BB94F12}">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AVERAGE(COTIZACIONES2025256[[#This Row],[EDEPSA 
Valor Kg Biosanitario  ]],COTIZACIONES2025256[[#This Row],[
Valor Kg Biosanitario ]],COTIZACIONES2025256[[#This Row],[HISTORICO
2024 + IPC 2025 (3%)Biosanitario]])</f>
        <v>6678</v>
      </c>
      <c r="Q4" s="191">
        <f>AVERAGE(COTIZACIONES2025256[[#This Row],[EDEPSA 
Valor Kg Cortopunzantes]],COTIZACIONES2025256[[#This Row],[ 
Valor Kg Cortopunzantes]],COTIZACIONES2025256[[#This Row],[HISTORICO
2024  + IPC 2025 (3%) 
Cortopunzantes]])</f>
        <v>6678</v>
      </c>
      <c r="R4" s="191">
        <f>AVERAGE(COTIZACIONES2025256[[#This Row],[EDEPSA 
Valor Kg Animales]],COTIZACIONES2025256[[#This Row],[
Valor Kg Animales]],COTIZACIONES2025256[[#This Row],[HISTORICO
2024  + IPC 2025 (3%)Animales]])</f>
        <v>6678</v>
      </c>
      <c r="S4" s="193">
        <f>AVERAGE(COTIZACIONES2025256[[#This Row],[EDEPSA 
Valor Kg Quimicos]],COTIZACIONES2025256[[#This Row],[
Valor Kg Quimicos]],COTIZACIONES2025256[[#This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AVERAGE(COTIZACIONES2025256[[#This Row],[EDEPSA 
Valor Kg Biosanitario  ]],COTIZACIONES2025256[[#This Row],[
Valor Kg Biosanitario ]],COTIZACIONES2025256[[#This Row],[HISTORICO
2024 + IPC 2025 (3%)Biosanitario]])</f>
        <v>6678</v>
      </c>
      <c r="Q5" s="54">
        <f>AVERAGE(COTIZACIONES2025256[[#This Row],[EDEPSA 
Valor Kg Cortopunzantes]],COTIZACIONES2025256[[#This Row],[ 
Valor Kg Cortopunzantes]],COTIZACIONES2025256[[#This Row],[HISTORICO
2024  + IPC 2025 (3%) 
Cortopunzantes]])</f>
        <v>6678</v>
      </c>
      <c r="R5" s="54">
        <f>AVERAGE(COTIZACIONES2025256[[#This Row],[EDEPSA 
Valor Kg Animales]],COTIZACIONES2025256[[#This Row],[
Valor Kg Animales]],COTIZACIONES2025256[[#This Row],[HISTORICO
2024  + IPC 2025 (3%)Animales]])</f>
        <v>6678</v>
      </c>
      <c r="S5" s="194">
        <f>AVERAGE(COTIZACIONES2025256[[#This Row],[EDEPSA 
Valor Kg Quimicos]],COTIZACIONES2025256[[#This Row],[
Valor Kg Quimicos]],COTIZACIONES2025256[[#This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AVERAGE(COTIZACIONES2025256[[#This Row],[EDEPSA 
Valor Kg Biosanitario  ]],COTIZACIONES2025256[[#This Row],[
Valor Kg Biosanitario ]],COTIZACIONES2025256[[#This Row],[HISTORICO
2024 + IPC 2025 (3%)Biosanitario]])</f>
        <v>6678</v>
      </c>
      <c r="Q6" s="54">
        <f>AVERAGE(COTIZACIONES2025256[[#This Row],[EDEPSA 
Valor Kg Cortopunzantes]],COTIZACIONES2025256[[#This Row],[ 
Valor Kg Cortopunzantes]],COTIZACIONES2025256[[#This Row],[HISTORICO
2024  + IPC 2025 (3%) 
Cortopunzantes]])</f>
        <v>6678</v>
      </c>
      <c r="R6" s="54">
        <f>AVERAGE(COTIZACIONES2025256[[#This Row],[EDEPSA 
Valor Kg Animales]],COTIZACIONES2025256[[#This Row],[
Valor Kg Animales]],COTIZACIONES2025256[[#This Row],[HISTORICO
2024  + IPC 2025 (3%)Animales]])</f>
        <v>6678</v>
      </c>
      <c r="S6" s="194">
        <f>AVERAGE(COTIZACIONES2025256[[#This Row],[EDEPSA 
Valor Kg Quimicos]],COTIZACIONES2025256[[#This Row],[
Valor Kg Quimicos]],COTIZACIONES2025256[[#This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AVERAGE(COTIZACIONES2025256[[#This Row],[EDEPSA 
Valor Kg Biosanitario  ]],COTIZACIONES2025256[[#This Row],[
Valor Kg Biosanitario ]],COTIZACIONES2025256[[#This Row],[HISTORICO
2024 + IPC 2025 (3%)Biosanitario]])</f>
        <v>6678</v>
      </c>
      <c r="Q7" s="54">
        <f>AVERAGE(COTIZACIONES2025256[[#This Row],[EDEPSA 
Valor Kg Cortopunzantes]],COTIZACIONES2025256[[#This Row],[ 
Valor Kg Cortopunzantes]],COTIZACIONES2025256[[#This Row],[HISTORICO
2024  + IPC 2025 (3%) 
Cortopunzantes]])</f>
        <v>6678</v>
      </c>
      <c r="R7" s="54">
        <f>AVERAGE(COTIZACIONES2025256[[#This Row],[EDEPSA 
Valor Kg Animales]],COTIZACIONES2025256[[#This Row],[
Valor Kg Animales]],COTIZACIONES2025256[[#This Row],[HISTORICO
2024  + IPC 2025 (3%)Animales]])</f>
        <v>6678</v>
      </c>
      <c r="S7" s="194">
        <f>AVERAGE(COTIZACIONES2025256[[#This Row],[EDEPSA 
Valor Kg Quimicos]],COTIZACIONES2025256[[#This Row],[
Valor Kg Quimicos]],COTIZACIONES2025256[[#This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AVERAGE(COTIZACIONES2025256[[#This Row],[EDEPSA 
Valor Kg Biosanitario  ]],COTIZACIONES2025256[[#This Row],[
Valor Kg Biosanitario ]],COTIZACIONES2025256[[#This Row],[HISTORICO
2024 + IPC 2025 (3%)Biosanitario]])</f>
        <v>6678</v>
      </c>
      <c r="Q8" s="195">
        <f>AVERAGE(COTIZACIONES2025256[[#This Row],[EDEPSA 
Valor Kg Cortopunzantes]],COTIZACIONES2025256[[#This Row],[ 
Valor Kg Cortopunzantes]],COTIZACIONES2025256[[#This Row],[HISTORICO
2024  + IPC 2025 (3%) 
Cortopunzantes]])</f>
        <v>6678</v>
      </c>
      <c r="R8" s="195">
        <f>AVERAGE(COTIZACIONES2025256[[#This Row],[EDEPSA 
Valor Kg Animales]],COTIZACIONES2025256[[#This Row],[
Valor Kg Animales]],COTIZACIONES2025256[[#This Row],[HISTORICO
2024  + IPC 2025 (3%)Animales]])</f>
        <v>6678</v>
      </c>
      <c r="S8" s="198">
        <f>AVERAGE(COTIZACIONES2025256[[#This Row],[EDEPSA 
Valor Kg Quimicos]],COTIZACIONES2025256[[#This Row],[
Valor Kg Quimicos]],COTIZACIONES2025256[[#This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+PRESUPUSTO_2025457[[#This Row],[PRESUPUESTO 2025]]/4</f>
        <v>1200000</v>
      </c>
      <c r="F13" s="251" t="s">
        <v>340</v>
      </c>
      <c r="G13" s="190" t="s">
        <v>341</v>
      </c>
      <c r="H13" s="206">
        <f>+PRESUPUSTO_2025457[[#This Row],[Columna1]]</f>
        <v>1200000</v>
      </c>
      <c r="I13" s="206">
        <f>+PRESUPUSTO_2025457[[#This Row],[Columna1]]</f>
        <v>1200000</v>
      </c>
      <c r="J13" s="206">
        <f>+PRESUPUSTO_2025457[[#This Row],[Columna1]]</f>
        <v>1200000</v>
      </c>
      <c r="K13" s="207">
        <f>+PRESUPUSTO_2025457[[#This Row],[Columna1]]</f>
        <v>1200000</v>
      </c>
      <c r="O13" s="63"/>
    </row>
    <row r="14" spans="2:19">
      <c r="B14" s="252"/>
      <c r="C14" s="53" t="s">
        <v>2</v>
      </c>
      <c r="D14" s="200"/>
      <c r="E14" s="147">
        <f>+PRESUPUSTO_2025457[[#This Row],[PRESUPUESTO 2025]]/4</f>
        <v>0</v>
      </c>
      <c r="F14" s="252"/>
      <c r="G14" s="53" t="s">
        <v>2</v>
      </c>
      <c r="H14" s="97">
        <f>+PRESUPUSTO_2025457[[#This Row],[Columna1]]</f>
        <v>0</v>
      </c>
      <c r="I14" s="97">
        <f>+PRESUPUSTO_2025457[[#This Row],[Columna1]]</f>
        <v>0</v>
      </c>
      <c r="J14" s="97">
        <f>+PRESUPUSTO_2025457[[#This Row],[Columna1]]</f>
        <v>0</v>
      </c>
      <c r="K14" s="139">
        <f>+PRESUPUSTO_2025457[[#This Row],[Columna1]]</f>
        <v>0</v>
      </c>
      <c r="O14" s="63"/>
    </row>
    <row r="15" spans="2:19">
      <c r="B15" s="252"/>
      <c r="C15" s="53" t="s">
        <v>239</v>
      </c>
      <c r="D15" s="200"/>
      <c r="E15" s="147">
        <f>+PRESUPUSTO_2025457[[#This Row],[PRESUPUESTO 2025]]/3</f>
        <v>0</v>
      </c>
      <c r="F15" s="252"/>
      <c r="G15" s="53" t="s">
        <v>239</v>
      </c>
      <c r="H15" s="97">
        <f>+PRESUPUSTO_2025457[[#This Row],[Columna1]]</f>
        <v>0</v>
      </c>
      <c r="I15" s="97">
        <f>+PRESUPUSTO_2025457[[#This Row],[Columna1]]</f>
        <v>0</v>
      </c>
      <c r="J15" s="97">
        <v>0</v>
      </c>
      <c r="K15" s="139">
        <f>+PRESUPUSTO_2025457[[#This Row],[Columna1]]</f>
        <v>0</v>
      </c>
      <c r="O15" s="63"/>
    </row>
    <row r="16" spans="2:19">
      <c r="B16" s="252"/>
      <c r="C16" s="53" t="s">
        <v>240</v>
      </c>
      <c r="D16" s="200"/>
      <c r="E16" s="147">
        <f>+PRESUPUSTO_2025457[[#This Row],[PRESUPUESTO 2025]]/3</f>
        <v>0</v>
      </c>
      <c r="F16" s="252"/>
      <c r="G16" s="53" t="s">
        <v>240</v>
      </c>
      <c r="H16" s="97">
        <f>+PRESUPUSTO_2025457[[#This Row],[Columna1]]</f>
        <v>0</v>
      </c>
      <c r="I16" s="97">
        <f>+PRESUPUSTO_2025457[[#This Row],[Columna1]]</f>
        <v>0</v>
      </c>
      <c r="J16" s="97">
        <v>0</v>
      </c>
      <c r="K16" s="139">
        <f>+PRESUPUSTO_2025457[[#This Row],[Columna1]]</f>
        <v>0</v>
      </c>
      <c r="O16" s="63"/>
    </row>
    <row r="17" spans="2:15" ht="15.75" thickBot="1">
      <c r="B17" s="253"/>
      <c r="C17" s="133" t="s">
        <v>241</v>
      </c>
      <c r="D17" s="201"/>
      <c r="E17" s="147">
        <f>+PRESUPUSTO_2025457[[#This Row],[PRESUPUESTO 2025]]/3</f>
        <v>0</v>
      </c>
      <c r="F17" s="253"/>
      <c r="G17" s="133" t="s">
        <v>241</v>
      </c>
      <c r="H17" s="140">
        <f>+PRESUPUSTO_2025457[[#This Row],[Columna1]]</f>
        <v>0</v>
      </c>
      <c r="I17" s="140">
        <f>+PRESUPUSTO_2025457[[#This Row],[Columna1]]</f>
        <v>0</v>
      </c>
      <c r="J17" s="140">
        <v>0</v>
      </c>
      <c r="K17" s="141">
        <f>+PRESUPUSTO_2025457[[#This Row],[Columna1]]</f>
        <v>0</v>
      </c>
      <c r="O17" s="63"/>
    </row>
    <row r="18" spans="2:15" ht="21" thickBot="1">
      <c r="C18" s="208" t="s">
        <v>326</v>
      </c>
      <c r="D18" s="209">
        <f>SUBTOTAL(109,PRESUPUSTO_2025457[PRESUPUESTO 2025])</f>
        <v>4800000</v>
      </c>
      <c r="E18" s="147">
        <f>SUBTOTAL(109,PRESUPUSTO_2025457[Columna1])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+ProyeccionKg20251058[[#This Row],[Proyección kilogramos 2025 Biosanitario  ]]+ProyeccionKg20251058[[#This Row],[Proyección kilogramos 2025 Cortopunzantes]]+ProyeccionKg20251058[[#This Row],[Proyección kilogramos 2025 Animales]]+ProyeccionKg20251058[[#This Row],[Proyección kilogramos 2025 Quimicos]]</f>
        <v>718.7780772686433</v>
      </c>
    </row>
    <row r="23" spans="2:15">
      <c r="B23" s="252"/>
      <c r="C23" s="53" t="s">
        <v>2</v>
      </c>
      <c r="D23" s="98">
        <f t="shared" si="0"/>
        <v>0</v>
      </c>
      <c r="E23" s="98">
        <f t="shared" si="0"/>
        <v>0</v>
      </c>
      <c r="F23" s="98">
        <f t="shared" si="0"/>
        <v>0</v>
      </c>
      <c r="G23" s="98">
        <f t="shared" si="0"/>
        <v>0</v>
      </c>
      <c r="H23" s="183">
        <f>+ProyeccionKg20251058[[#This Row],[Proyección kilogramos 2025 Biosanitario  ]]+ProyeccionKg20251058[[#This Row],[Proyección kilogramos 2025 Cortopunzantes]]+ProyeccionKg20251058[[#This Row],[Proyección kilogramos 2025 Animales]]+ProyeccionKg20251058[[#This Row],[Proyección kilogramos 2025 Quimicos]]</f>
        <v>0</v>
      </c>
    </row>
    <row r="24" spans="2:15">
      <c r="B24" s="252"/>
      <c r="C24" s="53" t="s">
        <v>239</v>
      </c>
      <c r="D24" s="98">
        <f t="shared" si="0"/>
        <v>0</v>
      </c>
      <c r="E24" s="98">
        <f t="shared" si="0"/>
        <v>0</v>
      </c>
      <c r="F24" s="98">
        <f t="shared" si="0"/>
        <v>0</v>
      </c>
      <c r="G24" s="98">
        <f t="shared" si="0"/>
        <v>0</v>
      </c>
      <c r="H24" s="183">
        <f>+ProyeccionKg20251058[[#This Row],[Proyección kilogramos 2025 Biosanitario  ]]+ProyeccionKg20251058[[#This Row],[Proyección kilogramos 2025 Cortopunzantes]]+ProyeccionKg20251058[[#This Row],[Proyección kilogramos 2025 Animales]]+ProyeccionKg20251058[[#This Row],[Proyección kilogramos 2025 Quimicos]]</f>
        <v>0</v>
      </c>
    </row>
    <row r="25" spans="2:15">
      <c r="B25" s="252"/>
      <c r="C25" s="53" t="s">
        <v>240</v>
      </c>
      <c r="D25" s="98">
        <f t="shared" si="0"/>
        <v>0</v>
      </c>
      <c r="E25" s="98">
        <f t="shared" si="0"/>
        <v>0</v>
      </c>
      <c r="F25" s="98">
        <f t="shared" si="0"/>
        <v>0</v>
      </c>
      <c r="G25" s="98">
        <f t="shared" si="0"/>
        <v>0</v>
      </c>
      <c r="H25" s="183">
        <f>+ProyeccionKg20251058[[#This Row],[Proyección kilogramos 2025 Biosanitario  ]]+ProyeccionKg20251058[[#This Row],[Proyección kilogramos 2025 Cortopunzantes]]+ProyeccionKg20251058[[#This Row],[Proyección kilogramos 2025 Animales]]+ProyeccionKg20251058[[#This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+ProyeccionKg20251058[[#This Row],[Proyección kilogramos 2025 Biosanitario  ]]+ProyeccionKg20251058[[#This Row],[Proyección kilogramos 2025 Cortopunzantes]]+ProyeccionKg20251058[[#This Row],[Proyección kilogramos 2025 Animales]]+ProyeccionKg20251058[[#This Row],[Proyección kilogramos 2025 Quimicos]]</f>
        <v>0</v>
      </c>
    </row>
    <row r="27" spans="2:15" ht="18">
      <c r="C27" s="134" t="s">
        <v>326</v>
      </c>
      <c r="D27" s="135">
        <f>SUBTOTAL(109,ProyeccionKg20251058[[Proyección kilogramos 2025 Biosanitario  ]])</f>
        <v>179.69451931716083</v>
      </c>
      <c r="E27" s="135">
        <f>SUBTOTAL(109,ProyeccionKg20251058[Proyección kilogramos 2025 Cortopunzantes])</f>
        <v>179.69451931716083</v>
      </c>
      <c r="F27" s="135">
        <f>SUBTOTAL(109,ProyeccionKg20251058[Proyección kilogramos 2025 Animales])</f>
        <v>179.69451931716083</v>
      </c>
      <c r="G27" s="136">
        <f>SUBTOTAL(109,ProyeccionKg20251058[Proyección kilogramos 2025 Quimicos])</f>
        <v>179.69451931716083</v>
      </c>
      <c r="H27" s="135">
        <f>SUBTOTAL(109,ProyeccionKg20251058[[TOTAL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D4EAB-2AEB-4083-B0EF-8CDEC2D26AE2}">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AVERAGE(COTIZACIONES2025260[[#This Row],[EDEPSA 
Valor Kg Biosanitario  ]],COTIZACIONES2025260[[#This Row],[
Valor Kg Biosanitario ]],COTIZACIONES2025260[[#This Row],[HISTORICO
2024 + IPC 2025 (3%)Biosanitario]])</f>
        <v>6678</v>
      </c>
      <c r="Q4" s="191">
        <f>AVERAGE(COTIZACIONES2025260[[#This Row],[EDEPSA 
Valor Kg Cortopunzantes]],COTIZACIONES2025260[[#This Row],[ 
Valor Kg Cortopunzantes]],COTIZACIONES2025260[[#This Row],[HISTORICO
2024  + IPC 2025 (3%) 
Cortopunzantes]])</f>
        <v>6678</v>
      </c>
      <c r="R4" s="191">
        <f>AVERAGE(COTIZACIONES2025260[[#This Row],[EDEPSA 
Valor Kg Animales]],COTIZACIONES2025260[[#This Row],[
Valor Kg Animales]],COTIZACIONES2025260[[#This Row],[HISTORICO
2024  + IPC 2025 (3%)Animales]])</f>
        <v>6678</v>
      </c>
      <c r="S4" s="193">
        <f>AVERAGE(COTIZACIONES2025260[[#This Row],[EDEPSA 
Valor Kg Quimicos]],COTIZACIONES2025260[[#This Row],[
Valor Kg Quimicos]],COTIZACIONES2025260[[#This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AVERAGE(COTIZACIONES2025260[[#This Row],[EDEPSA 
Valor Kg Biosanitario  ]],COTIZACIONES2025260[[#This Row],[
Valor Kg Biosanitario ]],COTIZACIONES2025260[[#This Row],[HISTORICO
2024 + IPC 2025 (3%)Biosanitario]])</f>
        <v>6678</v>
      </c>
      <c r="Q5" s="54">
        <f>AVERAGE(COTIZACIONES2025260[[#This Row],[EDEPSA 
Valor Kg Cortopunzantes]],COTIZACIONES2025260[[#This Row],[ 
Valor Kg Cortopunzantes]],COTIZACIONES2025260[[#This Row],[HISTORICO
2024  + IPC 2025 (3%) 
Cortopunzantes]])</f>
        <v>6678</v>
      </c>
      <c r="R5" s="54">
        <f>AVERAGE(COTIZACIONES2025260[[#This Row],[EDEPSA 
Valor Kg Animales]],COTIZACIONES2025260[[#This Row],[
Valor Kg Animales]],COTIZACIONES2025260[[#This Row],[HISTORICO
2024  + IPC 2025 (3%)Animales]])</f>
        <v>6678</v>
      </c>
      <c r="S5" s="194">
        <f>AVERAGE(COTIZACIONES2025260[[#This Row],[EDEPSA 
Valor Kg Quimicos]],COTIZACIONES2025260[[#This Row],[
Valor Kg Quimicos]],COTIZACIONES2025260[[#This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AVERAGE(COTIZACIONES2025260[[#This Row],[EDEPSA 
Valor Kg Biosanitario  ]],COTIZACIONES2025260[[#This Row],[
Valor Kg Biosanitario ]],COTIZACIONES2025260[[#This Row],[HISTORICO
2024 + IPC 2025 (3%)Biosanitario]])</f>
        <v>6678</v>
      </c>
      <c r="Q6" s="54">
        <f>AVERAGE(COTIZACIONES2025260[[#This Row],[EDEPSA 
Valor Kg Cortopunzantes]],COTIZACIONES2025260[[#This Row],[ 
Valor Kg Cortopunzantes]],COTIZACIONES2025260[[#This Row],[HISTORICO
2024  + IPC 2025 (3%) 
Cortopunzantes]])</f>
        <v>6678</v>
      </c>
      <c r="R6" s="54">
        <f>AVERAGE(COTIZACIONES2025260[[#This Row],[EDEPSA 
Valor Kg Animales]],COTIZACIONES2025260[[#This Row],[
Valor Kg Animales]],COTIZACIONES2025260[[#This Row],[HISTORICO
2024  + IPC 2025 (3%)Animales]])</f>
        <v>6678</v>
      </c>
      <c r="S6" s="194">
        <f>AVERAGE(COTIZACIONES2025260[[#This Row],[EDEPSA 
Valor Kg Quimicos]],COTIZACIONES2025260[[#This Row],[
Valor Kg Quimicos]],COTIZACIONES2025260[[#This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AVERAGE(COTIZACIONES2025260[[#This Row],[EDEPSA 
Valor Kg Biosanitario  ]],COTIZACIONES2025260[[#This Row],[
Valor Kg Biosanitario ]],COTIZACIONES2025260[[#This Row],[HISTORICO
2024 + IPC 2025 (3%)Biosanitario]])</f>
        <v>6678</v>
      </c>
      <c r="Q7" s="54">
        <f>AVERAGE(COTIZACIONES2025260[[#This Row],[EDEPSA 
Valor Kg Cortopunzantes]],COTIZACIONES2025260[[#This Row],[ 
Valor Kg Cortopunzantes]],COTIZACIONES2025260[[#This Row],[HISTORICO
2024  + IPC 2025 (3%) 
Cortopunzantes]])</f>
        <v>6678</v>
      </c>
      <c r="R7" s="54">
        <f>AVERAGE(COTIZACIONES2025260[[#This Row],[EDEPSA 
Valor Kg Animales]],COTIZACIONES2025260[[#This Row],[
Valor Kg Animales]],COTIZACIONES2025260[[#This Row],[HISTORICO
2024  + IPC 2025 (3%)Animales]])</f>
        <v>6678</v>
      </c>
      <c r="S7" s="194">
        <f>AVERAGE(COTIZACIONES2025260[[#This Row],[EDEPSA 
Valor Kg Quimicos]],COTIZACIONES2025260[[#This Row],[
Valor Kg Quimicos]],COTIZACIONES2025260[[#This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AVERAGE(COTIZACIONES2025260[[#This Row],[EDEPSA 
Valor Kg Biosanitario  ]],COTIZACIONES2025260[[#This Row],[
Valor Kg Biosanitario ]],COTIZACIONES2025260[[#This Row],[HISTORICO
2024 + IPC 2025 (3%)Biosanitario]])</f>
        <v>6678</v>
      </c>
      <c r="Q8" s="195">
        <f>AVERAGE(COTIZACIONES2025260[[#This Row],[EDEPSA 
Valor Kg Cortopunzantes]],COTIZACIONES2025260[[#This Row],[ 
Valor Kg Cortopunzantes]],COTIZACIONES2025260[[#This Row],[HISTORICO
2024  + IPC 2025 (3%) 
Cortopunzantes]])</f>
        <v>6678</v>
      </c>
      <c r="R8" s="195">
        <f>AVERAGE(COTIZACIONES2025260[[#This Row],[EDEPSA 
Valor Kg Animales]],COTIZACIONES2025260[[#This Row],[
Valor Kg Animales]],COTIZACIONES2025260[[#This Row],[HISTORICO
2024  + IPC 2025 (3%)Animales]])</f>
        <v>6678</v>
      </c>
      <c r="S8" s="198">
        <f>AVERAGE(COTIZACIONES2025260[[#This Row],[EDEPSA 
Valor Kg Quimicos]],COTIZACIONES2025260[[#This Row],[
Valor Kg Quimicos]],COTIZACIONES2025260[[#This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+PRESUPUSTO_2025461[[#This Row],[PRESUPUESTO 2025]]/4</f>
        <v>1200000</v>
      </c>
      <c r="F13" s="251" t="s">
        <v>340</v>
      </c>
      <c r="G13" s="190" t="s">
        <v>341</v>
      </c>
      <c r="H13" s="206">
        <f>+PRESUPUSTO_2025461[[#This Row],[Columna1]]</f>
        <v>1200000</v>
      </c>
      <c r="I13" s="206">
        <f>+PRESUPUSTO_2025461[[#This Row],[Columna1]]</f>
        <v>1200000</v>
      </c>
      <c r="J13" s="206">
        <f>+PRESUPUSTO_2025461[[#This Row],[Columna1]]</f>
        <v>1200000</v>
      </c>
      <c r="K13" s="207">
        <f>+PRESUPUSTO_2025461[[#This Row],[Columna1]]</f>
        <v>1200000</v>
      </c>
      <c r="O13" s="63"/>
    </row>
    <row r="14" spans="2:19">
      <c r="B14" s="252"/>
      <c r="C14" s="53" t="s">
        <v>2</v>
      </c>
      <c r="D14" s="200"/>
      <c r="E14" s="147">
        <f>+PRESUPUSTO_2025461[[#This Row],[PRESUPUESTO 2025]]/4</f>
        <v>0</v>
      </c>
      <c r="F14" s="252"/>
      <c r="G14" s="53" t="s">
        <v>2</v>
      </c>
      <c r="H14" s="97">
        <f>+PRESUPUSTO_2025461[[#This Row],[Columna1]]</f>
        <v>0</v>
      </c>
      <c r="I14" s="97">
        <f>+PRESUPUSTO_2025461[[#This Row],[Columna1]]</f>
        <v>0</v>
      </c>
      <c r="J14" s="97">
        <f>+PRESUPUSTO_2025461[[#This Row],[Columna1]]</f>
        <v>0</v>
      </c>
      <c r="K14" s="139">
        <f>+PRESUPUSTO_2025461[[#This Row],[Columna1]]</f>
        <v>0</v>
      </c>
      <c r="O14" s="63"/>
    </row>
    <row r="15" spans="2:19">
      <c r="B15" s="252"/>
      <c r="C15" s="53" t="s">
        <v>239</v>
      </c>
      <c r="D15" s="200"/>
      <c r="E15" s="147">
        <f>+PRESUPUSTO_2025461[[#This Row],[PRESUPUESTO 2025]]/3</f>
        <v>0</v>
      </c>
      <c r="F15" s="252"/>
      <c r="G15" s="53" t="s">
        <v>239</v>
      </c>
      <c r="H15" s="97">
        <f>+PRESUPUSTO_2025461[[#This Row],[Columna1]]</f>
        <v>0</v>
      </c>
      <c r="I15" s="97">
        <f>+PRESUPUSTO_2025461[[#This Row],[Columna1]]</f>
        <v>0</v>
      </c>
      <c r="J15" s="97">
        <v>0</v>
      </c>
      <c r="K15" s="139">
        <f>+PRESUPUSTO_2025461[[#This Row],[Columna1]]</f>
        <v>0</v>
      </c>
      <c r="O15" s="63"/>
    </row>
    <row r="16" spans="2:19">
      <c r="B16" s="252"/>
      <c r="C16" s="53" t="s">
        <v>240</v>
      </c>
      <c r="D16" s="200"/>
      <c r="E16" s="147">
        <f>+PRESUPUSTO_2025461[[#This Row],[PRESUPUESTO 2025]]/3</f>
        <v>0</v>
      </c>
      <c r="F16" s="252"/>
      <c r="G16" s="53" t="s">
        <v>240</v>
      </c>
      <c r="H16" s="97">
        <f>+PRESUPUSTO_2025461[[#This Row],[Columna1]]</f>
        <v>0</v>
      </c>
      <c r="I16" s="97">
        <f>+PRESUPUSTO_2025461[[#This Row],[Columna1]]</f>
        <v>0</v>
      </c>
      <c r="J16" s="97">
        <v>0</v>
      </c>
      <c r="K16" s="139">
        <f>+PRESUPUSTO_2025461[[#This Row],[Columna1]]</f>
        <v>0</v>
      </c>
      <c r="O16" s="63"/>
    </row>
    <row r="17" spans="2:15" ht="15.75" thickBot="1">
      <c r="B17" s="253"/>
      <c r="C17" s="133" t="s">
        <v>241</v>
      </c>
      <c r="D17" s="201"/>
      <c r="E17" s="147">
        <f>+PRESUPUSTO_2025461[[#This Row],[PRESUPUESTO 2025]]/3</f>
        <v>0</v>
      </c>
      <c r="F17" s="253"/>
      <c r="G17" s="133" t="s">
        <v>241</v>
      </c>
      <c r="H17" s="140">
        <f>+PRESUPUSTO_2025461[[#This Row],[Columna1]]</f>
        <v>0</v>
      </c>
      <c r="I17" s="140">
        <f>+PRESUPUSTO_2025461[[#This Row],[Columna1]]</f>
        <v>0</v>
      </c>
      <c r="J17" s="140">
        <v>0</v>
      </c>
      <c r="K17" s="141">
        <f>+PRESUPUSTO_2025461[[#This Row],[Columna1]]</f>
        <v>0</v>
      </c>
      <c r="O17" s="63"/>
    </row>
    <row r="18" spans="2:15" ht="21" thickBot="1">
      <c r="C18" s="208" t="s">
        <v>326</v>
      </c>
      <c r="D18" s="209">
        <f>SUBTOTAL(109,PRESUPUSTO_2025461[PRESUPUESTO 2025])</f>
        <v>4800000</v>
      </c>
      <c r="E18" s="147">
        <f>SUBTOTAL(109,PRESUPUSTO_2025461[Columna1])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+ProyeccionKg20251062[[#This Row],[Proyección kilogramos 2025 Biosanitario  ]]+ProyeccionKg20251062[[#This Row],[Proyección kilogramos 2025 Cortopunzantes]]+ProyeccionKg20251062[[#This Row],[Proyección kilogramos 2025 Animales]]+ProyeccionKg20251062[[#This Row],[Proyección kilogramos 2025 Quimicos]]</f>
        <v>718.7780772686433</v>
      </c>
    </row>
    <row r="23" spans="2:15">
      <c r="B23" s="252"/>
      <c r="C23" s="53" t="s">
        <v>2</v>
      </c>
      <c r="D23" s="98">
        <f t="shared" si="0"/>
        <v>0</v>
      </c>
      <c r="E23" s="98">
        <f t="shared" si="0"/>
        <v>0</v>
      </c>
      <c r="F23" s="98">
        <f t="shared" si="0"/>
        <v>0</v>
      </c>
      <c r="G23" s="98">
        <f t="shared" si="0"/>
        <v>0</v>
      </c>
      <c r="H23" s="183">
        <f>+ProyeccionKg20251062[[#This Row],[Proyección kilogramos 2025 Biosanitario  ]]+ProyeccionKg20251062[[#This Row],[Proyección kilogramos 2025 Cortopunzantes]]+ProyeccionKg20251062[[#This Row],[Proyección kilogramos 2025 Animales]]+ProyeccionKg20251062[[#This Row],[Proyección kilogramos 2025 Quimicos]]</f>
        <v>0</v>
      </c>
    </row>
    <row r="24" spans="2:15">
      <c r="B24" s="252"/>
      <c r="C24" s="53" t="s">
        <v>239</v>
      </c>
      <c r="D24" s="98">
        <f t="shared" si="0"/>
        <v>0</v>
      </c>
      <c r="E24" s="98">
        <f t="shared" si="0"/>
        <v>0</v>
      </c>
      <c r="F24" s="98">
        <f t="shared" si="0"/>
        <v>0</v>
      </c>
      <c r="G24" s="98">
        <f t="shared" si="0"/>
        <v>0</v>
      </c>
      <c r="H24" s="183">
        <f>+ProyeccionKg20251062[[#This Row],[Proyección kilogramos 2025 Biosanitario  ]]+ProyeccionKg20251062[[#This Row],[Proyección kilogramos 2025 Cortopunzantes]]+ProyeccionKg20251062[[#This Row],[Proyección kilogramos 2025 Animales]]+ProyeccionKg20251062[[#This Row],[Proyección kilogramos 2025 Quimicos]]</f>
        <v>0</v>
      </c>
    </row>
    <row r="25" spans="2:15">
      <c r="B25" s="252"/>
      <c r="C25" s="53" t="s">
        <v>240</v>
      </c>
      <c r="D25" s="98">
        <f t="shared" si="0"/>
        <v>0</v>
      </c>
      <c r="E25" s="98">
        <f t="shared" si="0"/>
        <v>0</v>
      </c>
      <c r="F25" s="98">
        <f t="shared" si="0"/>
        <v>0</v>
      </c>
      <c r="G25" s="98">
        <f t="shared" si="0"/>
        <v>0</v>
      </c>
      <c r="H25" s="183">
        <f>+ProyeccionKg20251062[[#This Row],[Proyección kilogramos 2025 Biosanitario  ]]+ProyeccionKg20251062[[#This Row],[Proyección kilogramos 2025 Cortopunzantes]]+ProyeccionKg20251062[[#This Row],[Proyección kilogramos 2025 Animales]]+ProyeccionKg20251062[[#This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+ProyeccionKg20251062[[#This Row],[Proyección kilogramos 2025 Biosanitario  ]]+ProyeccionKg20251062[[#This Row],[Proyección kilogramos 2025 Cortopunzantes]]+ProyeccionKg20251062[[#This Row],[Proyección kilogramos 2025 Animales]]+ProyeccionKg20251062[[#This Row],[Proyección kilogramos 2025 Quimicos]]</f>
        <v>0</v>
      </c>
    </row>
    <row r="27" spans="2:15" ht="18">
      <c r="C27" s="134" t="s">
        <v>326</v>
      </c>
      <c r="D27" s="135">
        <f>SUBTOTAL(109,ProyeccionKg20251062[[Proyección kilogramos 2025 Biosanitario  ]])</f>
        <v>179.69451931716083</v>
      </c>
      <c r="E27" s="135">
        <f>SUBTOTAL(109,ProyeccionKg20251062[Proyección kilogramos 2025 Cortopunzantes])</f>
        <v>179.69451931716083</v>
      </c>
      <c r="F27" s="135">
        <f>SUBTOTAL(109,ProyeccionKg20251062[Proyección kilogramos 2025 Animales])</f>
        <v>179.69451931716083</v>
      </c>
      <c r="G27" s="136">
        <f>SUBTOTAL(109,ProyeccionKg20251062[Proyección kilogramos 2025 Quimicos])</f>
        <v>179.69451931716083</v>
      </c>
      <c r="H27" s="135">
        <f>SUBTOTAL(109,ProyeccionKg20251062[[TOTAL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644C0-33CE-459A-B8E2-5EBF36AC588A}">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AVERAGE(COTIZACIONES2025264[[#This Row],[EDEPSA 
Valor Kg Biosanitario  ]],COTIZACIONES2025264[[#This Row],[
Valor Kg Biosanitario ]],COTIZACIONES2025264[[#This Row],[HISTORICO
2024 + IPC 2025 (3%)Biosanitario]])</f>
        <v>6678</v>
      </c>
      <c r="Q4" s="191">
        <f>AVERAGE(COTIZACIONES2025264[[#This Row],[EDEPSA 
Valor Kg Cortopunzantes]],COTIZACIONES2025264[[#This Row],[ 
Valor Kg Cortopunzantes]],COTIZACIONES2025264[[#This Row],[HISTORICO
2024  + IPC 2025 (3%) 
Cortopunzantes]])</f>
        <v>6678</v>
      </c>
      <c r="R4" s="191">
        <f>AVERAGE(COTIZACIONES2025264[[#This Row],[EDEPSA 
Valor Kg Animales]],COTIZACIONES2025264[[#This Row],[
Valor Kg Animales]],COTIZACIONES2025264[[#This Row],[HISTORICO
2024  + IPC 2025 (3%)Animales]])</f>
        <v>6678</v>
      </c>
      <c r="S4" s="193">
        <f>AVERAGE(COTIZACIONES2025264[[#This Row],[EDEPSA 
Valor Kg Quimicos]],COTIZACIONES2025264[[#This Row],[
Valor Kg Quimicos]],COTIZACIONES2025264[[#This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AVERAGE(COTIZACIONES2025264[[#This Row],[EDEPSA 
Valor Kg Biosanitario  ]],COTIZACIONES2025264[[#This Row],[
Valor Kg Biosanitario ]],COTIZACIONES2025264[[#This Row],[HISTORICO
2024 + IPC 2025 (3%)Biosanitario]])</f>
        <v>6678</v>
      </c>
      <c r="Q5" s="54">
        <f>AVERAGE(COTIZACIONES2025264[[#This Row],[EDEPSA 
Valor Kg Cortopunzantes]],COTIZACIONES2025264[[#This Row],[ 
Valor Kg Cortopunzantes]],COTIZACIONES2025264[[#This Row],[HISTORICO
2024  + IPC 2025 (3%) 
Cortopunzantes]])</f>
        <v>6678</v>
      </c>
      <c r="R5" s="54">
        <f>AVERAGE(COTIZACIONES2025264[[#This Row],[EDEPSA 
Valor Kg Animales]],COTIZACIONES2025264[[#This Row],[
Valor Kg Animales]],COTIZACIONES2025264[[#This Row],[HISTORICO
2024  + IPC 2025 (3%)Animales]])</f>
        <v>6678</v>
      </c>
      <c r="S5" s="194">
        <f>AVERAGE(COTIZACIONES2025264[[#This Row],[EDEPSA 
Valor Kg Quimicos]],COTIZACIONES2025264[[#This Row],[
Valor Kg Quimicos]],COTIZACIONES2025264[[#This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AVERAGE(COTIZACIONES2025264[[#This Row],[EDEPSA 
Valor Kg Biosanitario  ]],COTIZACIONES2025264[[#This Row],[
Valor Kg Biosanitario ]],COTIZACIONES2025264[[#This Row],[HISTORICO
2024 + IPC 2025 (3%)Biosanitario]])</f>
        <v>6678</v>
      </c>
      <c r="Q6" s="54">
        <f>AVERAGE(COTIZACIONES2025264[[#This Row],[EDEPSA 
Valor Kg Cortopunzantes]],COTIZACIONES2025264[[#This Row],[ 
Valor Kg Cortopunzantes]],COTIZACIONES2025264[[#This Row],[HISTORICO
2024  + IPC 2025 (3%) 
Cortopunzantes]])</f>
        <v>6678</v>
      </c>
      <c r="R6" s="54">
        <f>AVERAGE(COTIZACIONES2025264[[#This Row],[EDEPSA 
Valor Kg Animales]],COTIZACIONES2025264[[#This Row],[
Valor Kg Animales]],COTIZACIONES2025264[[#This Row],[HISTORICO
2024  + IPC 2025 (3%)Animales]])</f>
        <v>6678</v>
      </c>
      <c r="S6" s="194">
        <f>AVERAGE(COTIZACIONES2025264[[#This Row],[EDEPSA 
Valor Kg Quimicos]],COTIZACIONES2025264[[#This Row],[
Valor Kg Quimicos]],COTIZACIONES2025264[[#This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AVERAGE(COTIZACIONES2025264[[#This Row],[EDEPSA 
Valor Kg Biosanitario  ]],COTIZACIONES2025264[[#This Row],[
Valor Kg Biosanitario ]],COTIZACIONES2025264[[#This Row],[HISTORICO
2024 + IPC 2025 (3%)Biosanitario]])</f>
        <v>6678</v>
      </c>
      <c r="Q7" s="54">
        <f>AVERAGE(COTIZACIONES2025264[[#This Row],[EDEPSA 
Valor Kg Cortopunzantes]],COTIZACIONES2025264[[#This Row],[ 
Valor Kg Cortopunzantes]],COTIZACIONES2025264[[#This Row],[HISTORICO
2024  + IPC 2025 (3%) 
Cortopunzantes]])</f>
        <v>6678</v>
      </c>
      <c r="R7" s="54">
        <f>AVERAGE(COTIZACIONES2025264[[#This Row],[EDEPSA 
Valor Kg Animales]],COTIZACIONES2025264[[#This Row],[
Valor Kg Animales]],COTIZACIONES2025264[[#This Row],[HISTORICO
2024  + IPC 2025 (3%)Animales]])</f>
        <v>6678</v>
      </c>
      <c r="S7" s="194">
        <f>AVERAGE(COTIZACIONES2025264[[#This Row],[EDEPSA 
Valor Kg Quimicos]],COTIZACIONES2025264[[#This Row],[
Valor Kg Quimicos]],COTIZACIONES2025264[[#This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AVERAGE(COTIZACIONES2025264[[#This Row],[EDEPSA 
Valor Kg Biosanitario  ]],COTIZACIONES2025264[[#This Row],[
Valor Kg Biosanitario ]],COTIZACIONES2025264[[#This Row],[HISTORICO
2024 + IPC 2025 (3%)Biosanitario]])</f>
        <v>6678</v>
      </c>
      <c r="Q8" s="195">
        <f>AVERAGE(COTIZACIONES2025264[[#This Row],[EDEPSA 
Valor Kg Cortopunzantes]],COTIZACIONES2025264[[#This Row],[ 
Valor Kg Cortopunzantes]],COTIZACIONES2025264[[#This Row],[HISTORICO
2024  + IPC 2025 (3%) 
Cortopunzantes]])</f>
        <v>6678</v>
      </c>
      <c r="R8" s="195">
        <f>AVERAGE(COTIZACIONES2025264[[#This Row],[EDEPSA 
Valor Kg Animales]],COTIZACIONES2025264[[#This Row],[
Valor Kg Animales]],COTIZACIONES2025264[[#This Row],[HISTORICO
2024  + IPC 2025 (3%)Animales]])</f>
        <v>6678</v>
      </c>
      <c r="S8" s="198">
        <f>AVERAGE(COTIZACIONES2025264[[#This Row],[EDEPSA 
Valor Kg Quimicos]],COTIZACIONES2025264[[#This Row],[
Valor Kg Quimicos]],COTIZACIONES2025264[[#This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+PRESUPUSTO_2025465[[#This Row],[PRESUPUESTO 2025]]/4</f>
        <v>1200000</v>
      </c>
      <c r="F13" s="251" t="s">
        <v>340</v>
      </c>
      <c r="G13" s="190" t="s">
        <v>341</v>
      </c>
      <c r="H13" s="206">
        <f>+PRESUPUSTO_2025465[[#This Row],[Columna1]]</f>
        <v>1200000</v>
      </c>
      <c r="I13" s="206">
        <f>+PRESUPUSTO_2025465[[#This Row],[Columna1]]</f>
        <v>1200000</v>
      </c>
      <c r="J13" s="206">
        <f>+PRESUPUSTO_2025465[[#This Row],[Columna1]]</f>
        <v>1200000</v>
      </c>
      <c r="K13" s="207">
        <f>+PRESUPUSTO_2025465[[#This Row],[Columna1]]</f>
        <v>1200000</v>
      </c>
      <c r="O13" s="63"/>
    </row>
    <row r="14" spans="2:19">
      <c r="B14" s="252"/>
      <c r="C14" s="53" t="s">
        <v>2</v>
      </c>
      <c r="D14" s="200"/>
      <c r="E14" s="147">
        <f>+PRESUPUSTO_2025465[[#This Row],[PRESUPUESTO 2025]]/4</f>
        <v>0</v>
      </c>
      <c r="F14" s="252"/>
      <c r="G14" s="53" t="s">
        <v>2</v>
      </c>
      <c r="H14" s="97">
        <f>+PRESUPUSTO_2025465[[#This Row],[Columna1]]</f>
        <v>0</v>
      </c>
      <c r="I14" s="97">
        <f>+PRESUPUSTO_2025465[[#This Row],[Columna1]]</f>
        <v>0</v>
      </c>
      <c r="J14" s="97">
        <f>+PRESUPUSTO_2025465[[#This Row],[Columna1]]</f>
        <v>0</v>
      </c>
      <c r="K14" s="139">
        <f>+PRESUPUSTO_2025465[[#This Row],[Columna1]]</f>
        <v>0</v>
      </c>
      <c r="O14" s="63"/>
    </row>
    <row r="15" spans="2:19">
      <c r="B15" s="252"/>
      <c r="C15" s="53" t="s">
        <v>239</v>
      </c>
      <c r="D15" s="200"/>
      <c r="E15" s="147">
        <f>+PRESUPUSTO_2025465[[#This Row],[PRESUPUESTO 2025]]/3</f>
        <v>0</v>
      </c>
      <c r="F15" s="252"/>
      <c r="G15" s="53" t="s">
        <v>239</v>
      </c>
      <c r="H15" s="97">
        <f>+PRESUPUSTO_2025465[[#This Row],[Columna1]]</f>
        <v>0</v>
      </c>
      <c r="I15" s="97">
        <f>+PRESUPUSTO_2025465[[#This Row],[Columna1]]</f>
        <v>0</v>
      </c>
      <c r="J15" s="97">
        <v>0</v>
      </c>
      <c r="K15" s="139">
        <f>+PRESUPUSTO_2025465[[#This Row],[Columna1]]</f>
        <v>0</v>
      </c>
      <c r="O15" s="63"/>
    </row>
    <row r="16" spans="2:19">
      <c r="B16" s="252"/>
      <c r="C16" s="53" t="s">
        <v>240</v>
      </c>
      <c r="D16" s="200"/>
      <c r="E16" s="147">
        <f>+PRESUPUSTO_2025465[[#This Row],[PRESUPUESTO 2025]]/3</f>
        <v>0</v>
      </c>
      <c r="F16" s="252"/>
      <c r="G16" s="53" t="s">
        <v>240</v>
      </c>
      <c r="H16" s="97">
        <f>+PRESUPUSTO_2025465[[#This Row],[Columna1]]</f>
        <v>0</v>
      </c>
      <c r="I16" s="97">
        <f>+PRESUPUSTO_2025465[[#This Row],[Columna1]]</f>
        <v>0</v>
      </c>
      <c r="J16" s="97">
        <v>0</v>
      </c>
      <c r="K16" s="139">
        <f>+PRESUPUSTO_2025465[[#This Row],[Columna1]]</f>
        <v>0</v>
      </c>
      <c r="O16" s="63"/>
    </row>
    <row r="17" spans="2:15" ht="15.75" thickBot="1">
      <c r="B17" s="253"/>
      <c r="C17" s="133" t="s">
        <v>241</v>
      </c>
      <c r="D17" s="201"/>
      <c r="E17" s="147">
        <f>+PRESUPUSTO_2025465[[#This Row],[PRESUPUESTO 2025]]/3</f>
        <v>0</v>
      </c>
      <c r="F17" s="253"/>
      <c r="G17" s="133" t="s">
        <v>241</v>
      </c>
      <c r="H17" s="140">
        <f>+PRESUPUSTO_2025465[[#This Row],[Columna1]]</f>
        <v>0</v>
      </c>
      <c r="I17" s="140">
        <f>+PRESUPUSTO_2025465[[#This Row],[Columna1]]</f>
        <v>0</v>
      </c>
      <c r="J17" s="140">
        <v>0</v>
      </c>
      <c r="K17" s="141">
        <f>+PRESUPUSTO_2025465[[#This Row],[Columna1]]</f>
        <v>0</v>
      </c>
      <c r="O17" s="63"/>
    </row>
    <row r="18" spans="2:15" ht="21" thickBot="1">
      <c r="C18" s="208" t="s">
        <v>326</v>
      </c>
      <c r="D18" s="209">
        <f>SUBTOTAL(109,PRESUPUSTO_2025465[PRESUPUESTO 2025])</f>
        <v>4800000</v>
      </c>
      <c r="E18" s="147">
        <f>SUBTOTAL(109,PRESUPUSTO_2025465[Columna1])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+ProyeccionKg20251066[[#This Row],[Proyección kilogramos 2025 Biosanitario  ]]+ProyeccionKg20251066[[#This Row],[Proyección kilogramos 2025 Cortopunzantes]]+ProyeccionKg20251066[[#This Row],[Proyección kilogramos 2025 Animales]]+ProyeccionKg20251066[[#This Row],[Proyección kilogramos 2025 Quimicos]]</f>
        <v>718.7780772686433</v>
      </c>
    </row>
    <row r="23" spans="2:15">
      <c r="B23" s="252"/>
      <c r="C23" s="53" t="s">
        <v>2</v>
      </c>
      <c r="D23" s="98">
        <f t="shared" si="0"/>
        <v>0</v>
      </c>
      <c r="E23" s="98">
        <f t="shared" si="0"/>
        <v>0</v>
      </c>
      <c r="F23" s="98">
        <f t="shared" si="0"/>
        <v>0</v>
      </c>
      <c r="G23" s="98">
        <f t="shared" si="0"/>
        <v>0</v>
      </c>
      <c r="H23" s="183">
        <f>+ProyeccionKg20251066[[#This Row],[Proyección kilogramos 2025 Biosanitario  ]]+ProyeccionKg20251066[[#This Row],[Proyección kilogramos 2025 Cortopunzantes]]+ProyeccionKg20251066[[#This Row],[Proyección kilogramos 2025 Animales]]+ProyeccionKg20251066[[#This Row],[Proyección kilogramos 2025 Quimicos]]</f>
        <v>0</v>
      </c>
    </row>
    <row r="24" spans="2:15">
      <c r="B24" s="252"/>
      <c r="C24" s="53" t="s">
        <v>239</v>
      </c>
      <c r="D24" s="98">
        <f t="shared" si="0"/>
        <v>0</v>
      </c>
      <c r="E24" s="98">
        <f t="shared" si="0"/>
        <v>0</v>
      </c>
      <c r="F24" s="98">
        <f t="shared" si="0"/>
        <v>0</v>
      </c>
      <c r="G24" s="98">
        <f t="shared" si="0"/>
        <v>0</v>
      </c>
      <c r="H24" s="183">
        <f>+ProyeccionKg20251066[[#This Row],[Proyección kilogramos 2025 Biosanitario  ]]+ProyeccionKg20251066[[#This Row],[Proyección kilogramos 2025 Cortopunzantes]]+ProyeccionKg20251066[[#This Row],[Proyección kilogramos 2025 Animales]]+ProyeccionKg20251066[[#This Row],[Proyección kilogramos 2025 Quimicos]]</f>
        <v>0</v>
      </c>
    </row>
    <row r="25" spans="2:15">
      <c r="B25" s="252"/>
      <c r="C25" s="53" t="s">
        <v>240</v>
      </c>
      <c r="D25" s="98">
        <f t="shared" si="0"/>
        <v>0</v>
      </c>
      <c r="E25" s="98">
        <f t="shared" si="0"/>
        <v>0</v>
      </c>
      <c r="F25" s="98">
        <f t="shared" si="0"/>
        <v>0</v>
      </c>
      <c r="G25" s="98">
        <f t="shared" si="0"/>
        <v>0</v>
      </c>
      <c r="H25" s="183">
        <f>+ProyeccionKg20251066[[#This Row],[Proyección kilogramos 2025 Biosanitario  ]]+ProyeccionKg20251066[[#This Row],[Proyección kilogramos 2025 Cortopunzantes]]+ProyeccionKg20251066[[#This Row],[Proyección kilogramos 2025 Animales]]+ProyeccionKg20251066[[#This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+ProyeccionKg20251066[[#This Row],[Proyección kilogramos 2025 Biosanitario  ]]+ProyeccionKg20251066[[#This Row],[Proyección kilogramos 2025 Cortopunzantes]]+ProyeccionKg20251066[[#This Row],[Proyección kilogramos 2025 Animales]]+ProyeccionKg20251066[[#This Row],[Proyección kilogramos 2025 Quimicos]]</f>
        <v>0</v>
      </c>
    </row>
    <row r="27" spans="2:15" ht="18">
      <c r="C27" s="134" t="s">
        <v>326</v>
      </c>
      <c r="D27" s="135">
        <f>SUBTOTAL(109,ProyeccionKg20251066[[Proyección kilogramos 2025 Biosanitario  ]])</f>
        <v>179.69451931716083</v>
      </c>
      <c r="E27" s="135">
        <f>SUBTOTAL(109,ProyeccionKg20251066[Proyección kilogramos 2025 Cortopunzantes])</f>
        <v>179.69451931716083</v>
      </c>
      <c r="F27" s="135">
        <f>SUBTOTAL(109,ProyeccionKg20251066[Proyección kilogramos 2025 Animales])</f>
        <v>179.69451931716083</v>
      </c>
      <c r="G27" s="136">
        <f>SUBTOTAL(109,ProyeccionKg20251066[Proyección kilogramos 2025 Quimicos])</f>
        <v>179.69451931716083</v>
      </c>
      <c r="H27" s="135">
        <f>SUBTOTAL(109,ProyeccionKg20251066[[TOTAL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9B6C2-FCC6-4BEE-A0D6-D43B0DC0E4CB}">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AVERAGE(COTIZACIONES2025268[[#This Row],[EDEPSA 
Valor Kg Biosanitario  ]],COTIZACIONES2025268[[#This Row],[
Valor Kg Biosanitario ]],COTIZACIONES2025268[[#This Row],[HISTORICO
2024 + IPC 2025 (3%)Biosanitario]])</f>
        <v>6678</v>
      </c>
      <c r="Q4" s="191">
        <f>AVERAGE(COTIZACIONES2025268[[#This Row],[EDEPSA 
Valor Kg Cortopunzantes]],COTIZACIONES2025268[[#This Row],[ 
Valor Kg Cortopunzantes]],COTIZACIONES2025268[[#This Row],[HISTORICO
2024  + IPC 2025 (3%) 
Cortopunzantes]])</f>
        <v>6678</v>
      </c>
      <c r="R4" s="191">
        <f>AVERAGE(COTIZACIONES2025268[[#This Row],[EDEPSA 
Valor Kg Animales]],COTIZACIONES2025268[[#This Row],[
Valor Kg Animales]],COTIZACIONES2025268[[#This Row],[HISTORICO
2024  + IPC 2025 (3%)Animales]])</f>
        <v>6678</v>
      </c>
      <c r="S4" s="193">
        <f>AVERAGE(COTIZACIONES2025268[[#This Row],[EDEPSA 
Valor Kg Quimicos]],COTIZACIONES2025268[[#This Row],[
Valor Kg Quimicos]],COTIZACIONES2025268[[#This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AVERAGE(COTIZACIONES2025268[[#This Row],[EDEPSA 
Valor Kg Biosanitario  ]],COTIZACIONES2025268[[#This Row],[
Valor Kg Biosanitario ]],COTIZACIONES2025268[[#This Row],[HISTORICO
2024 + IPC 2025 (3%)Biosanitario]])</f>
        <v>6678</v>
      </c>
      <c r="Q5" s="54">
        <f>AVERAGE(COTIZACIONES2025268[[#This Row],[EDEPSA 
Valor Kg Cortopunzantes]],COTIZACIONES2025268[[#This Row],[ 
Valor Kg Cortopunzantes]],COTIZACIONES2025268[[#This Row],[HISTORICO
2024  + IPC 2025 (3%) 
Cortopunzantes]])</f>
        <v>6678</v>
      </c>
      <c r="R5" s="54">
        <f>AVERAGE(COTIZACIONES2025268[[#This Row],[EDEPSA 
Valor Kg Animales]],COTIZACIONES2025268[[#This Row],[
Valor Kg Animales]],COTIZACIONES2025268[[#This Row],[HISTORICO
2024  + IPC 2025 (3%)Animales]])</f>
        <v>6678</v>
      </c>
      <c r="S5" s="194">
        <f>AVERAGE(COTIZACIONES2025268[[#This Row],[EDEPSA 
Valor Kg Quimicos]],COTIZACIONES2025268[[#This Row],[
Valor Kg Quimicos]],COTIZACIONES2025268[[#This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AVERAGE(COTIZACIONES2025268[[#This Row],[EDEPSA 
Valor Kg Biosanitario  ]],COTIZACIONES2025268[[#This Row],[
Valor Kg Biosanitario ]],COTIZACIONES2025268[[#This Row],[HISTORICO
2024 + IPC 2025 (3%)Biosanitario]])</f>
        <v>6678</v>
      </c>
      <c r="Q6" s="54">
        <f>AVERAGE(COTIZACIONES2025268[[#This Row],[EDEPSA 
Valor Kg Cortopunzantes]],COTIZACIONES2025268[[#This Row],[ 
Valor Kg Cortopunzantes]],COTIZACIONES2025268[[#This Row],[HISTORICO
2024  + IPC 2025 (3%) 
Cortopunzantes]])</f>
        <v>6678</v>
      </c>
      <c r="R6" s="54">
        <f>AVERAGE(COTIZACIONES2025268[[#This Row],[EDEPSA 
Valor Kg Animales]],COTIZACIONES2025268[[#This Row],[
Valor Kg Animales]],COTIZACIONES2025268[[#This Row],[HISTORICO
2024  + IPC 2025 (3%)Animales]])</f>
        <v>6678</v>
      </c>
      <c r="S6" s="194">
        <f>AVERAGE(COTIZACIONES2025268[[#This Row],[EDEPSA 
Valor Kg Quimicos]],COTIZACIONES2025268[[#This Row],[
Valor Kg Quimicos]],COTIZACIONES2025268[[#This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AVERAGE(COTIZACIONES2025268[[#This Row],[EDEPSA 
Valor Kg Biosanitario  ]],COTIZACIONES2025268[[#This Row],[
Valor Kg Biosanitario ]],COTIZACIONES2025268[[#This Row],[HISTORICO
2024 + IPC 2025 (3%)Biosanitario]])</f>
        <v>6678</v>
      </c>
      <c r="Q7" s="54">
        <f>AVERAGE(COTIZACIONES2025268[[#This Row],[EDEPSA 
Valor Kg Cortopunzantes]],COTIZACIONES2025268[[#This Row],[ 
Valor Kg Cortopunzantes]],COTIZACIONES2025268[[#This Row],[HISTORICO
2024  + IPC 2025 (3%) 
Cortopunzantes]])</f>
        <v>6678</v>
      </c>
      <c r="R7" s="54">
        <f>AVERAGE(COTIZACIONES2025268[[#This Row],[EDEPSA 
Valor Kg Animales]],COTIZACIONES2025268[[#This Row],[
Valor Kg Animales]],COTIZACIONES2025268[[#This Row],[HISTORICO
2024  + IPC 2025 (3%)Animales]])</f>
        <v>6678</v>
      </c>
      <c r="S7" s="194">
        <f>AVERAGE(COTIZACIONES2025268[[#This Row],[EDEPSA 
Valor Kg Quimicos]],COTIZACIONES2025268[[#This Row],[
Valor Kg Quimicos]],COTIZACIONES2025268[[#This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AVERAGE(COTIZACIONES2025268[[#This Row],[EDEPSA 
Valor Kg Biosanitario  ]],COTIZACIONES2025268[[#This Row],[
Valor Kg Biosanitario ]],COTIZACIONES2025268[[#This Row],[HISTORICO
2024 + IPC 2025 (3%)Biosanitario]])</f>
        <v>6678</v>
      </c>
      <c r="Q8" s="195">
        <f>AVERAGE(COTIZACIONES2025268[[#This Row],[EDEPSA 
Valor Kg Cortopunzantes]],COTIZACIONES2025268[[#This Row],[ 
Valor Kg Cortopunzantes]],COTIZACIONES2025268[[#This Row],[HISTORICO
2024  + IPC 2025 (3%) 
Cortopunzantes]])</f>
        <v>6678</v>
      </c>
      <c r="R8" s="195">
        <f>AVERAGE(COTIZACIONES2025268[[#This Row],[EDEPSA 
Valor Kg Animales]],COTIZACIONES2025268[[#This Row],[
Valor Kg Animales]],COTIZACIONES2025268[[#This Row],[HISTORICO
2024  + IPC 2025 (3%)Animales]])</f>
        <v>6678</v>
      </c>
      <c r="S8" s="198">
        <f>AVERAGE(COTIZACIONES2025268[[#This Row],[EDEPSA 
Valor Kg Quimicos]],COTIZACIONES2025268[[#This Row],[
Valor Kg Quimicos]],COTIZACIONES2025268[[#This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+PRESUPUSTO_2025469[[#This Row],[PRESUPUESTO 2025]]/4</f>
        <v>1200000</v>
      </c>
      <c r="F13" s="251" t="s">
        <v>340</v>
      </c>
      <c r="G13" s="190" t="s">
        <v>341</v>
      </c>
      <c r="H13" s="206">
        <f>+PRESUPUSTO_2025469[[#This Row],[Columna1]]</f>
        <v>1200000</v>
      </c>
      <c r="I13" s="206">
        <f>+PRESUPUSTO_2025469[[#This Row],[Columna1]]</f>
        <v>1200000</v>
      </c>
      <c r="J13" s="206">
        <f>+PRESUPUSTO_2025469[[#This Row],[Columna1]]</f>
        <v>1200000</v>
      </c>
      <c r="K13" s="207">
        <f>+PRESUPUSTO_2025469[[#This Row],[Columna1]]</f>
        <v>1200000</v>
      </c>
      <c r="O13" s="63"/>
    </row>
    <row r="14" spans="2:19">
      <c r="B14" s="252"/>
      <c r="C14" s="53" t="s">
        <v>2</v>
      </c>
      <c r="D14" s="200"/>
      <c r="E14" s="147">
        <f>+PRESUPUSTO_2025469[[#This Row],[PRESUPUESTO 2025]]/4</f>
        <v>0</v>
      </c>
      <c r="F14" s="252"/>
      <c r="G14" s="53" t="s">
        <v>2</v>
      </c>
      <c r="H14" s="97">
        <f>+PRESUPUSTO_2025469[[#This Row],[Columna1]]</f>
        <v>0</v>
      </c>
      <c r="I14" s="97">
        <f>+PRESUPUSTO_2025469[[#This Row],[Columna1]]</f>
        <v>0</v>
      </c>
      <c r="J14" s="97">
        <f>+PRESUPUSTO_2025469[[#This Row],[Columna1]]</f>
        <v>0</v>
      </c>
      <c r="K14" s="139">
        <f>+PRESUPUSTO_2025469[[#This Row],[Columna1]]</f>
        <v>0</v>
      </c>
      <c r="O14" s="63"/>
    </row>
    <row r="15" spans="2:19">
      <c r="B15" s="252"/>
      <c r="C15" s="53" t="s">
        <v>239</v>
      </c>
      <c r="D15" s="200"/>
      <c r="E15" s="147">
        <f>+PRESUPUSTO_2025469[[#This Row],[PRESUPUESTO 2025]]/3</f>
        <v>0</v>
      </c>
      <c r="F15" s="252"/>
      <c r="G15" s="53" t="s">
        <v>239</v>
      </c>
      <c r="H15" s="97">
        <f>+PRESUPUSTO_2025469[[#This Row],[Columna1]]</f>
        <v>0</v>
      </c>
      <c r="I15" s="97">
        <f>+PRESUPUSTO_2025469[[#This Row],[Columna1]]</f>
        <v>0</v>
      </c>
      <c r="J15" s="97">
        <v>0</v>
      </c>
      <c r="K15" s="139">
        <f>+PRESUPUSTO_2025469[[#This Row],[Columna1]]</f>
        <v>0</v>
      </c>
      <c r="O15" s="63"/>
    </row>
    <row r="16" spans="2:19">
      <c r="B16" s="252"/>
      <c r="C16" s="53" t="s">
        <v>240</v>
      </c>
      <c r="D16" s="200"/>
      <c r="E16" s="147">
        <f>+PRESUPUSTO_2025469[[#This Row],[PRESUPUESTO 2025]]/3</f>
        <v>0</v>
      </c>
      <c r="F16" s="252"/>
      <c r="G16" s="53" t="s">
        <v>240</v>
      </c>
      <c r="H16" s="97">
        <f>+PRESUPUSTO_2025469[[#This Row],[Columna1]]</f>
        <v>0</v>
      </c>
      <c r="I16" s="97">
        <f>+PRESUPUSTO_2025469[[#This Row],[Columna1]]</f>
        <v>0</v>
      </c>
      <c r="J16" s="97">
        <v>0</v>
      </c>
      <c r="K16" s="139">
        <f>+PRESUPUSTO_2025469[[#This Row],[Columna1]]</f>
        <v>0</v>
      </c>
      <c r="O16" s="63"/>
    </row>
    <row r="17" spans="2:15" ht="15.75" thickBot="1">
      <c r="B17" s="253"/>
      <c r="C17" s="133" t="s">
        <v>241</v>
      </c>
      <c r="D17" s="201"/>
      <c r="E17" s="147">
        <f>+PRESUPUSTO_2025469[[#This Row],[PRESUPUESTO 2025]]/3</f>
        <v>0</v>
      </c>
      <c r="F17" s="253"/>
      <c r="G17" s="133" t="s">
        <v>241</v>
      </c>
      <c r="H17" s="140">
        <f>+PRESUPUSTO_2025469[[#This Row],[Columna1]]</f>
        <v>0</v>
      </c>
      <c r="I17" s="140">
        <f>+PRESUPUSTO_2025469[[#This Row],[Columna1]]</f>
        <v>0</v>
      </c>
      <c r="J17" s="140">
        <v>0</v>
      </c>
      <c r="K17" s="141">
        <f>+PRESUPUSTO_2025469[[#This Row],[Columna1]]</f>
        <v>0</v>
      </c>
      <c r="O17" s="63"/>
    </row>
    <row r="18" spans="2:15" ht="21" thickBot="1">
      <c r="C18" s="208" t="s">
        <v>326</v>
      </c>
      <c r="D18" s="209">
        <f>SUBTOTAL(109,PRESUPUSTO_2025469[PRESUPUESTO 2025])</f>
        <v>4800000</v>
      </c>
      <c r="E18" s="147">
        <f>SUBTOTAL(109,PRESUPUSTO_2025469[Columna1])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+ProyeccionKg20251070[[#This Row],[Proyección kilogramos 2025 Biosanitario  ]]+ProyeccionKg20251070[[#This Row],[Proyección kilogramos 2025 Cortopunzantes]]+ProyeccionKg20251070[[#This Row],[Proyección kilogramos 2025 Animales]]+ProyeccionKg20251070[[#This Row],[Proyección kilogramos 2025 Quimicos]]</f>
        <v>718.7780772686433</v>
      </c>
    </row>
    <row r="23" spans="2:15">
      <c r="B23" s="252"/>
      <c r="C23" s="53" t="s">
        <v>2</v>
      </c>
      <c r="D23" s="98">
        <f t="shared" si="0"/>
        <v>0</v>
      </c>
      <c r="E23" s="98">
        <f t="shared" si="0"/>
        <v>0</v>
      </c>
      <c r="F23" s="98">
        <f t="shared" si="0"/>
        <v>0</v>
      </c>
      <c r="G23" s="98">
        <f t="shared" si="0"/>
        <v>0</v>
      </c>
      <c r="H23" s="183">
        <f>+ProyeccionKg20251070[[#This Row],[Proyección kilogramos 2025 Biosanitario  ]]+ProyeccionKg20251070[[#This Row],[Proyección kilogramos 2025 Cortopunzantes]]+ProyeccionKg20251070[[#This Row],[Proyección kilogramos 2025 Animales]]+ProyeccionKg20251070[[#This Row],[Proyección kilogramos 2025 Quimicos]]</f>
        <v>0</v>
      </c>
    </row>
    <row r="24" spans="2:15">
      <c r="B24" s="252"/>
      <c r="C24" s="53" t="s">
        <v>239</v>
      </c>
      <c r="D24" s="98">
        <f t="shared" si="0"/>
        <v>0</v>
      </c>
      <c r="E24" s="98">
        <f t="shared" si="0"/>
        <v>0</v>
      </c>
      <c r="F24" s="98">
        <f t="shared" si="0"/>
        <v>0</v>
      </c>
      <c r="G24" s="98">
        <f t="shared" si="0"/>
        <v>0</v>
      </c>
      <c r="H24" s="183">
        <f>+ProyeccionKg20251070[[#This Row],[Proyección kilogramos 2025 Biosanitario  ]]+ProyeccionKg20251070[[#This Row],[Proyección kilogramos 2025 Cortopunzantes]]+ProyeccionKg20251070[[#This Row],[Proyección kilogramos 2025 Animales]]+ProyeccionKg20251070[[#This Row],[Proyección kilogramos 2025 Quimicos]]</f>
        <v>0</v>
      </c>
    </row>
    <row r="25" spans="2:15">
      <c r="B25" s="252"/>
      <c r="C25" s="53" t="s">
        <v>240</v>
      </c>
      <c r="D25" s="98">
        <f t="shared" si="0"/>
        <v>0</v>
      </c>
      <c r="E25" s="98">
        <f t="shared" si="0"/>
        <v>0</v>
      </c>
      <c r="F25" s="98">
        <f t="shared" si="0"/>
        <v>0</v>
      </c>
      <c r="G25" s="98">
        <f t="shared" si="0"/>
        <v>0</v>
      </c>
      <c r="H25" s="183">
        <f>+ProyeccionKg20251070[[#This Row],[Proyección kilogramos 2025 Biosanitario  ]]+ProyeccionKg20251070[[#This Row],[Proyección kilogramos 2025 Cortopunzantes]]+ProyeccionKg20251070[[#This Row],[Proyección kilogramos 2025 Animales]]+ProyeccionKg20251070[[#This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+ProyeccionKg20251070[[#This Row],[Proyección kilogramos 2025 Biosanitario  ]]+ProyeccionKg20251070[[#This Row],[Proyección kilogramos 2025 Cortopunzantes]]+ProyeccionKg20251070[[#This Row],[Proyección kilogramos 2025 Animales]]+ProyeccionKg20251070[[#This Row],[Proyección kilogramos 2025 Quimicos]]</f>
        <v>0</v>
      </c>
    </row>
    <row r="27" spans="2:15" ht="18">
      <c r="C27" s="134" t="s">
        <v>326</v>
      </c>
      <c r="D27" s="135">
        <f>SUBTOTAL(109,ProyeccionKg20251070[[Proyección kilogramos 2025 Biosanitario  ]])</f>
        <v>179.69451931716083</v>
      </c>
      <c r="E27" s="135">
        <f>SUBTOTAL(109,ProyeccionKg20251070[Proyección kilogramos 2025 Cortopunzantes])</f>
        <v>179.69451931716083</v>
      </c>
      <c r="F27" s="135">
        <f>SUBTOTAL(109,ProyeccionKg20251070[Proyección kilogramos 2025 Animales])</f>
        <v>179.69451931716083</v>
      </c>
      <c r="G27" s="136">
        <f>SUBTOTAL(109,ProyeccionKg20251070[Proyección kilogramos 2025 Quimicos])</f>
        <v>179.69451931716083</v>
      </c>
      <c r="H27" s="135">
        <f>SUBTOTAL(109,ProyeccionKg20251070[[TOTAL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801DA-692D-42EE-8473-5197008B4BAF}">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AVERAGE(COTIZACIONES2025272[[#This Row],[EDEPSA 
Valor Kg Biosanitario  ]],COTIZACIONES2025272[[#This Row],[
Valor Kg Biosanitario ]],COTIZACIONES2025272[[#This Row],[HISTORICO
2024 + IPC 2025 (3%)Biosanitario]])</f>
        <v>6678</v>
      </c>
      <c r="Q4" s="191">
        <f>AVERAGE(COTIZACIONES2025272[[#This Row],[EDEPSA 
Valor Kg Cortopunzantes]],COTIZACIONES2025272[[#This Row],[ 
Valor Kg Cortopunzantes]],COTIZACIONES2025272[[#This Row],[HISTORICO
2024  + IPC 2025 (3%) 
Cortopunzantes]])</f>
        <v>6678</v>
      </c>
      <c r="R4" s="191">
        <f>AVERAGE(COTIZACIONES2025272[[#This Row],[EDEPSA 
Valor Kg Animales]],COTIZACIONES2025272[[#This Row],[
Valor Kg Animales]],COTIZACIONES2025272[[#This Row],[HISTORICO
2024  + IPC 2025 (3%)Animales]])</f>
        <v>6678</v>
      </c>
      <c r="S4" s="193">
        <f>AVERAGE(COTIZACIONES2025272[[#This Row],[EDEPSA 
Valor Kg Quimicos]],COTIZACIONES2025272[[#This Row],[
Valor Kg Quimicos]],COTIZACIONES2025272[[#This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AVERAGE(COTIZACIONES2025272[[#This Row],[EDEPSA 
Valor Kg Biosanitario  ]],COTIZACIONES2025272[[#This Row],[
Valor Kg Biosanitario ]],COTIZACIONES2025272[[#This Row],[HISTORICO
2024 + IPC 2025 (3%)Biosanitario]])</f>
        <v>6678</v>
      </c>
      <c r="Q5" s="54">
        <f>AVERAGE(COTIZACIONES2025272[[#This Row],[EDEPSA 
Valor Kg Cortopunzantes]],COTIZACIONES2025272[[#This Row],[ 
Valor Kg Cortopunzantes]],COTIZACIONES2025272[[#This Row],[HISTORICO
2024  + IPC 2025 (3%) 
Cortopunzantes]])</f>
        <v>6678</v>
      </c>
      <c r="R5" s="54">
        <f>AVERAGE(COTIZACIONES2025272[[#This Row],[EDEPSA 
Valor Kg Animales]],COTIZACIONES2025272[[#This Row],[
Valor Kg Animales]],COTIZACIONES2025272[[#This Row],[HISTORICO
2024  + IPC 2025 (3%)Animales]])</f>
        <v>6678</v>
      </c>
      <c r="S5" s="194">
        <f>AVERAGE(COTIZACIONES2025272[[#This Row],[EDEPSA 
Valor Kg Quimicos]],COTIZACIONES2025272[[#This Row],[
Valor Kg Quimicos]],COTIZACIONES2025272[[#This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AVERAGE(COTIZACIONES2025272[[#This Row],[EDEPSA 
Valor Kg Biosanitario  ]],COTIZACIONES2025272[[#This Row],[
Valor Kg Biosanitario ]],COTIZACIONES2025272[[#This Row],[HISTORICO
2024 + IPC 2025 (3%)Biosanitario]])</f>
        <v>6678</v>
      </c>
      <c r="Q6" s="54">
        <f>AVERAGE(COTIZACIONES2025272[[#This Row],[EDEPSA 
Valor Kg Cortopunzantes]],COTIZACIONES2025272[[#This Row],[ 
Valor Kg Cortopunzantes]],COTIZACIONES2025272[[#This Row],[HISTORICO
2024  + IPC 2025 (3%) 
Cortopunzantes]])</f>
        <v>6678</v>
      </c>
      <c r="R6" s="54">
        <f>AVERAGE(COTIZACIONES2025272[[#This Row],[EDEPSA 
Valor Kg Animales]],COTIZACIONES2025272[[#This Row],[
Valor Kg Animales]],COTIZACIONES2025272[[#This Row],[HISTORICO
2024  + IPC 2025 (3%)Animales]])</f>
        <v>6678</v>
      </c>
      <c r="S6" s="194">
        <f>AVERAGE(COTIZACIONES2025272[[#This Row],[EDEPSA 
Valor Kg Quimicos]],COTIZACIONES2025272[[#This Row],[
Valor Kg Quimicos]],COTIZACIONES2025272[[#This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AVERAGE(COTIZACIONES2025272[[#This Row],[EDEPSA 
Valor Kg Biosanitario  ]],COTIZACIONES2025272[[#This Row],[
Valor Kg Biosanitario ]],COTIZACIONES2025272[[#This Row],[HISTORICO
2024 + IPC 2025 (3%)Biosanitario]])</f>
        <v>6678</v>
      </c>
      <c r="Q7" s="54">
        <f>AVERAGE(COTIZACIONES2025272[[#This Row],[EDEPSA 
Valor Kg Cortopunzantes]],COTIZACIONES2025272[[#This Row],[ 
Valor Kg Cortopunzantes]],COTIZACIONES2025272[[#This Row],[HISTORICO
2024  + IPC 2025 (3%) 
Cortopunzantes]])</f>
        <v>6678</v>
      </c>
      <c r="R7" s="54">
        <f>AVERAGE(COTIZACIONES2025272[[#This Row],[EDEPSA 
Valor Kg Animales]],COTIZACIONES2025272[[#This Row],[
Valor Kg Animales]],COTIZACIONES2025272[[#This Row],[HISTORICO
2024  + IPC 2025 (3%)Animales]])</f>
        <v>6678</v>
      </c>
      <c r="S7" s="194">
        <f>AVERAGE(COTIZACIONES2025272[[#This Row],[EDEPSA 
Valor Kg Quimicos]],COTIZACIONES2025272[[#This Row],[
Valor Kg Quimicos]],COTIZACIONES2025272[[#This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AVERAGE(COTIZACIONES2025272[[#This Row],[EDEPSA 
Valor Kg Biosanitario  ]],COTIZACIONES2025272[[#This Row],[
Valor Kg Biosanitario ]],COTIZACIONES2025272[[#This Row],[HISTORICO
2024 + IPC 2025 (3%)Biosanitario]])</f>
        <v>6678</v>
      </c>
      <c r="Q8" s="195">
        <f>AVERAGE(COTIZACIONES2025272[[#This Row],[EDEPSA 
Valor Kg Cortopunzantes]],COTIZACIONES2025272[[#This Row],[ 
Valor Kg Cortopunzantes]],COTIZACIONES2025272[[#This Row],[HISTORICO
2024  + IPC 2025 (3%) 
Cortopunzantes]])</f>
        <v>6678</v>
      </c>
      <c r="R8" s="195">
        <f>AVERAGE(COTIZACIONES2025272[[#This Row],[EDEPSA 
Valor Kg Animales]],COTIZACIONES2025272[[#This Row],[
Valor Kg Animales]],COTIZACIONES2025272[[#This Row],[HISTORICO
2024  + IPC 2025 (3%)Animales]])</f>
        <v>6678</v>
      </c>
      <c r="S8" s="198">
        <f>AVERAGE(COTIZACIONES2025272[[#This Row],[EDEPSA 
Valor Kg Quimicos]],COTIZACIONES2025272[[#This Row],[
Valor Kg Quimicos]],COTIZACIONES2025272[[#This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+PRESUPUSTO_2025473[[#This Row],[PRESUPUESTO 2025]]/4</f>
        <v>1200000</v>
      </c>
      <c r="F13" s="251" t="s">
        <v>340</v>
      </c>
      <c r="G13" s="190" t="s">
        <v>341</v>
      </c>
      <c r="H13" s="206">
        <f>+PRESUPUSTO_2025473[[#This Row],[Columna1]]</f>
        <v>1200000</v>
      </c>
      <c r="I13" s="206">
        <f>+PRESUPUSTO_2025473[[#This Row],[Columna1]]</f>
        <v>1200000</v>
      </c>
      <c r="J13" s="206">
        <f>+PRESUPUSTO_2025473[[#This Row],[Columna1]]</f>
        <v>1200000</v>
      </c>
      <c r="K13" s="207">
        <f>+PRESUPUSTO_2025473[[#This Row],[Columna1]]</f>
        <v>1200000</v>
      </c>
      <c r="O13" s="63"/>
    </row>
    <row r="14" spans="2:19">
      <c r="B14" s="252"/>
      <c r="C14" s="53" t="s">
        <v>2</v>
      </c>
      <c r="D14" s="200"/>
      <c r="E14" s="147">
        <f>+PRESUPUSTO_2025473[[#This Row],[PRESUPUESTO 2025]]/4</f>
        <v>0</v>
      </c>
      <c r="F14" s="252"/>
      <c r="G14" s="53" t="s">
        <v>2</v>
      </c>
      <c r="H14" s="97">
        <f>+PRESUPUSTO_2025473[[#This Row],[Columna1]]</f>
        <v>0</v>
      </c>
      <c r="I14" s="97">
        <f>+PRESUPUSTO_2025473[[#This Row],[Columna1]]</f>
        <v>0</v>
      </c>
      <c r="J14" s="97">
        <f>+PRESUPUSTO_2025473[[#This Row],[Columna1]]</f>
        <v>0</v>
      </c>
      <c r="K14" s="139">
        <f>+PRESUPUSTO_2025473[[#This Row],[Columna1]]</f>
        <v>0</v>
      </c>
      <c r="O14" s="63"/>
    </row>
    <row r="15" spans="2:19">
      <c r="B15" s="252"/>
      <c r="C15" s="53" t="s">
        <v>239</v>
      </c>
      <c r="D15" s="200"/>
      <c r="E15" s="147">
        <f>+PRESUPUSTO_2025473[[#This Row],[PRESUPUESTO 2025]]/3</f>
        <v>0</v>
      </c>
      <c r="F15" s="252"/>
      <c r="G15" s="53" t="s">
        <v>239</v>
      </c>
      <c r="H15" s="97">
        <f>+PRESUPUSTO_2025473[[#This Row],[Columna1]]</f>
        <v>0</v>
      </c>
      <c r="I15" s="97">
        <f>+PRESUPUSTO_2025473[[#This Row],[Columna1]]</f>
        <v>0</v>
      </c>
      <c r="J15" s="97">
        <v>0</v>
      </c>
      <c r="K15" s="139">
        <f>+PRESUPUSTO_2025473[[#This Row],[Columna1]]</f>
        <v>0</v>
      </c>
      <c r="O15" s="63"/>
    </row>
    <row r="16" spans="2:19">
      <c r="B16" s="252"/>
      <c r="C16" s="53" t="s">
        <v>240</v>
      </c>
      <c r="D16" s="200"/>
      <c r="E16" s="147">
        <f>+PRESUPUSTO_2025473[[#This Row],[PRESUPUESTO 2025]]/3</f>
        <v>0</v>
      </c>
      <c r="F16" s="252"/>
      <c r="G16" s="53" t="s">
        <v>240</v>
      </c>
      <c r="H16" s="97">
        <f>+PRESUPUSTO_2025473[[#This Row],[Columna1]]</f>
        <v>0</v>
      </c>
      <c r="I16" s="97">
        <f>+PRESUPUSTO_2025473[[#This Row],[Columna1]]</f>
        <v>0</v>
      </c>
      <c r="J16" s="97">
        <v>0</v>
      </c>
      <c r="K16" s="139">
        <f>+PRESUPUSTO_2025473[[#This Row],[Columna1]]</f>
        <v>0</v>
      </c>
      <c r="O16" s="63"/>
    </row>
    <row r="17" spans="2:15" ht="15.75" thickBot="1">
      <c r="B17" s="253"/>
      <c r="C17" s="133" t="s">
        <v>241</v>
      </c>
      <c r="D17" s="201"/>
      <c r="E17" s="147">
        <f>+PRESUPUSTO_2025473[[#This Row],[PRESUPUESTO 2025]]/3</f>
        <v>0</v>
      </c>
      <c r="F17" s="253"/>
      <c r="G17" s="133" t="s">
        <v>241</v>
      </c>
      <c r="H17" s="140">
        <f>+PRESUPUSTO_2025473[[#This Row],[Columna1]]</f>
        <v>0</v>
      </c>
      <c r="I17" s="140">
        <f>+PRESUPUSTO_2025473[[#This Row],[Columna1]]</f>
        <v>0</v>
      </c>
      <c r="J17" s="140">
        <v>0</v>
      </c>
      <c r="K17" s="141">
        <f>+PRESUPUSTO_2025473[[#This Row],[Columna1]]</f>
        <v>0</v>
      </c>
      <c r="O17" s="63"/>
    </row>
    <row r="18" spans="2:15" ht="21" thickBot="1">
      <c r="C18" s="208" t="s">
        <v>326</v>
      </c>
      <c r="D18" s="209">
        <f>SUBTOTAL(109,PRESUPUSTO_2025473[PRESUPUESTO 2025])</f>
        <v>4800000</v>
      </c>
      <c r="E18" s="147">
        <f>SUBTOTAL(109,PRESUPUSTO_2025473[Columna1])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+ProyeccionKg20251074[[#This Row],[Proyección kilogramos 2025 Biosanitario  ]]+ProyeccionKg20251074[[#This Row],[Proyección kilogramos 2025 Cortopunzantes]]+ProyeccionKg20251074[[#This Row],[Proyección kilogramos 2025 Animales]]+ProyeccionKg20251074[[#This Row],[Proyección kilogramos 2025 Quimicos]]</f>
        <v>718.7780772686433</v>
      </c>
    </row>
    <row r="23" spans="2:15">
      <c r="B23" s="252"/>
      <c r="C23" s="53" t="s">
        <v>2</v>
      </c>
      <c r="D23" s="98">
        <f t="shared" si="0"/>
        <v>0</v>
      </c>
      <c r="E23" s="98">
        <f t="shared" si="0"/>
        <v>0</v>
      </c>
      <c r="F23" s="98">
        <f t="shared" si="0"/>
        <v>0</v>
      </c>
      <c r="G23" s="98">
        <f t="shared" si="0"/>
        <v>0</v>
      </c>
      <c r="H23" s="183">
        <f>+ProyeccionKg20251074[[#This Row],[Proyección kilogramos 2025 Biosanitario  ]]+ProyeccionKg20251074[[#This Row],[Proyección kilogramos 2025 Cortopunzantes]]+ProyeccionKg20251074[[#This Row],[Proyección kilogramos 2025 Animales]]+ProyeccionKg20251074[[#This Row],[Proyección kilogramos 2025 Quimicos]]</f>
        <v>0</v>
      </c>
    </row>
    <row r="24" spans="2:15">
      <c r="B24" s="252"/>
      <c r="C24" s="53" t="s">
        <v>239</v>
      </c>
      <c r="D24" s="98">
        <f t="shared" si="0"/>
        <v>0</v>
      </c>
      <c r="E24" s="98">
        <f t="shared" si="0"/>
        <v>0</v>
      </c>
      <c r="F24" s="98">
        <f t="shared" si="0"/>
        <v>0</v>
      </c>
      <c r="G24" s="98">
        <f t="shared" si="0"/>
        <v>0</v>
      </c>
      <c r="H24" s="183">
        <f>+ProyeccionKg20251074[[#This Row],[Proyección kilogramos 2025 Biosanitario  ]]+ProyeccionKg20251074[[#This Row],[Proyección kilogramos 2025 Cortopunzantes]]+ProyeccionKg20251074[[#This Row],[Proyección kilogramos 2025 Animales]]+ProyeccionKg20251074[[#This Row],[Proyección kilogramos 2025 Quimicos]]</f>
        <v>0</v>
      </c>
    </row>
    <row r="25" spans="2:15">
      <c r="B25" s="252"/>
      <c r="C25" s="53" t="s">
        <v>240</v>
      </c>
      <c r="D25" s="98">
        <f t="shared" si="0"/>
        <v>0</v>
      </c>
      <c r="E25" s="98">
        <f t="shared" si="0"/>
        <v>0</v>
      </c>
      <c r="F25" s="98">
        <f t="shared" si="0"/>
        <v>0</v>
      </c>
      <c r="G25" s="98">
        <f t="shared" si="0"/>
        <v>0</v>
      </c>
      <c r="H25" s="183">
        <f>+ProyeccionKg20251074[[#This Row],[Proyección kilogramos 2025 Biosanitario  ]]+ProyeccionKg20251074[[#This Row],[Proyección kilogramos 2025 Cortopunzantes]]+ProyeccionKg20251074[[#This Row],[Proyección kilogramos 2025 Animales]]+ProyeccionKg20251074[[#This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+ProyeccionKg20251074[[#This Row],[Proyección kilogramos 2025 Biosanitario  ]]+ProyeccionKg20251074[[#This Row],[Proyección kilogramos 2025 Cortopunzantes]]+ProyeccionKg20251074[[#This Row],[Proyección kilogramos 2025 Animales]]+ProyeccionKg20251074[[#This Row],[Proyección kilogramos 2025 Quimicos]]</f>
        <v>0</v>
      </c>
    </row>
    <row r="27" spans="2:15" ht="18">
      <c r="C27" s="134" t="s">
        <v>326</v>
      </c>
      <c r="D27" s="135">
        <f>SUBTOTAL(109,ProyeccionKg20251074[[Proyección kilogramos 2025 Biosanitario  ]])</f>
        <v>179.69451931716083</v>
      </c>
      <c r="E27" s="135">
        <f>SUBTOTAL(109,ProyeccionKg20251074[Proyección kilogramos 2025 Cortopunzantes])</f>
        <v>179.69451931716083</v>
      </c>
      <c r="F27" s="135">
        <f>SUBTOTAL(109,ProyeccionKg20251074[Proyección kilogramos 2025 Animales])</f>
        <v>179.69451931716083</v>
      </c>
      <c r="G27" s="136">
        <f>SUBTOTAL(109,ProyeccionKg20251074[Proyección kilogramos 2025 Quimicos])</f>
        <v>179.69451931716083</v>
      </c>
      <c r="H27" s="135">
        <f>SUBTOTAL(109,ProyeccionKg20251074[[TOTAL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D8AC6-BE21-451A-BDD7-C12C191B9D7C}">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AVERAGE(COTIZACIONES2025276[[#This Row],[EDEPSA 
Valor Kg Biosanitario  ]],COTIZACIONES2025276[[#This Row],[
Valor Kg Biosanitario ]],COTIZACIONES2025276[[#This Row],[HISTORICO
2024 + IPC 2025 (3%)Biosanitario]])</f>
        <v>6678</v>
      </c>
      <c r="Q4" s="191">
        <f>AVERAGE(COTIZACIONES2025276[[#This Row],[EDEPSA 
Valor Kg Cortopunzantes]],COTIZACIONES2025276[[#This Row],[ 
Valor Kg Cortopunzantes]],COTIZACIONES2025276[[#This Row],[HISTORICO
2024  + IPC 2025 (3%) 
Cortopunzantes]])</f>
        <v>6678</v>
      </c>
      <c r="R4" s="191">
        <f>AVERAGE(COTIZACIONES2025276[[#This Row],[EDEPSA 
Valor Kg Animales]],COTIZACIONES2025276[[#This Row],[
Valor Kg Animales]],COTIZACIONES2025276[[#This Row],[HISTORICO
2024  + IPC 2025 (3%)Animales]])</f>
        <v>6678</v>
      </c>
      <c r="S4" s="193">
        <f>AVERAGE(COTIZACIONES2025276[[#This Row],[EDEPSA 
Valor Kg Quimicos]],COTIZACIONES2025276[[#This Row],[
Valor Kg Quimicos]],COTIZACIONES2025276[[#This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AVERAGE(COTIZACIONES2025276[[#This Row],[EDEPSA 
Valor Kg Biosanitario  ]],COTIZACIONES2025276[[#This Row],[
Valor Kg Biosanitario ]],COTIZACIONES2025276[[#This Row],[HISTORICO
2024 + IPC 2025 (3%)Biosanitario]])</f>
        <v>6678</v>
      </c>
      <c r="Q5" s="54">
        <f>AVERAGE(COTIZACIONES2025276[[#This Row],[EDEPSA 
Valor Kg Cortopunzantes]],COTIZACIONES2025276[[#This Row],[ 
Valor Kg Cortopunzantes]],COTIZACIONES2025276[[#This Row],[HISTORICO
2024  + IPC 2025 (3%) 
Cortopunzantes]])</f>
        <v>6678</v>
      </c>
      <c r="R5" s="54">
        <f>AVERAGE(COTIZACIONES2025276[[#This Row],[EDEPSA 
Valor Kg Animales]],COTIZACIONES2025276[[#This Row],[
Valor Kg Animales]],COTIZACIONES2025276[[#This Row],[HISTORICO
2024  + IPC 2025 (3%)Animales]])</f>
        <v>6678</v>
      </c>
      <c r="S5" s="194">
        <f>AVERAGE(COTIZACIONES2025276[[#This Row],[EDEPSA 
Valor Kg Quimicos]],COTIZACIONES2025276[[#This Row],[
Valor Kg Quimicos]],COTIZACIONES2025276[[#This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AVERAGE(COTIZACIONES2025276[[#This Row],[EDEPSA 
Valor Kg Biosanitario  ]],COTIZACIONES2025276[[#This Row],[
Valor Kg Biosanitario ]],COTIZACIONES2025276[[#This Row],[HISTORICO
2024 + IPC 2025 (3%)Biosanitario]])</f>
        <v>6678</v>
      </c>
      <c r="Q6" s="54">
        <f>AVERAGE(COTIZACIONES2025276[[#This Row],[EDEPSA 
Valor Kg Cortopunzantes]],COTIZACIONES2025276[[#This Row],[ 
Valor Kg Cortopunzantes]],COTIZACIONES2025276[[#This Row],[HISTORICO
2024  + IPC 2025 (3%) 
Cortopunzantes]])</f>
        <v>6678</v>
      </c>
      <c r="R6" s="54">
        <f>AVERAGE(COTIZACIONES2025276[[#This Row],[EDEPSA 
Valor Kg Animales]],COTIZACIONES2025276[[#This Row],[
Valor Kg Animales]],COTIZACIONES2025276[[#This Row],[HISTORICO
2024  + IPC 2025 (3%)Animales]])</f>
        <v>6678</v>
      </c>
      <c r="S6" s="194">
        <f>AVERAGE(COTIZACIONES2025276[[#This Row],[EDEPSA 
Valor Kg Quimicos]],COTIZACIONES2025276[[#This Row],[
Valor Kg Quimicos]],COTIZACIONES2025276[[#This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AVERAGE(COTIZACIONES2025276[[#This Row],[EDEPSA 
Valor Kg Biosanitario  ]],COTIZACIONES2025276[[#This Row],[
Valor Kg Biosanitario ]],COTIZACIONES2025276[[#This Row],[HISTORICO
2024 + IPC 2025 (3%)Biosanitario]])</f>
        <v>6678</v>
      </c>
      <c r="Q7" s="54">
        <f>AVERAGE(COTIZACIONES2025276[[#This Row],[EDEPSA 
Valor Kg Cortopunzantes]],COTIZACIONES2025276[[#This Row],[ 
Valor Kg Cortopunzantes]],COTIZACIONES2025276[[#This Row],[HISTORICO
2024  + IPC 2025 (3%) 
Cortopunzantes]])</f>
        <v>6678</v>
      </c>
      <c r="R7" s="54">
        <f>AVERAGE(COTIZACIONES2025276[[#This Row],[EDEPSA 
Valor Kg Animales]],COTIZACIONES2025276[[#This Row],[
Valor Kg Animales]],COTIZACIONES2025276[[#This Row],[HISTORICO
2024  + IPC 2025 (3%)Animales]])</f>
        <v>6678</v>
      </c>
      <c r="S7" s="194">
        <f>AVERAGE(COTIZACIONES2025276[[#This Row],[EDEPSA 
Valor Kg Quimicos]],COTIZACIONES2025276[[#This Row],[
Valor Kg Quimicos]],COTIZACIONES2025276[[#This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AVERAGE(COTIZACIONES2025276[[#This Row],[EDEPSA 
Valor Kg Biosanitario  ]],COTIZACIONES2025276[[#This Row],[
Valor Kg Biosanitario ]],COTIZACIONES2025276[[#This Row],[HISTORICO
2024 + IPC 2025 (3%)Biosanitario]])</f>
        <v>6678</v>
      </c>
      <c r="Q8" s="195">
        <f>AVERAGE(COTIZACIONES2025276[[#This Row],[EDEPSA 
Valor Kg Cortopunzantes]],COTIZACIONES2025276[[#This Row],[ 
Valor Kg Cortopunzantes]],COTIZACIONES2025276[[#This Row],[HISTORICO
2024  + IPC 2025 (3%) 
Cortopunzantes]])</f>
        <v>6678</v>
      </c>
      <c r="R8" s="195">
        <f>AVERAGE(COTIZACIONES2025276[[#This Row],[EDEPSA 
Valor Kg Animales]],COTIZACIONES2025276[[#This Row],[
Valor Kg Animales]],COTIZACIONES2025276[[#This Row],[HISTORICO
2024  + IPC 2025 (3%)Animales]])</f>
        <v>6678</v>
      </c>
      <c r="S8" s="198">
        <f>AVERAGE(COTIZACIONES2025276[[#This Row],[EDEPSA 
Valor Kg Quimicos]],COTIZACIONES2025276[[#This Row],[
Valor Kg Quimicos]],COTIZACIONES2025276[[#This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+PRESUPUSTO_2025477[[#This Row],[PRESUPUESTO 2025]]/4</f>
        <v>1200000</v>
      </c>
      <c r="F13" s="251" t="s">
        <v>340</v>
      </c>
      <c r="G13" s="190" t="s">
        <v>341</v>
      </c>
      <c r="H13" s="206">
        <f>+PRESUPUSTO_2025477[[#This Row],[Columna1]]</f>
        <v>1200000</v>
      </c>
      <c r="I13" s="206">
        <f>+PRESUPUSTO_2025477[[#This Row],[Columna1]]</f>
        <v>1200000</v>
      </c>
      <c r="J13" s="206">
        <f>+PRESUPUSTO_2025477[[#This Row],[Columna1]]</f>
        <v>1200000</v>
      </c>
      <c r="K13" s="207">
        <f>+PRESUPUSTO_2025477[[#This Row],[Columna1]]</f>
        <v>1200000</v>
      </c>
      <c r="O13" s="63"/>
    </row>
    <row r="14" spans="2:19">
      <c r="B14" s="252"/>
      <c r="C14" s="53" t="s">
        <v>2</v>
      </c>
      <c r="D14" s="200"/>
      <c r="E14" s="147">
        <f>+PRESUPUSTO_2025477[[#This Row],[PRESUPUESTO 2025]]/4</f>
        <v>0</v>
      </c>
      <c r="F14" s="252"/>
      <c r="G14" s="53" t="s">
        <v>2</v>
      </c>
      <c r="H14" s="97">
        <f>+PRESUPUSTO_2025477[[#This Row],[Columna1]]</f>
        <v>0</v>
      </c>
      <c r="I14" s="97">
        <f>+PRESUPUSTO_2025477[[#This Row],[Columna1]]</f>
        <v>0</v>
      </c>
      <c r="J14" s="97">
        <f>+PRESUPUSTO_2025477[[#This Row],[Columna1]]</f>
        <v>0</v>
      </c>
      <c r="K14" s="139">
        <f>+PRESUPUSTO_2025477[[#This Row],[Columna1]]</f>
        <v>0</v>
      </c>
      <c r="O14" s="63"/>
    </row>
    <row r="15" spans="2:19">
      <c r="B15" s="252"/>
      <c r="C15" s="53" t="s">
        <v>239</v>
      </c>
      <c r="D15" s="200"/>
      <c r="E15" s="147">
        <f>+PRESUPUSTO_2025477[[#This Row],[PRESUPUESTO 2025]]/3</f>
        <v>0</v>
      </c>
      <c r="F15" s="252"/>
      <c r="G15" s="53" t="s">
        <v>239</v>
      </c>
      <c r="H15" s="97">
        <f>+PRESUPUSTO_2025477[[#This Row],[Columna1]]</f>
        <v>0</v>
      </c>
      <c r="I15" s="97">
        <f>+PRESUPUSTO_2025477[[#This Row],[Columna1]]</f>
        <v>0</v>
      </c>
      <c r="J15" s="97">
        <v>0</v>
      </c>
      <c r="K15" s="139">
        <f>+PRESUPUSTO_2025477[[#This Row],[Columna1]]</f>
        <v>0</v>
      </c>
      <c r="O15" s="63"/>
    </row>
    <row r="16" spans="2:19">
      <c r="B16" s="252"/>
      <c r="C16" s="53" t="s">
        <v>240</v>
      </c>
      <c r="D16" s="200"/>
      <c r="E16" s="147">
        <f>+PRESUPUSTO_2025477[[#This Row],[PRESUPUESTO 2025]]/3</f>
        <v>0</v>
      </c>
      <c r="F16" s="252"/>
      <c r="G16" s="53" t="s">
        <v>240</v>
      </c>
      <c r="H16" s="97">
        <f>+PRESUPUSTO_2025477[[#This Row],[Columna1]]</f>
        <v>0</v>
      </c>
      <c r="I16" s="97">
        <f>+PRESUPUSTO_2025477[[#This Row],[Columna1]]</f>
        <v>0</v>
      </c>
      <c r="J16" s="97">
        <v>0</v>
      </c>
      <c r="K16" s="139">
        <f>+PRESUPUSTO_2025477[[#This Row],[Columna1]]</f>
        <v>0</v>
      </c>
      <c r="O16" s="63"/>
    </row>
    <row r="17" spans="2:15" ht="15.75" thickBot="1">
      <c r="B17" s="253"/>
      <c r="C17" s="133" t="s">
        <v>241</v>
      </c>
      <c r="D17" s="201"/>
      <c r="E17" s="147">
        <f>+PRESUPUSTO_2025477[[#This Row],[PRESUPUESTO 2025]]/3</f>
        <v>0</v>
      </c>
      <c r="F17" s="253"/>
      <c r="G17" s="133" t="s">
        <v>241</v>
      </c>
      <c r="H17" s="140">
        <f>+PRESUPUSTO_2025477[[#This Row],[Columna1]]</f>
        <v>0</v>
      </c>
      <c r="I17" s="140">
        <f>+PRESUPUSTO_2025477[[#This Row],[Columna1]]</f>
        <v>0</v>
      </c>
      <c r="J17" s="140">
        <v>0</v>
      </c>
      <c r="K17" s="141">
        <f>+PRESUPUSTO_2025477[[#This Row],[Columna1]]</f>
        <v>0</v>
      </c>
      <c r="O17" s="63"/>
    </row>
    <row r="18" spans="2:15" ht="21" thickBot="1">
      <c r="C18" s="208" t="s">
        <v>326</v>
      </c>
      <c r="D18" s="209">
        <f>SUBTOTAL(109,PRESUPUSTO_2025477[PRESUPUESTO 2025])</f>
        <v>4800000</v>
      </c>
      <c r="E18" s="147">
        <f>SUBTOTAL(109,PRESUPUSTO_2025477[Columna1])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+ProyeccionKg20251078[[#This Row],[Proyección kilogramos 2025 Biosanitario  ]]+ProyeccionKg20251078[[#This Row],[Proyección kilogramos 2025 Cortopunzantes]]+ProyeccionKg20251078[[#This Row],[Proyección kilogramos 2025 Animales]]+ProyeccionKg20251078[[#This Row],[Proyección kilogramos 2025 Quimicos]]</f>
        <v>718.7780772686433</v>
      </c>
    </row>
    <row r="23" spans="2:15">
      <c r="B23" s="252"/>
      <c r="C23" s="53" t="s">
        <v>2</v>
      </c>
      <c r="D23" s="98">
        <f t="shared" si="0"/>
        <v>0</v>
      </c>
      <c r="E23" s="98">
        <f t="shared" si="0"/>
        <v>0</v>
      </c>
      <c r="F23" s="98">
        <f t="shared" si="0"/>
        <v>0</v>
      </c>
      <c r="G23" s="98">
        <f t="shared" si="0"/>
        <v>0</v>
      </c>
      <c r="H23" s="183">
        <f>+ProyeccionKg20251078[[#This Row],[Proyección kilogramos 2025 Biosanitario  ]]+ProyeccionKg20251078[[#This Row],[Proyección kilogramos 2025 Cortopunzantes]]+ProyeccionKg20251078[[#This Row],[Proyección kilogramos 2025 Animales]]+ProyeccionKg20251078[[#This Row],[Proyección kilogramos 2025 Quimicos]]</f>
        <v>0</v>
      </c>
    </row>
    <row r="24" spans="2:15">
      <c r="B24" s="252"/>
      <c r="C24" s="53" t="s">
        <v>239</v>
      </c>
      <c r="D24" s="98">
        <f t="shared" si="0"/>
        <v>0</v>
      </c>
      <c r="E24" s="98">
        <f t="shared" si="0"/>
        <v>0</v>
      </c>
      <c r="F24" s="98">
        <f t="shared" si="0"/>
        <v>0</v>
      </c>
      <c r="G24" s="98">
        <f t="shared" si="0"/>
        <v>0</v>
      </c>
      <c r="H24" s="183">
        <f>+ProyeccionKg20251078[[#This Row],[Proyección kilogramos 2025 Biosanitario  ]]+ProyeccionKg20251078[[#This Row],[Proyección kilogramos 2025 Cortopunzantes]]+ProyeccionKg20251078[[#This Row],[Proyección kilogramos 2025 Animales]]+ProyeccionKg20251078[[#This Row],[Proyección kilogramos 2025 Quimicos]]</f>
        <v>0</v>
      </c>
    </row>
    <row r="25" spans="2:15">
      <c r="B25" s="252"/>
      <c r="C25" s="53" t="s">
        <v>240</v>
      </c>
      <c r="D25" s="98">
        <f t="shared" si="0"/>
        <v>0</v>
      </c>
      <c r="E25" s="98">
        <f t="shared" si="0"/>
        <v>0</v>
      </c>
      <c r="F25" s="98">
        <f t="shared" si="0"/>
        <v>0</v>
      </c>
      <c r="G25" s="98">
        <f t="shared" si="0"/>
        <v>0</v>
      </c>
      <c r="H25" s="183">
        <f>+ProyeccionKg20251078[[#This Row],[Proyección kilogramos 2025 Biosanitario  ]]+ProyeccionKg20251078[[#This Row],[Proyección kilogramos 2025 Cortopunzantes]]+ProyeccionKg20251078[[#This Row],[Proyección kilogramos 2025 Animales]]+ProyeccionKg20251078[[#This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+ProyeccionKg20251078[[#This Row],[Proyección kilogramos 2025 Biosanitario  ]]+ProyeccionKg20251078[[#This Row],[Proyección kilogramos 2025 Cortopunzantes]]+ProyeccionKg20251078[[#This Row],[Proyección kilogramos 2025 Animales]]+ProyeccionKg20251078[[#This Row],[Proyección kilogramos 2025 Quimicos]]</f>
        <v>0</v>
      </c>
    </row>
    <row r="27" spans="2:15" ht="18">
      <c r="C27" s="134" t="s">
        <v>326</v>
      </c>
      <c r="D27" s="135">
        <f>SUBTOTAL(109,ProyeccionKg20251078[[Proyección kilogramos 2025 Biosanitario  ]])</f>
        <v>179.69451931716083</v>
      </c>
      <c r="E27" s="135">
        <f>SUBTOTAL(109,ProyeccionKg20251078[Proyección kilogramos 2025 Cortopunzantes])</f>
        <v>179.69451931716083</v>
      </c>
      <c r="F27" s="135">
        <f>SUBTOTAL(109,ProyeccionKg20251078[Proyección kilogramos 2025 Animales])</f>
        <v>179.69451931716083</v>
      </c>
      <c r="G27" s="136">
        <f>SUBTOTAL(109,ProyeccionKg20251078[Proyección kilogramos 2025 Quimicos])</f>
        <v>179.69451931716083</v>
      </c>
      <c r="H27" s="135">
        <f>SUBTOTAL(109,ProyeccionKg20251078[[TOTAL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673CC-6530-4D4E-8D78-00E540C9C08D}">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AVERAGE(COTIZACIONES2025280[[#This Row],[EDEPSA 
Valor Kg Biosanitario  ]],COTIZACIONES2025280[[#This Row],[
Valor Kg Biosanitario ]],COTIZACIONES2025280[[#This Row],[HISTORICO
2024 + IPC 2025 (3%)Biosanitario]])</f>
        <v>6678</v>
      </c>
      <c r="Q4" s="191">
        <f>AVERAGE(COTIZACIONES2025280[[#This Row],[EDEPSA 
Valor Kg Cortopunzantes]],COTIZACIONES2025280[[#This Row],[ 
Valor Kg Cortopunzantes]],COTIZACIONES2025280[[#This Row],[HISTORICO
2024  + IPC 2025 (3%) 
Cortopunzantes]])</f>
        <v>6678</v>
      </c>
      <c r="R4" s="191">
        <f>AVERAGE(COTIZACIONES2025280[[#This Row],[EDEPSA 
Valor Kg Animales]],COTIZACIONES2025280[[#This Row],[
Valor Kg Animales]],COTIZACIONES2025280[[#This Row],[HISTORICO
2024  + IPC 2025 (3%)Animales]])</f>
        <v>6678</v>
      </c>
      <c r="S4" s="193">
        <f>AVERAGE(COTIZACIONES2025280[[#This Row],[EDEPSA 
Valor Kg Quimicos]],COTIZACIONES2025280[[#This Row],[
Valor Kg Quimicos]],COTIZACIONES2025280[[#This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AVERAGE(COTIZACIONES2025280[[#This Row],[EDEPSA 
Valor Kg Biosanitario  ]],COTIZACIONES2025280[[#This Row],[
Valor Kg Biosanitario ]],COTIZACIONES2025280[[#This Row],[HISTORICO
2024 + IPC 2025 (3%)Biosanitario]])</f>
        <v>6678</v>
      </c>
      <c r="Q5" s="54">
        <f>AVERAGE(COTIZACIONES2025280[[#This Row],[EDEPSA 
Valor Kg Cortopunzantes]],COTIZACIONES2025280[[#This Row],[ 
Valor Kg Cortopunzantes]],COTIZACIONES2025280[[#This Row],[HISTORICO
2024  + IPC 2025 (3%) 
Cortopunzantes]])</f>
        <v>6678</v>
      </c>
      <c r="R5" s="54">
        <f>AVERAGE(COTIZACIONES2025280[[#This Row],[EDEPSA 
Valor Kg Animales]],COTIZACIONES2025280[[#This Row],[
Valor Kg Animales]],COTIZACIONES2025280[[#This Row],[HISTORICO
2024  + IPC 2025 (3%)Animales]])</f>
        <v>6678</v>
      </c>
      <c r="S5" s="194">
        <f>AVERAGE(COTIZACIONES2025280[[#This Row],[EDEPSA 
Valor Kg Quimicos]],COTIZACIONES2025280[[#This Row],[
Valor Kg Quimicos]],COTIZACIONES2025280[[#This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AVERAGE(COTIZACIONES2025280[[#This Row],[EDEPSA 
Valor Kg Biosanitario  ]],COTIZACIONES2025280[[#This Row],[
Valor Kg Biosanitario ]],COTIZACIONES2025280[[#This Row],[HISTORICO
2024 + IPC 2025 (3%)Biosanitario]])</f>
        <v>6678</v>
      </c>
      <c r="Q6" s="54">
        <f>AVERAGE(COTIZACIONES2025280[[#This Row],[EDEPSA 
Valor Kg Cortopunzantes]],COTIZACIONES2025280[[#This Row],[ 
Valor Kg Cortopunzantes]],COTIZACIONES2025280[[#This Row],[HISTORICO
2024  + IPC 2025 (3%) 
Cortopunzantes]])</f>
        <v>6678</v>
      </c>
      <c r="R6" s="54">
        <f>AVERAGE(COTIZACIONES2025280[[#This Row],[EDEPSA 
Valor Kg Animales]],COTIZACIONES2025280[[#This Row],[
Valor Kg Animales]],COTIZACIONES2025280[[#This Row],[HISTORICO
2024  + IPC 2025 (3%)Animales]])</f>
        <v>6678</v>
      </c>
      <c r="S6" s="194">
        <f>AVERAGE(COTIZACIONES2025280[[#This Row],[EDEPSA 
Valor Kg Quimicos]],COTIZACIONES2025280[[#This Row],[
Valor Kg Quimicos]],COTIZACIONES2025280[[#This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AVERAGE(COTIZACIONES2025280[[#This Row],[EDEPSA 
Valor Kg Biosanitario  ]],COTIZACIONES2025280[[#This Row],[
Valor Kg Biosanitario ]],COTIZACIONES2025280[[#This Row],[HISTORICO
2024 + IPC 2025 (3%)Biosanitario]])</f>
        <v>6678</v>
      </c>
      <c r="Q7" s="54">
        <f>AVERAGE(COTIZACIONES2025280[[#This Row],[EDEPSA 
Valor Kg Cortopunzantes]],COTIZACIONES2025280[[#This Row],[ 
Valor Kg Cortopunzantes]],COTIZACIONES2025280[[#This Row],[HISTORICO
2024  + IPC 2025 (3%) 
Cortopunzantes]])</f>
        <v>6678</v>
      </c>
      <c r="R7" s="54">
        <f>AVERAGE(COTIZACIONES2025280[[#This Row],[EDEPSA 
Valor Kg Animales]],COTIZACIONES2025280[[#This Row],[
Valor Kg Animales]],COTIZACIONES2025280[[#This Row],[HISTORICO
2024  + IPC 2025 (3%)Animales]])</f>
        <v>6678</v>
      </c>
      <c r="S7" s="194">
        <f>AVERAGE(COTIZACIONES2025280[[#This Row],[EDEPSA 
Valor Kg Quimicos]],COTIZACIONES2025280[[#This Row],[
Valor Kg Quimicos]],COTIZACIONES2025280[[#This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AVERAGE(COTIZACIONES2025280[[#This Row],[EDEPSA 
Valor Kg Biosanitario  ]],COTIZACIONES2025280[[#This Row],[
Valor Kg Biosanitario ]],COTIZACIONES2025280[[#This Row],[HISTORICO
2024 + IPC 2025 (3%)Biosanitario]])</f>
        <v>6678</v>
      </c>
      <c r="Q8" s="195">
        <f>AVERAGE(COTIZACIONES2025280[[#This Row],[EDEPSA 
Valor Kg Cortopunzantes]],COTIZACIONES2025280[[#This Row],[ 
Valor Kg Cortopunzantes]],COTIZACIONES2025280[[#This Row],[HISTORICO
2024  + IPC 2025 (3%) 
Cortopunzantes]])</f>
        <v>6678</v>
      </c>
      <c r="R8" s="195">
        <f>AVERAGE(COTIZACIONES2025280[[#This Row],[EDEPSA 
Valor Kg Animales]],COTIZACIONES2025280[[#This Row],[
Valor Kg Animales]],COTIZACIONES2025280[[#This Row],[HISTORICO
2024  + IPC 2025 (3%)Animales]])</f>
        <v>6678</v>
      </c>
      <c r="S8" s="198">
        <f>AVERAGE(COTIZACIONES2025280[[#This Row],[EDEPSA 
Valor Kg Quimicos]],COTIZACIONES2025280[[#This Row],[
Valor Kg Quimicos]],COTIZACIONES2025280[[#This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+PRESUPUSTO_2025481[[#This Row],[PRESUPUESTO 2025]]/4</f>
        <v>1200000</v>
      </c>
      <c r="F13" s="251" t="s">
        <v>340</v>
      </c>
      <c r="G13" s="190" t="s">
        <v>341</v>
      </c>
      <c r="H13" s="206">
        <f>+PRESUPUSTO_2025481[[#This Row],[Columna1]]</f>
        <v>1200000</v>
      </c>
      <c r="I13" s="206">
        <f>+PRESUPUSTO_2025481[[#This Row],[Columna1]]</f>
        <v>1200000</v>
      </c>
      <c r="J13" s="206">
        <f>+PRESUPUSTO_2025481[[#This Row],[Columna1]]</f>
        <v>1200000</v>
      </c>
      <c r="K13" s="207">
        <f>+PRESUPUSTO_2025481[[#This Row],[Columna1]]</f>
        <v>1200000</v>
      </c>
      <c r="O13" s="63"/>
    </row>
    <row r="14" spans="2:19">
      <c r="B14" s="252"/>
      <c r="C14" s="53" t="s">
        <v>2</v>
      </c>
      <c r="D14" s="200"/>
      <c r="E14" s="147">
        <f>+PRESUPUSTO_2025481[[#This Row],[PRESUPUESTO 2025]]/4</f>
        <v>0</v>
      </c>
      <c r="F14" s="252"/>
      <c r="G14" s="53" t="s">
        <v>2</v>
      </c>
      <c r="H14" s="97">
        <f>+PRESUPUSTO_2025481[[#This Row],[Columna1]]</f>
        <v>0</v>
      </c>
      <c r="I14" s="97">
        <f>+PRESUPUSTO_2025481[[#This Row],[Columna1]]</f>
        <v>0</v>
      </c>
      <c r="J14" s="97">
        <f>+PRESUPUSTO_2025481[[#This Row],[Columna1]]</f>
        <v>0</v>
      </c>
      <c r="K14" s="139">
        <f>+PRESUPUSTO_2025481[[#This Row],[Columna1]]</f>
        <v>0</v>
      </c>
      <c r="O14" s="63"/>
    </row>
    <row r="15" spans="2:19">
      <c r="B15" s="252"/>
      <c r="C15" s="53" t="s">
        <v>239</v>
      </c>
      <c r="D15" s="200"/>
      <c r="E15" s="147">
        <f>+PRESUPUSTO_2025481[[#This Row],[PRESUPUESTO 2025]]/3</f>
        <v>0</v>
      </c>
      <c r="F15" s="252"/>
      <c r="G15" s="53" t="s">
        <v>239</v>
      </c>
      <c r="H15" s="97">
        <f>+PRESUPUSTO_2025481[[#This Row],[Columna1]]</f>
        <v>0</v>
      </c>
      <c r="I15" s="97">
        <f>+PRESUPUSTO_2025481[[#This Row],[Columna1]]</f>
        <v>0</v>
      </c>
      <c r="J15" s="97">
        <v>0</v>
      </c>
      <c r="K15" s="139">
        <f>+PRESUPUSTO_2025481[[#This Row],[Columna1]]</f>
        <v>0</v>
      </c>
      <c r="O15" s="63"/>
    </row>
    <row r="16" spans="2:19">
      <c r="B16" s="252"/>
      <c r="C16" s="53" t="s">
        <v>240</v>
      </c>
      <c r="D16" s="200"/>
      <c r="E16" s="147">
        <f>+PRESUPUSTO_2025481[[#This Row],[PRESUPUESTO 2025]]/3</f>
        <v>0</v>
      </c>
      <c r="F16" s="252"/>
      <c r="G16" s="53" t="s">
        <v>240</v>
      </c>
      <c r="H16" s="97">
        <f>+PRESUPUSTO_2025481[[#This Row],[Columna1]]</f>
        <v>0</v>
      </c>
      <c r="I16" s="97">
        <f>+PRESUPUSTO_2025481[[#This Row],[Columna1]]</f>
        <v>0</v>
      </c>
      <c r="J16" s="97">
        <v>0</v>
      </c>
      <c r="K16" s="139">
        <f>+PRESUPUSTO_2025481[[#This Row],[Columna1]]</f>
        <v>0</v>
      </c>
      <c r="O16" s="63"/>
    </row>
    <row r="17" spans="2:15" ht="15.75" thickBot="1">
      <c r="B17" s="253"/>
      <c r="C17" s="133" t="s">
        <v>241</v>
      </c>
      <c r="D17" s="201"/>
      <c r="E17" s="147">
        <f>+PRESUPUSTO_2025481[[#This Row],[PRESUPUESTO 2025]]/3</f>
        <v>0</v>
      </c>
      <c r="F17" s="253"/>
      <c r="G17" s="133" t="s">
        <v>241</v>
      </c>
      <c r="H17" s="140">
        <f>+PRESUPUSTO_2025481[[#This Row],[Columna1]]</f>
        <v>0</v>
      </c>
      <c r="I17" s="140">
        <f>+PRESUPUSTO_2025481[[#This Row],[Columna1]]</f>
        <v>0</v>
      </c>
      <c r="J17" s="140">
        <v>0</v>
      </c>
      <c r="K17" s="141">
        <f>+PRESUPUSTO_2025481[[#This Row],[Columna1]]</f>
        <v>0</v>
      </c>
      <c r="O17" s="63"/>
    </row>
    <row r="18" spans="2:15" ht="21" thickBot="1">
      <c r="C18" s="208" t="s">
        <v>326</v>
      </c>
      <c r="D18" s="209">
        <f>SUBTOTAL(109,PRESUPUSTO_2025481[PRESUPUESTO 2025])</f>
        <v>4800000</v>
      </c>
      <c r="E18" s="147">
        <f>SUBTOTAL(109,PRESUPUSTO_2025481[Columna1])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+ProyeccionKg20251082[[#This Row],[Proyección kilogramos 2025 Biosanitario  ]]+ProyeccionKg20251082[[#This Row],[Proyección kilogramos 2025 Cortopunzantes]]+ProyeccionKg20251082[[#This Row],[Proyección kilogramos 2025 Animales]]+ProyeccionKg20251082[[#This Row],[Proyección kilogramos 2025 Quimicos]]</f>
        <v>718.7780772686433</v>
      </c>
    </row>
    <row r="23" spans="2:15">
      <c r="B23" s="252"/>
      <c r="C23" s="53" t="s">
        <v>2</v>
      </c>
      <c r="D23" s="98">
        <f t="shared" si="0"/>
        <v>0</v>
      </c>
      <c r="E23" s="98">
        <f t="shared" si="0"/>
        <v>0</v>
      </c>
      <c r="F23" s="98">
        <f t="shared" si="0"/>
        <v>0</v>
      </c>
      <c r="G23" s="98">
        <f t="shared" si="0"/>
        <v>0</v>
      </c>
      <c r="H23" s="183">
        <f>+ProyeccionKg20251082[[#This Row],[Proyección kilogramos 2025 Biosanitario  ]]+ProyeccionKg20251082[[#This Row],[Proyección kilogramos 2025 Cortopunzantes]]+ProyeccionKg20251082[[#This Row],[Proyección kilogramos 2025 Animales]]+ProyeccionKg20251082[[#This Row],[Proyección kilogramos 2025 Quimicos]]</f>
        <v>0</v>
      </c>
    </row>
    <row r="24" spans="2:15">
      <c r="B24" s="252"/>
      <c r="C24" s="53" t="s">
        <v>239</v>
      </c>
      <c r="D24" s="98">
        <f t="shared" si="0"/>
        <v>0</v>
      </c>
      <c r="E24" s="98">
        <f t="shared" si="0"/>
        <v>0</v>
      </c>
      <c r="F24" s="98">
        <f t="shared" si="0"/>
        <v>0</v>
      </c>
      <c r="G24" s="98">
        <f t="shared" si="0"/>
        <v>0</v>
      </c>
      <c r="H24" s="183">
        <f>+ProyeccionKg20251082[[#This Row],[Proyección kilogramos 2025 Biosanitario  ]]+ProyeccionKg20251082[[#This Row],[Proyección kilogramos 2025 Cortopunzantes]]+ProyeccionKg20251082[[#This Row],[Proyección kilogramos 2025 Animales]]+ProyeccionKg20251082[[#This Row],[Proyección kilogramos 2025 Quimicos]]</f>
        <v>0</v>
      </c>
    </row>
    <row r="25" spans="2:15">
      <c r="B25" s="252"/>
      <c r="C25" s="53" t="s">
        <v>240</v>
      </c>
      <c r="D25" s="98">
        <f t="shared" si="0"/>
        <v>0</v>
      </c>
      <c r="E25" s="98">
        <f t="shared" si="0"/>
        <v>0</v>
      </c>
      <c r="F25" s="98">
        <f t="shared" si="0"/>
        <v>0</v>
      </c>
      <c r="G25" s="98">
        <f t="shared" si="0"/>
        <v>0</v>
      </c>
      <c r="H25" s="183">
        <f>+ProyeccionKg20251082[[#This Row],[Proyección kilogramos 2025 Biosanitario  ]]+ProyeccionKg20251082[[#This Row],[Proyección kilogramos 2025 Cortopunzantes]]+ProyeccionKg20251082[[#This Row],[Proyección kilogramos 2025 Animales]]+ProyeccionKg20251082[[#This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+ProyeccionKg20251082[[#This Row],[Proyección kilogramos 2025 Biosanitario  ]]+ProyeccionKg20251082[[#This Row],[Proyección kilogramos 2025 Cortopunzantes]]+ProyeccionKg20251082[[#This Row],[Proyección kilogramos 2025 Animales]]+ProyeccionKg20251082[[#This Row],[Proyección kilogramos 2025 Quimicos]]</f>
        <v>0</v>
      </c>
    </row>
    <row r="27" spans="2:15" ht="18">
      <c r="C27" s="134" t="s">
        <v>326</v>
      </c>
      <c r="D27" s="135">
        <f>SUBTOTAL(109,ProyeccionKg20251082[[Proyección kilogramos 2025 Biosanitario  ]])</f>
        <v>179.69451931716083</v>
      </c>
      <c r="E27" s="135">
        <f>SUBTOTAL(109,ProyeccionKg20251082[Proyección kilogramos 2025 Cortopunzantes])</f>
        <v>179.69451931716083</v>
      </c>
      <c r="F27" s="135">
        <f>SUBTOTAL(109,ProyeccionKg20251082[Proyección kilogramos 2025 Animales])</f>
        <v>179.69451931716083</v>
      </c>
      <c r="G27" s="136">
        <f>SUBTOTAL(109,ProyeccionKg20251082[Proyección kilogramos 2025 Quimicos])</f>
        <v>179.69451931716083</v>
      </c>
      <c r="H27" s="135">
        <f>SUBTOTAL(109,ProyeccionKg20251082[[TOTAL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AEBC6-AD31-48BB-ACA3-255E9D56727C}">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AVERAGE(COTIZACIONES2025284[[#This Row],[EDEPSA 
Valor Kg Biosanitario  ]],COTIZACIONES2025284[[#This Row],[
Valor Kg Biosanitario ]],COTIZACIONES2025284[[#This Row],[HISTORICO
2024 + IPC 2025 (3%)Biosanitario]])</f>
        <v>6678</v>
      </c>
      <c r="Q4" s="191">
        <f>AVERAGE(COTIZACIONES2025284[[#This Row],[EDEPSA 
Valor Kg Cortopunzantes]],COTIZACIONES2025284[[#This Row],[ 
Valor Kg Cortopunzantes]],COTIZACIONES2025284[[#This Row],[HISTORICO
2024  + IPC 2025 (3%) 
Cortopunzantes]])</f>
        <v>6678</v>
      </c>
      <c r="R4" s="191">
        <f>AVERAGE(COTIZACIONES2025284[[#This Row],[EDEPSA 
Valor Kg Animales]],COTIZACIONES2025284[[#This Row],[
Valor Kg Animales]],COTIZACIONES2025284[[#This Row],[HISTORICO
2024  + IPC 2025 (3%)Animales]])</f>
        <v>6678</v>
      </c>
      <c r="S4" s="193">
        <f>AVERAGE(COTIZACIONES2025284[[#This Row],[EDEPSA 
Valor Kg Quimicos]],COTIZACIONES2025284[[#This Row],[
Valor Kg Quimicos]],COTIZACIONES2025284[[#This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AVERAGE(COTIZACIONES2025284[[#This Row],[EDEPSA 
Valor Kg Biosanitario  ]],COTIZACIONES2025284[[#This Row],[
Valor Kg Biosanitario ]],COTIZACIONES2025284[[#This Row],[HISTORICO
2024 + IPC 2025 (3%)Biosanitario]])</f>
        <v>6678</v>
      </c>
      <c r="Q5" s="54">
        <f>AVERAGE(COTIZACIONES2025284[[#This Row],[EDEPSA 
Valor Kg Cortopunzantes]],COTIZACIONES2025284[[#This Row],[ 
Valor Kg Cortopunzantes]],COTIZACIONES2025284[[#This Row],[HISTORICO
2024  + IPC 2025 (3%) 
Cortopunzantes]])</f>
        <v>6678</v>
      </c>
      <c r="R5" s="54">
        <f>AVERAGE(COTIZACIONES2025284[[#This Row],[EDEPSA 
Valor Kg Animales]],COTIZACIONES2025284[[#This Row],[
Valor Kg Animales]],COTIZACIONES2025284[[#This Row],[HISTORICO
2024  + IPC 2025 (3%)Animales]])</f>
        <v>6678</v>
      </c>
      <c r="S5" s="194">
        <f>AVERAGE(COTIZACIONES2025284[[#This Row],[EDEPSA 
Valor Kg Quimicos]],COTIZACIONES2025284[[#This Row],[
Valor Kg Quimicos]],COTIZACIONES2025284[[#This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AVERAGE(COTIZACIONES2025284[[#This Row],[EDEPSA 
Valor Kg Biosanitario  ]],COTIZACIONES2025284[[#This Row],[
Valor Kg Biosanitario ]],COTIZACIONES2025284[[#This Row],[HISTORICO
2024 + IPC 2025 (3%)Biosanitario]])</f>
        <v>6678</v>
      </c>
      <c r="Q6" s="54">
        <f>AVERAGE(COTIZACIONES2025284[[#This Row],[EDEPSA 
Valor Kg Cortopunzantes]],COTIZACIONES2025284[[#This Row],[ 
Valor Kg Cortopunzantes]],COTIZACIONES2025284[[#This Row],[HISTORICO
2024  + IPC 2025 (3%) 
Cortopunzantes]])</f>
        <v>6678</v>
      </c>
      <c r="R6" s="54">
        <f>AVERAGE(COTIZACIONES2025284[[#This Row],[EDEPSA 
Valor Kg Animales]],COTIZACIONES2025284[[#This Row],[
Valor Kg Animales]],COTIZACIONES2025284[[#This Row],[HISTORICO
2024  + IPC 2025 (3%)Animales]])</f>
        <v>6678</v>
      </c>
      <c r="S6" s="194">
        <f>AVERAGE(COTIZACIONES2025284[[#This Row],[EDEPSA 
Valor Kg Quimicos]],COTIZACIONES2025284[[#This Row],[
Valor Kg Quimicos]],COTIZACIONES2025284[[#This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AVERAGE(COTIZACIONES2025284[[#This Row],[EDEPSA 
Valor Kg Biosanitario  ]],COTIZACIONES2025284[[#This Row],[
Valor Kg Biosanitario ]],COTIZACIONES2025284[[#This Row],[HISTORICO
2024 + IPC 2025 (3%)Biosanitario]])</f>
        <v>6678</v>
      </c>
      <c r="Q7" s="54">
        <f>AVERAGE(COTIZACIONES2025284[[#This Row],[EDEPSA 
Valor Kg Cortopunzantes]],COTIZACIONES2025284[[#This Row],[ 
Valor Kg Cortopunzantes]],COTIZACIONES2025284[[#This Row],[HISTORICO
2024  + IPC 2025 (3%) 
Cortopunzantes]])</f>
        <v>6678</v>
      </c>
      <c r="R7" s="54">
        <f>AVERAGE(COTIZACIONES2025284[[#This Row],[EDEPSA 
Valor Kg Animales]],COTIZACIONES2025284[[#This Row],[
Valor Kg Animales]],COTIZACIONES2025284[[#This Row],[HISTORICO
2024  + IPC 2025 (3%)Animales]])</f>
        <v>6678</v>
      </c>
      <c r="S7" s="194">
        <f>AVERAGE(COTIZACIONES2025284[[#This Row],[EDEPSA 
Valor Kg Quimicos]],COTIZACIONES2025284[[#This Row],[
Valor Kg Quimicos]],COTIZACIONES2025284[[#This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AVERAGE(COTIZACIONES2025284[[#This Row],[EDEPSA 
Valor Kg Biosanitario  ]],COTIZACIONES2025284[[#This Row],[
Valor Kg Biosanitario ]],COTIZACIONES2025284[[#This Row],[HISTORICO
2024 + IPC 2025 (3%)Biosanitario]])</f>
        <v>6678</v>
      </c>
      <c r="Q8" s="195">
        <f>AVERAGE(COTIZACIONES2025284[[#This Row],[EDEPSA 
Valor Kg Cortopunzantes]],COTIZACIONES2025284[[#This Row],[ 
Valor Kg Cortopunzantes]],COTIZACIONES2025284[[#This Row],[HISTORICO
2024  + IPC 2025 (3%) 
Cortopunzantes]])</f>
        <v>6678</v>
      </c>
      <c r="R8" s="195">
        <f>AVERAGE(COTIZACIONES2025284[[#This Row],[EDEPSA 
Valor Kg Animales]],COTIZACIONES2025284[[#This Row],[
Valor Kg Animales]],COTIZACIONES2025284[[#This Row],[HISTORICO
2024  + IPC 2025 (3%)Animales]])</f>
        <v>6678</v>
      </c>
      <c r="S8" s="198">
        <f>AVERAGE(COTIZACIONES2025284[[#This Row],[EDEPSA 
Valor Kg Quimicos]],COTIZACIONES2025284[[#This Row],[
Valor Kg Quimicos]],COTIZACIONES2025284[[#This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+PRESUPUSTO_2025485[[#This Row],[PRESUPUESTO 2025]]/4</f>
        <v>1200000</v>
      </c>
      <c r="F13" s="251" t="s">
        <v>340</v>
      </c>
      <c r="G13" s="190" t="s">
        <v>341</v>
      </c>
      <c r="H13" s="206">
        <f>+PRESUPUSTO_2025485[[#This Row],[Columna1]]</f>
        <v>1200000</v>
      </c>
      <c r="I13" s="206">
        <f>+PRESUPUSTO_2025485[[#This Row],[Columna1]]</f>
        <v>1200000</v>
      </c>
      <c r="J13" s="206">
        <f>+PRESUPUSTO_2025485[[#This Row],[Columna1]]</f>
        <v>1200000</v>
      </c>
      <c r="K13" s="207">
        <f>+PRESUPUSTO_2025485[[#This Row],[Columna1]]</f>
        <v>1200000</v>
      </c>
      <c r="O13" s="63"/>
    </row>
    <row r="14" spans="2:19">
      <c r="B14" s="252"/>
      <c r="C14" s="53" t="s">
        <v>2</v>
      </c>
      <c r="D14" s="200"/>
      <c r="E14" s="147">
        <f>+PRESUPUSTO_2025485[[#This Row],[PRESUPUESTO 2025]]/4</f>
        <v>0</v>
      </c>
      <c r="F14" s="252"/>
      <c r="G14" s="53" t="s">
        <v>2</v>
      </c>
      <c r="H14" s="97">
        <f>+PRESUPUSTO_2025485[[#This Row],[Columna1]]</f>
        <v>0</v>
      </c>
      <c r="I14" s="97">
        <f>+PRESUPUSTO_2025485[[#This Row],[Columna1]]</f>
        <v>0</v>
      </c>
      <c r="J14" s="97">
        <f>+PRESUPUSTO_2025485[[#This Row],[Columna1]]</f>
        <v>0</v>
      </c>
      <c r="K14" s="139">
        <f>+PRESUPUSTO_2025485[[#This Row],[Columna1]]</f>
        <v>0</v>
      </c>
      <c r="O14" s="63"/>
    </row>
    <row r="15" spans="2:19">
      <c r="B15" s="252"/>
      <c r="C15" s="53" t="s">
        <v>239</v>
      </c>
      <c r="D15" s="200"/>
      <c r="E15" s="147">
        <f>+PRESUPUSTO_2025485[[#This Row],[PRESUPUESTO 2025]]/3</f>
        <v>0</v>
      </c>
      <c r="F15" s="252"/>
      <c r="G15" s="53" t="s">
        <v>239</v>
      </c>
      <c r="H15" s="97">
        <f>+PRESUPUSTO_2025485[[#This Row],[Columna1]]</f>
        <v>0</v>
      </c>
      <c r="I15" s="97">
        <f>+PRESUPUSTO_2025485[[#This Row],[Columna1]]</f>
        <v>0</v>
      </c>
      <c r="J15" s="97">
        <v>0</v>
      </c>
      <c r="K15" s="139">
        <f>+PRESUPUSTO_2025485[[#This Row],[Columna1]]</f>
        <v>0</v>
      </c>
      <c r="O15" s="63"/>
    </row>
    <row r="16" spans="2:19">
      <c r="B16" s="252"/>
      <c r="C16" s="53" t="s">
        <v>240</v>
      </c>
      <c r="D16" s="200"/>
      <c r="E16" s="147">
        <f>+PRESUPUSTO_2025485[[#This Row],[PRESUPUESTO 2025]]/3</f>
        <v>0</v>
      </c>
      <c r="F16" s="252"/>
      <c r="G16" s="53" t="s">
        <v>240</v>
      </c>
      <c r="H16" s="97">
        <f>+PRESUPUSTO_2025485[[#This Row],[Columna1]]</f>
        <v>0</v>
      </c>
      <c r="I16" s="97">
        <f>+PRESUPUSTO_2025485[[#This Row],[Columna1]]</f>
        <v>0</v>
      </c>
      <c r="J16" s="97">
        <v>0</v>
      </c>
      <c r="K16" s="139">
        <f>+PRESUPUSTO_2025485[[#This Row],[Columna1]]</f>
        <v>0</v>
      </c>
      <c r="O16" s="63"/>
    </row>
    <row r="17" spans="2:15" ht="15.75" thickBot="1">
      <c r="B17" s="253"/>
      <c r="C17" s="133" t="s">
        <v>241</v>
      </c>
      <c r="D17" s="201"/>
      <c r="E17" s="147">
        <f>+PRESUPUSTO_2025485[[#This Row],[PRESUPUESTO 2025]]/3</f>
        <v>0</v>
      </c>
      <c r="F17" s="253"/>
      <c r="G17" s="133" t="s">
        <v>241</v>
      </c>
      <c r="H17" s="140">
        <f>+PRESUPUSTO_2025485[[#This Row],[Columna1]]</f>
        <v>0</v>
      </c>
      <c r="I17" s="140">
        <f>+PRESUPUSTO_2025485[[#This Row],[Columna1]]</f>
        <v>0</v>
      </c>
      <c r="J17" s="140">
        <v>0</v>
      </c>
      <c r="K17" s="141">
        <f>+PRESUPUSTO_2025485[[#This Row],[Columna1]]</f>
        <v>0</v>
      </c>
      <c r="O17" s="63"/>
    </row>
    <row r="18" spans="2:15" ht="21" thickBot="1">
      <c r="C18" s="208" t="s">
        <v>326</v>
      </c>
      <c r="D18" s="209">
        <f>SUBTOTAL(109,PRESUPUSTO_2025485[PRESUPUESTO 2025])</f>
        <v>4800000</v>
      </c>
      <c r="E18" s="147">
        <f>SUBTOTAL(109,PRESUPUSTO_2025485[Columna1])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+ProyeccionKg20251086[[#This Row],[Proyección kilogramos 2025 Biosanitario  ]]+ProyeccionKg20251086[[#This Row],[Proyección kilogramos 2025 Cortopunzantes]]+ProyeccionKg20251086[[#This Row],[Proyección kilogramos 2025 Animales]]+ProyeccionKg20251086[[#This Row],[Proyección kilogramos 2025 Quimicos]]</f>
        <v>718.7780772686433</v>
      </c>
    </row>
    <row r="23" spans="2:15">
      <c r="B23" s="252"/>
      <c r="C23" s="53" t="s">
        <v>2</v>
      </c>
      <c r="D23" s="98">
        <f t="shared" si="0"/>
        <v>0</v>
      </c>
      <c r="E23" s="98">
        <f t="shared" si="0"/>
        <v>0</v>
      </c>
      <c r="F23" s="98">
        <f t="shared" si="0"/>
        <v>0</v>
      </c>
      <c r="G23" s="98">
        <f t="shared" si="0"/>
        <v>0</v>
      </c>
      <c r="H23" s="183">
        <f>+ProyeccionKg20251086[[#This Row],[Proyección kilogramos 2025 Biosanitario  ]]+ProyeccionKg20251086[[#This Row],[Proyección kilogramos 2025 Cortopunzantes]]+ProyeccionKg20251086[[#This Row],[Proyección kilogramos 2025 Animales]]+ProyeccionKg20251086[[#This Row],[Proyección kilogramos 2025 Quimicos]]</f>
        <v>0</v>
      </c>
    </row>
    <row r="24" spans="2:15">
      <c r="B24" s="252"/>
      <c r="C24" s="53" t="s">
        <v>239</v>
      </c>
      <c r="D24" s="98">
        <f t="shared" si="0"/>
        <v>0</v>
      </c>
      <c r="E24" s="98">
        <f t="shared" si="0"/>
        <v>0</v>
      </c>
      <c r="F24" s="98">
        <f t="shared" si="0"/>
        <v>0</v>
      </c>
      <c r="G24" s="98">
        <f t="shared" si="0"/>
        <v>0</v>
      </c>
      <c r="H24" s="183">
        <f>+ProyeccionKg20251086[[#This Row],[Proyección kilogramos 2025 Biosanitario  ]]+ProyeccionKg20251086[[#This Row],[Proyección kilogramos 2025 Cortopunzantes]]+ProyeccionKg20251086[[#This Row],[Proyección kilogramos 2025 Animales]]+ProyeccionKg20251086[[#This Row],[Proyección kilogramos 2025 Quimicos]]</f>
        <v>0</v>
      </c>
    </row>
    <row r="25" spans="2:15">
      <c r="B25" s="252"/>
      <c r="C25" s="53" t="s">
        <v>240</v>
      </c>
      <c r="D25" s="98">
        <f t="shared" si="0"/>
        <v>0</v>
      </c>
      <c r="E25" s="98">
        <f t="shared" si="0"/>
        <v>0</v>
      </c>
      <c r="F25" s="98">
        <f t="shared" si="0"/>
        <v>0</v>
      </c>
      <c r="G25" s="98">
        <f t="shared" si="0"/>
        <v>0</v>
      </c>
      <c r="H25" s="183">
        <f>+ProyeccionKg20251086[[#This Row],[Proyección kilogramos 2025 Biosanitario  ]]+ProyeccionKg20251086[[#This Row],[Proyección kilogramos 2025 Cortopunzantes]]+ProyeccionKg20251086[[#This Row],[Proyección kilogramos 2025 Animales]]+ProyeccionKg20251086[[#This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+ProyeccionKg20251086[[#This Row],[Proyección kilogramos 2025 Biosanitario  ]]+ProyeccionKg20251086[[#This Row],[Proyección kilogramos 2025 Cortopunzantes]]+ProyeccionKg20251086[[#This Row],[Proyección kilogramos 2025 Animales]]+ProyeccionKg20251086[[#This Row],[Proyección kilogramos 2025 Quimicos]]</f>
        <v>0</v>
      </c>
    </row>
    <row r="27" spans="2:15" ht="18">
      <c r="C27" s="134" t="s">
        <v>326</v>
      </c>
      <c r="D27" s="135">
        <f>SUBTOTAL(109,ProyeccionKg20251086[[Proyección kilogramos 2025 Biosanitario  ]])</f>
        <v>179.69451931716083</v>
      </c>
      <c r="E27" s="135">
        <f>SUBTOTAL(109,ProyeccionKg20251086[Proyección kilogramos 2025 Cortopunzantes])</f>
        <v>179.69451931716083</v>
      </c>
      <c r="F27" s="135">
        <f>SUBTOTAL(109,ProyeccionKg20251086[Proyección kilogramos 2025 Animales])</f>
        <v>179.69451931716083</v>
      </c>
      <c r="G27" s="136">
        <f>SUBTOTAL(109,ProyeccionKg20251086[Proyección kilogramos 2025 Quimicos])</f>
        <v>179.69451931716083</v>
      </c>
      <c r="H27" s="135">
        <f>SUBTOTAL(109,ProyeccionKg20251086[[TOTAL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62B62-35D7-43EE-8672-F15D0989EA21}">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AVERAGE(COTIZACIONES2025288[[#This Row],[EDEPSA 
Valor Kg Biosanitario  ]],COTIZACIONES2025288[[#This Row],[
Valor Kg Biosanitario ]],COTIZACIONES2025288[[#This Row],[HISTORICO
2024 + IPC 2025 (3%)Biosanitario]])</f>
        <v>6678</v>
      </c>
      <c r="Q4" s="191">
        <f>AVERAGE(COTIZACIONES2025288[[#This Row],[EDEPSA 
Valor Kg Cortopunzantes]],COTIZACIONES2025288[[#This Row],[ 
Valor Kg Cortopunzantes]],COTIZACIONES2025288[[#This Row],[HISTORICO
2024  + IPC 2025 (3%) 
Cortopunzantes]])</f>
        <v>6678</v>
      </c>
      <c r="R4" s="191">
        <f>AVERAGE(COTIZACIONES2025288[[#This Row],[EDEPSA 
Valor Kg Animales]],COTIZACIONES2025288[[#This Row],[
Valor Kg Animales]],COTIZACIONES2025288[[#This Row],[HISTORICO
2024  + IPC 2025 (3%)Animales]])</f>
        <v>6678</v>
      </c>
      <c r="S4" s="193">
        <f>AVERAGE(COTIZACIONES2025288[[#This Row],[EDEPSA 
Valor Kg Quimicos]],COTIZACIONES2025288[[#This Row],[
Valor Kg Quimicos]],COTIZACIONES2025288[[#This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AVERAGE(COTIZACIONES2025288[[#This Row],[EDEPSA 
Valor Kg Biosanitario  ]],COTIZACIONES2025288[[#This Row],[
Valor Kg Biosanitario ]],COTIZACIONES2025288[[#This Row],[HISTORICO
2024 + IPC 2025 (3%)Biosanitario]])</f>
        <v>6678</v>
      </c>
      <c r="Q5" s="54">
        <f>AVERAGE(COTIZACIONES2025288[[#This Row],[EDEPSA 
Valor Kg Cortopunzantes]],COTIZACIONES2025288[[#This Row],[ 
Valor Kg Cortopunzantes]],COTIZACIONES2025288[[#This Row],[HISTORICO
2024  + IPC 2025 (3%) 
Cortopunzantes]])</f>
        <v>6678</v>
      </c>
      <c r="R5" s="54">
        <f>AVERAGE(COTIZACIONES2025288[[#This Row],[EDEPSA 
Valor Kg Animales]],COTIZACIONES2025288[[#This Row],[
Valor Kg Animales]],COTIZACIONES2025288[[#This Row],[HISTORICO
2024  + IPC 2025 (3%)Animales]])</f>
        <v>6678</v>
      </c>
      <c r="S5" s="194">
        <f>AVERAGE(COTIZACIONES2025288[[#This Row],[EDEPSA 
Valor Kg Quimicos]],COTIZACIONES2025288[[#This Row],[
Valor Kg Quimicos]],COTIZACIONES2025288[[#This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AVERAGE(COTIZACIONES2025288[[#This Row],[EDEPSA 
Valor Kg Biosanitario  ]],COTIZACIONES2025288[[#This Row],[
Valor Kg Biosanitario ]],COTIZACIONES2025288[[#This Row],[HISTORICO
2024 + IPC 2025 (3%)Biosanitario]])</f>
        <v>6678</v>
      </c>
      <c r="Q6" s="54">
        <f>AVERAGE(COTIZACIONES2025288[[#This Row],[EDEPSA 
Valor Kg Cortopunzantes]],COTIZACIONES2025288[[#This Row],[ 
Valor Kg Cortopunzantes]],COTIZACIONES2025288[[#This Row],[HISTORICO
2024  + IPC 2025 (3%) 
Cortopunzantes]])</f>
        <v>6678</v>
      </c>
      <c r="R6" s="54">
        <f>AVERAGE(COTIZACIONES2025288[[#This Row],[EDEPSA 
Valor Kg Animales]],COTIZACIONES2025288[[#This Row],[
Valor Kg Animales]],COTIZACIONES2025288[[#This Row],[HISTORICO
2024  + IPC 2025 (3%)Animales]])</f>
        <v>6678</v>
      </c>
      <c r="S6" s="194">
        <f>AVERAGE(COTIZACIONES2025288[[#This Row],[EDEPSA 
Valor Kg Quimicos]],COTIZACIONES2025288[[#This Row],[
Valor Kg Quimicos]],COTIZACIONES2025288[[#This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AVERAGE(COTIZACIONES2025288[[#This Row],[EDEPSA 
Valor Kg Biosanitario  ]],COTIZACIONES2025288[[#This Row],[
Valor Kg Biosanitario ]],COTIZACIONES2025288[[#This Row],[HISTORICO
2024 + IPC 2025 (3%)Biosanitario]])</f>
        <v>6678</v>
      </c>
      <c r="Q7" s="54">
        <f>AVERAGE(COTIZACIONES2025288[[#This Row],[EDEPSA 
Valor Kg Cortopunzantes]],COTIZACIONES2025288[[#This Row],[ 
Valor Kg Cortopunzantes]],COTIZACIONES2025288[[#This Row],[HISTORICO
2024  + IPC 2025 (3%) 
Cortopunzantes]])</f>
        <v>6678</v>
      </c>
      <c r="R7" s="54">
        <f>AVERAGE(COTIZACIONES2025288[[#This Row],[EDEPSA 
Valor Kg Animales]],COTIZACIONES2025288[[#This Row],[
Valor Kg Animales]],COTIZACIONES2025288[[#This Row],[HISTORICO
2024  + IPC 2025 (3%)Animales]])</f>
        <v>6678</v>
      </c>
      <c r="S7" s="194">
        <f>AVERAGE(COTIZACIONES2025288[[#This Row],[EDEPSA 
Valor Kg Quimicos]],COTIZACIONES2025288[[#This Row],[
Valor Kg Quimicos]],COTIZACIONES2025288[[#This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AVERAGE(COTIZACIONES2025288[[#This Row],[EDEPSA 
Valor Kg Biosanitario  ]],COTIZACIONES2025288[[#This Row],[
Valor Kg Biosanitario ]],COTIZACIONES2025288[[#This Row],[HISTORICO
2024 + IPC 2025 (3%)Biosanitario]])</f>
        <v>6678</v>
      </c>
      <c r="Q8" s="195">
        <f>AVERAGE(COTIZACIONES2025288[[#This Row],[EDEPSA 
Valor Kg Cortopunzantes]],COTIZACIONES2025288[[#This Row],[ 
Valor Kg Cortopunzantes]],COTIZACIONES2025288[[#This Row],[HISTORICO
2024  + IPC 2025 (3%) 
Cortopunzantes]])</f>
        <v>6678</v>
      </c>
      <c r="R8" s="195">
        <f>AVERAGE(COTIZACIONES2025288[[#This Row],[EDEPSA 
Valor Kg Animales]],COTIZACIONES2025288[[#This Row],[
Valor Kg Animales]],COTIZACIONES2025288[[#This Row],[HISTORICO
2024  + IPC 2025 (3%)Animales]])</f>
        <v>6678</v>
      </c>
      <c r="S8" s="198">
        <f>AVERAGE(COTIZACIONES2025288[[#This Row],[EDEPSA 
Valor Kg Quimicos]],COTIZACIONES2025288[[#This Row],[
Valor Kg Quimicos]],COTIZACIONES2025288[[#This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+PRESUPUSTO_2025489[[#This Row],[PRESUPUESTO 2025]]/4</f>
        <v>1200000</v>
      </c>
      <c r="F13" s="251" t="s">
        <v>340</v>
      </c>
      <c r="G13" s="190" t="s">
        <v>341</v>
      </c>
      <c r="H13" s="206">
        <f>+PRESUPUSTO_2025489[[#This Row],[Columna1]]</f>
        <v>1200000</v>
      </c>
      <c r="I13" s="206">
        <f>+PRESUPUSTO_2025489[[#This Row],[Columna1]]</f>
        <v>1200000</v>
      </c>
      <c r="J13" s="206">
        <f>+PRESUPUSTO_2025489[[#This Row],[Columna1]]</f>
        <v>1200000</v>
      </c>
      <c r="K13" s="207">
        <f>+PRESUPUSTO_2025489[[#This Row],[Columna1]]</f>
        <v>1200000</v>
      </c>
      <c r="O13" s="63"/>
    </row>
    <row r="14" spans="2:19">
      <c r="B14" s="252"/>
      <c r="C14" s="53" t="s">
        <v>2</v>
      </c>
      <c r="D14" s="200"/>
      <c r="E14" s="147">
        <f>+PRESUPUSTO_2025489[[#This Row],[PRESUPUESTO 2025]]/4</f>
        <v>0</v>
      </c>
      <c r="F14" s="252"/>
      <c r="G14" s="53" t="s">
        <v>2</v>
      </c>
      <c r="H14" s="97">
        <f>+PRESUPUSTO_2025489[[#This Row],[Columna1]]</f>
        <v>0</v>
      </c>
      <c r="I14" s="97">
        <f>+PRESUPUSTO_2025489[[#This Row],[Columna1]]</f>
        <v>0</v>
      </c>
      <c r="J14" s="97">
        <f>+PRESUPUSTO_2025489[[#This Row],[Columna1]]</f>
        <v>0</v>
      </c>
      <c r="K14" s="139">
        <f>+PRESUPUSTO_2025489[[#This Row],[Columna1]]</f>
        <v>0</v>
      </c>
      <c r="O14" s="63"/>
    </row>
    <row r="15" spans="2:19">
      <c r="B15" s="252"/>
      <c r="C15" s="53" t="s">
        <v>239</v>
      </c>
      <c r="D15" s="200"/>
      <c r="E15" s="147">
        <f>+PRESUPUSTO_2025489[[#This Row],[PRESUPUESTO 2025]]/3</f>
        <v>0</v>
      </c>
      <c r="F15" s="252"/>
      <c r="G15" s="53" t="s">
        <v>239</v>
      </c>
      <c r="H15" s="97">
        <f>+PRESUPUSTO_2025489[[#This Row],[Columna1]]</f>
        <v>0</v>
      </c>
      <c r="I15" s="97">
        <f>+PRESUPUSTO_2025489[[#This Row],[Columna1]]</f>
        <v>0</v>
      </c>
      <c r="J15" s="97">
        <v>0</v>
      </c>
      <c r="K15" s="139">
        <f>+PRESUPUSTO_2025489[[#This Row],[Columna1]]</f>
        <v>0</v>
      </c>
      <c r="O15" s="63"/>
    </row>
    <row r="16" spans="2:19">
      <c r="B16" s="252"/>
      <c r="C16" s="53" t="s">
        <v>240</v>
      </c>
      <c r="D16" s="200"/>
      <c r="E16" s="147">
        <f>+PRESUPUSTO_2025489[[#This Row],[PRESUPUESTO 2025]]/3</f>
        <v>0</v>
      </c>
      <c r="F16" s="252"/>
      <c r="G16" s="53" t="s">
        <v>240</v>
      </c>
      <c r="H16" s="97">
        <f>+PRESUPUSTO_2025489[[#This Row],[Columna1]]</f>
        <v>0</v>
      </c>
      <c r="I16" s="97">
        <f>+PRESUPUSTO_2025489[[#This Row],[Columna1]]</f>
        <v>0</v>
      </c>
      <c r="J16" s="97">
        <v>0</v>
      </c>
      <c r="K16" s="139">
        <f>+PRESUPUSTO_2025489[[#This Row],[Columna1]]</f>
        <v>0</v>
      </c>
      <c r="O16" s="63"/>
    </row>
    <row r="17" spans="2:15" ht="15.75" thickBot="1">
      <c r="B17" s="253"/>
      <c r="C17" s="133" t="s">
        <v>241</v>
      </c>
      <c r="D17" s="201"/>
      <c r="E17" s="147">
        <f>+PRESUPUSTO_2025489[[#This Row],[PRESUPUESTO 2025]]/3</f>
        <v>0</v>
      </c>
      <c r="F17" s="253"/>
      <c r="G17" s="133" t="s">
        <v>241</v>
      </c>
      <c r="H17" s="140">
        <f>+PRESUPUSTO_2025489[[#This Row],[Columna1]]</f>
        <v>0</v>
      </c>
      <c r="I17" s="140">
        <f>+PRESUPUSTO_2025489[[#This Row],[Columna1]]</f>
        <v>0</v>
      </c>
      <c r="J17" s="140">
        <v>0</v>
      </c>
      <c r="K17" s="141">
        <f>+PRESUPUSTO_2025489[[#This Row],[Columna1]]</f>
        <v>0</v>
      </c>
      <c r="O17" s="63"/>
    </row>
    <row r="18" spans="2:15" ht="21" thickBot="1">
      <c r="C18" s="208" t="s">
        <v>326</v>
      </c>
      <c r="D18" s="209">
        <f>SUBTOTAL(109,PRESUPUSTO_2025489[PRESUPUESTO 2025])</f>
        <v>4800000</v>
      </c>
      <c r="E18" s="147">
        <f>SUBTOTAL(109,PRESUPUSTO_2025489[Columna1])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+ProyeccionKg20251090[[#This Row],[Proyección kilogramos 2025 Biosanitario  ]]+ProyeccionKg20251090[[#This Row],[Proyección kilogramos 2025 Cortopunzantes]]+ProyeccionKg20251090[[#This Row],[Proyección kilogramos 2025 Animales]]+ProyeccionKg20251090[[#This Row],[Proyección kilogramos 2025 Quimicos]]</f>
        <v>718.7780772686433</v>
      </c>
    </row>
    <row r="23" spans="2:15">
      <c r="B23" s="252"/>
      <c r="C23" s="53" t="s">
        <v>2</v>
      </c>
      <c r="D23" s="98">
        <f t="shared" si="0"/>
        <v>0</v>
      </c>
      <c r="E23" s="98">
        <f t="shared" si="0"/>
        <v>0</v>
      </c>
      <c r="F23" s="98">
        <f t="shared" si="0"/>
        <v>0</v>
      </c>
      <c r="G23" s="98">
        <f t="shared" si="0"/>
        <v>0</v>
      </c>
      <c r="H23" s="183">
        <f>+ProyeccionKg20251090[[#This Row],[Proyección kilogramos 2025 Biosanitario  ]]+ProyeccionKg20251090[[#This Row],[Proyección kilogramos 2025 Cortopunzantes]]+ProyeccionKg20251090[[#This Row],[Proyección kilogramos 2025 Animales]]+ProyeccionKg20251090[[#This Row],[Proyección kilogramos 2025 Quimicos]]</f>
        <v>0</v>
      </c>
    </row>
    <row r="24" spans="2:15">
      <c r="B24" s="252"/>
      <c r="C24" s="53" t="s">
        <v>239</v>
      </c>
      <c r="D24" s="98">
        <f t="shared" si="0"/>
        <v>0</v>
      </c>
      <c r="E24" s="98">
        <f t="shared" si="0"/>
        <v>0</v>
      </c>
      <c r="F24" s="98">
        <f t="shared" si="0"/>
        <v>0</v>
      </c>
      <c r="G24" s="98">
        <f t="shared" si="0"/>
        <v>0</v>
      </c>
      <c r="H24" s="183">
        <f>+ProyeccionKg20251090[[#This Row],[Proyección kilogramos 2025 Biosanitario  ]]+ProyeccionKg20251090[[#This Row],[Proyección kilogramos 2025 Cortopunzantes]]+ProyeccionKg20251090[[#This Row],[Proyección kilogramos 2025 Animales]]+ProyeccionKg20251090[[#This Row],[Proyección kilogramos 2025 Quimicos]]</f>
        <v>0</v>
      </c>
    </row>
    <row r="25" spans="2:15">
      <c r="B25" s="252"/>
      <c r="C25" s="53" t="s">
        <v>240</v>
      </c>
      <c r="D25" s="98">
        <f t="shared" si="0"/>
        <v>0</v>
      </c>
      <c r="E25" s="98">
        <f t="shared" si="0"/>
        <v>0</v>
      </c>
      <c r="F25" s="98">
        <f t="shared" si="0"/>
        <v>0</v>
      </c>
      <c r="G25" s="98">
        <f t="shared" si="0"/>
        <v>0</v>
      </c>
      <c r="H25" s="183">
        <f>+ProyeccionKg20251090[[#This Row],[Proyección kilogramos 2025 Biosanitario  ]]+ProyeccionKg20251090[[#This Row],[Proyección kilogramos 2025 Cortopunzantes]]+ProyeccionKg20251090[[#This Row],[Proyección kilogramos 2025 Animales]]+ProyeccionKg20251090[[#This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+ProyeccionKg20251090[[#This Row],[Proyección kilogramos 2025 Biosanitario  ]]+ProyeccionKg20251090[[#This Row],[Proyección kilogramos 2025 Cortopunzantes]]+ProyeccionKg20251090[[#This Row],[Proyección kilogramos 2025 Animales]]+ProyeccionKg20251090[[#This Row],[Proyección kilogramos 2025 Quimicos]]</f>
        <v>0</v>
      </c>
    </row>
    <row r="27" spans="2:15" ht="18">
      <c r="C27" s="134" t="s">
        <v>326</v>
      </c>
      <c r="D27" s="135">
        <f>SUBTOTAL(109,ProyeccionKg20251090[[Proyección kilogramos 2025 Biosanitario  ]])</f>
        <v>179.69451931716083</v>
      </c>
      <c r="E27" s="135">
        <f>SUBTOTAL(109,ProyeccionKg20251090[Proyección kilogramos 2025 Cortopunzantes])</f>
        <v>179.69451931716083</v>
      </c>
      <c r="F27" s="135">
        <f>SUBTOTAL(109,ProyeccionKg20251090[Proyección kilogramos 2025 Animales])</f>
        <v>179.69451931716083</v>
      </c>
      <c r="G27" s="136">
        <f>SUBTOTAL(109,ProyeccionKg20251090[Proyección kilogramos 2025 Quimicos])</f>
        <v>179.69451931716083</v>
      </c>
      <c r="H27" s="135">
        <f>SUBTOTAL(109,ProyeccionKg20251090[[TOTAL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56F79-742F-49E2-8709-EFE52A55A142}">
  <dimension ref="B1:S42"/>
  <sheetViews>
    <sheetView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AVERAGE(COTIZACIONES2025292[[#This Row],[EDEPSA 
Valor Kg Biosanitario  ]],COTIZACIONES2025292[[#This Row],[
Valor Kg Biosanitario ]],COTIZACIONES2025292[[#This Row],[HISTORICO
2024 + IPC 2025 (3%)Biosanitario]])</f>
        <v>6678</v>
      </c>
      <c r="Q4" s="191">
        <f>AVERAGE(COTIZACIONES2025292[[#This Row],[EDEPSA 
Valor Kg Cortopunzantes]],COTIZACIONES2025292[[#This Row],[ 
Valor Kg Cortopunzantes]],COTIZACIONES2025292[[#This Row],[HISTORICO
2024  + IPC 2025 (3%) 
Cortopunzantes]])</f>
        <v>6678</v>
      </c>
      <c r="R4" s="191">
        <f>AVERAGE(COTIZACIONES2025292[[#This Row],[EDEPSA 
Valor Kg Animales]],COTIZACIONES2025292[[#This Row],[
Valor Kg Animales]],COTIZACIONES2025292[[#This Row],[HISTORICO
2024  + IPC 2025 (3%)Animales]])</f>
        <v>6678</v>
      </c>
      <c r="S4" s="193">
        <f>AVERAGE(COTIZACIONES2025292[[#This Row],[EDEPSA 
Valor Kg Quimicos]],COTIZACIONES2025292[[#This Row],[
Valor Kg Quimicos]],COTIZACIONES2025292[[#This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AVERAGE(COTIZACIONES2025292[[#This Row],[EDEPSA 
Valor Kg Biosanitario  ]],COTIZACIONES2025292[[#This Row],[
Valor Kg Biosanitario ]],COTIZACIONES2025292[[#This Row],[HISTORICO
2024 + IPC 2025 (3%)Biosanitario]])</f>
        <v>6678</v>
      </c>
      <c r="Q5" s="54">
        <f>AVERAGE(COTIZACIONES2025292[[#This Row],[EDEPSA 
Valor Kg Cortopunzantes]],COTIZACIONES2025292[[#This Row],[ 
Valor Kg Cortopunzantes]],COTIZACIONES2025292[[#This Row],[HISTORICO
2024  + IPC 2025 (3%) 
Cortopunzantes]])</f>
        <v>6678</v>
      </c>
      <c r="R5" s="54">
        <f>AVERAGE(COTIZACIONES2025292[[#This Row],[EDEPSA 
Valor Kg Animales]],COTIZACIONES2025292[[#This Row],[
Valor Kg Animales]],COTIZACIONES2025292[[#This Row],[HISTORICO
2024  + IPC 2025 (3%)Animales]])</f>
        <v>6678</v>
      </c>
      <c r="S5" s="194">
        <f>AVERAGE(COTIZACIONES2025292[[#This Row],[EDEPSA 
Valor Kg Quimicos]],COTIZACIONES2025292[[#This Row],[
Valor Kg Quimicos]],COTIZACIONES2025292[[#This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AVERAGE(COTIZACIONES2025292[[#This Row],[EDEPSA 
Valor Kg Biosanitario  ]],COTIZACIONES2025292[[#This Row],[
Valor Kg Biosanitario ]],COTIZACIONES2025292[[#This Row],[HISTORICO
2024 + IPC 2025 (3%)Biosanitario]])</f>
        <v>6678</v>
      </c>
      <c r="Q6" s="54">
        <f>AVERAGE(COTIZACIONES2025292[[#This Row],[EDEPSA 
Valor Kg Cortopunzantes]],COTIZACIONES2025292[[#This Row],[ 
Valor Kg Cortopunzantes]],COTIZACIONES2025292[[#This Row],[HISTORICO
2024  + IPC 2025 (3%) 
Cortopunzantes]])</f>
        <v>6678</v>
      </c>
      <c r="R6" s="54">
        <f>AVERAGE(COTIZACIONES2025292[[#This Row],[EDEPSA 
Valor Kg Animales]],COTIZACIONES2025292[[#This Row],[
Valor Kg Animales]],COTIZACIONES2025292[[#This Row],[HISTORICO
2024  + IPC 2025 (3%)Animales]])</f>
        <v>6678</v>
      </c>
      <c r="S6" s="194">
        <f>AVERAGE(COTIZACIONES2025292[[#This Row],[EDEPSA 
Valor Kg Quimicos]],COTIZACIONES2025292[[#This Row],[
Valor Kg Quimicos]],COTIZACIONES2025292[[#This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AVERAGE(COTIZACIONES2025292[[#This Row],[EDEPSA 
Valor Kg Biosanitario  ]],COTIZACIONES2025292[[#This Row],[
Valor Kg Biosanitario ]],COTIZACIONES2025292[[#This Row],[HISTORICO
2024 + IPC 2025 (3%)Biosanitario]])</f>
        <v>6678</v>
      </c>
      <c r="Q7" s="54">
        <f>AVERAGE(COTIZACIONES2025292[[#This Row],[EDEPSA 
Valor Kg Cortopunzantes]],COTIZACIONES2025292[[#This Row],[ 
Valor Kg Cortopunzantes]],COTIZACIONES2025292[[#This Row],[HISTORICO
2024  + IPC 2025 (3%) 
Cortopunzantes]])</f>
        <v>6678</v>
      </c>
      <c r="R7" s="54">
        <f>AVERAGE(COTIZACIONES2025292[[#This Row],[EDEPSA 
Valor Kg Animales]],COTIZACIONES2025292[[#This Row],[
Valor Kg Animales]],COTIZACIONES2025292[[#This Row],[HISTORICO
2024  + IPC 2025 (3%)Animales]])</f>
        <v>6678</v>
      </c>
      <c r="S7" s="194">
        <f>AVERAGE(COTIZACIONES2025292[[#This Row],[EDEPSA 
Valor Kg Quimicos]],COTIZACIONES2025292[[#This Row],[
Valor Kg Quimicos]],COTIZACIONES2025292[[#This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AVERAGE(COTIZACIONES2025292[[#This Row],[EDEPSA 
Valor Kg Biosanitario  ]],COTIZACIONES2025292[[#This Row],[
Valor Kg Biosanitario ]],COTIZACIONES2025292[[#This Row],[HISTORICO
2024 + IPC 2025 (3%)Biosanitario]])</f>
        <v>6678</v>
      </c>
      <c r="Q8" s="195">
        <f>AVERAGE(COTIZACIONES2025292[[#This Row],[EDEPSA 
Valor Kg Cortopunzantes]],COTIZACIONES2025292[[#This Row],[ 
Valor Kg Cortopunzantes]],COTIZACIONES2025292[[#This Row],[HISTORICO
2024  + IPC 2025 (3%) 
Cortopunzantes]])</f>
        <v>6678</v>
      </c>
      <c r="R8" s="195">
        <f>AVERAGE(COTIZACIONES2025292[[#This Row],[EDEPSA 
Valor Kg Animales]],COTIZACIONES2025292[[#This Row],[
Valor Kg Animales]],COTIZACIONES2025292[[#This Row],[HISTORICO
2024  + IPC 2025 (3%)Animales]])</f>
        <v>6678</v>
      </c>
      <c r="S8" s="198">
        <f>AVERAGE(COTIZACIONES2025292[[#This Row],[EDEPSA 
Valor Kg Quimicos]],COTIZACIONES2025292[[#This Row],[
Valor Kg Quimicos]],COTIZACIONES2025292[[#This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+PRESUPUSTO_2025493[[#This Row],[PRESUPUESTO 2025]]/4</f>
        <v>1200000</v>
      </c>
      <c r="F13" s="251" t="s">
        <v>340</v>
      </c>
      <c r="G13" s="190" t="s">
        <v>341</v>
      </c>
      <c r="H13" s="206">
        <f>+PRESUPUSTO_2025493[[#This Row],[Columna1]]</f>
        <v>1200000</v>
      </c>
      <c r="I13" s="206">
        <f>+PRESUPUSTO_2025493[[#This Row],[Columna1]]</f>
        <v>1200000</v>
      </c>
      <c r="J13" s="206">
        <f>+PRESUPUSTO_2025493[[#This Row],[Columna1]]</f>
        <v>1200000</v>
      </c>
      <c r="K13" s="207">
        <f>+PRESUPUSTO_2025493[[#This Row],[Columna1]]</f>
        <v>1200000</v>
      </c>
      <c r="O13" s="63"/>
    </row>
    <row r="14" spans="2:19">
      <c r="B14" s="252"/>
      <c r="C14" s="53" t="s">
        <v>2</v>
      </c>
      <c r="D14" s="200"/>
      <c r="E14" s="147">
        <f>+PRESUPUSTO_2025493[[#This Row],[PRESUPUESTO 2025]]/4</f>
        <v>0</v>
      </c>
      <c r="F14" s="252"/>
      <c r="G14" s="53" t="s">
        <v>2</v>
      </c>
      <c r="H14" s="97">
        <f>+PRESUPUSTO_2025493[[#This Row],[Columna1]]</f>
        <v>0</v>
      </c>
      <c r="I14" s="97">
        <f>+PRESUPUSTO_2025493[[#This Row],[Columna1]]</f>
        <v>0</v>
      </c>
      <c r="J14" s="97">
        <f>+PRESUPUSTO_2025493[[#This Row],[Columna1]]</f>
        <v>0</v>
      </c>
      <c r="K14" s="139">
        <f>+PRESUPUSTO_2025493[[#This Row],[Columna1]]</f>
        <v>0</v>
      </c>
      <c r="O14" s="63"/>
    </row>
    <row r="15" spans="2:19">
      <c r="B15" s="252"/>
      <c r="C15" s="53" t="s">
        <v>239</v>
      </c>
      <c r="D15" s="200"/>
      <c r="E15" s="147">
        <f>+PRESUPUSTO_2025493[[#This Row],[PRESUPUESTO 2025]]/3</f>
        <v>0</v>
      </c>
      <c r="F15" s="252"/>
      <c r="G15" s="53" t="s">
        <v>239</v>
      </c>
      <c r="H15" s="97">
        <f>+PRESUPUSTO_2025493[[#This Row],[Columna1]]</f>
        <v>0</v>
      </c>
      <c r="I15" s="97">
        <f>+PRESUPUSTO_2025493[[#This Row],[Columna1]]</f>
        <v>0</v>
      </c>
      <c r="J15" s="97">
        <v>0</v>
      </c>
      <c r="K15" s="139">
        <f>+PRESUPUSTO_2025493[[#This Row],[Columna1]]</f>
        <v>0</v>
      </c>
      <c r="O15" s="63"/>
    </row>
    <row r="16" spans="2:19">
      <c r="B16" s="252"/>
      <c r="C16" s="53" t="s">
        <v>240</v>
      </c>
      <c r="D16" s="200"/>
      <c r="E16" s="147">
        <f>+PRESUPUSTO_2025493[[#This Row],[PRESUPUESTO 2025]]/3</f>
        <v>0</v>
      </c>
      <c r="F16" s="252"/>
      <c r="G16" s="53" t="s">
        <v>240</v>
      </c>
      <c r="H16" s="97">
        <f>+PRESUPUSTO_2025493[[#This Row],[Columna1]]</f>
        <v>0</v>
      </c>
      <c r="I16" s="97">
        <f>+PRESUPUSTO_2025493[[#This Row],[Columna1]]</f>
        <v>0</v>
      </c>
      <c r="J16" s="97">
        <v>0</v>
      </c>
      <c r="K16" s="139">
        <f>+PRESUPUSTO_2025493[[#This Row],[Columna1]]</f>
        <v>0</v>
      </c>
      <c r="O16" s="63"/>
    </row>
    <row r="17" spans="2:15" ht="15.75" thickBot="1">
      <c r="B17" s="253"/>
      <c r="C17" s="133" t="s">
        <v>241</v>
      </c>
      <c r="D17" s="201"/>
      <c r="E17" s="147">
        <f>+PRESUPUSTO_2025493[[#This Row],[PRESUPUESTO 2025]]/3</f>
        <v>0</v>
      </c>
      <c r="F17" s="253"/>
      <c r="G17" s="133" t="s">
        <v>241</v>
      </c>
      <c r="H17" s="140">
        <f>+PRESUPUSTO_2025493[[#This Row],[Columna1]]</f>
        <v>0</v>
      </c>
      <c r="I17" s="140">
        <f>+PRESUPUSTO_2025493[[#This Row],[Columna1]]</f>
        <v>0</v>
      </c>
      <c r="J17" s="140">
        <v>0</v>
      </c>
      <c r="K17" s="141">
        <f>+PRESUPUSTO_2025493[[#This Row],[Columna1]]</f>
        <v>0</v>
      </c>
      <c r="O17" s="63"/>
    </row>
    <row r="18" spans="2:15" ht="21" thickBot="1">
      <c r="C18" s="208" t="s">
        <v>326</v>
      </c>
      <c r="D18" s="209">
        <f>SUBTOTAL(109,PRESUPUSTO_2025493[PRESUPUESTO 2025])</f>
        <v>4800000</v>
      </c>
      <c r="E18" s="147">
        <f>SUBTOTAL(109,PRESUPUSTO_2025493[Columna1])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+ProyeccionKg20251094[[#This Row],[Proyección kilogramos 2025 Biosanitario  ]]+ProyeccionKg20251094[[#This Row],[Proyección kilogramos 2025 Cortopunzantes]]+ProyeccionKg20251094[[#This Row],[Proyección kilogramos 2025 Animales]]+ProyeccionKg20251094[[#This Row],[Proyección kilogramos 2025 Quimicos]]</f>
        <v>718.7780772686433</v>
      </c>
    </row>
    <row r="23" spans="2:15">
      <c r="B23" s="252"/>
      <c r="C23" s="53" t="s">
        <v>2</v>
      </c>
      <c r="D23" s="98">
        <f t="shared" si="0"/>
        <v>0</v>
      </c>
      <c r="E23" s="98">
        <f t="shared" si="0"/>
        <v>0</v>
      </c>
      <c r="F23" s="98">
        <f t="shared" si="0"/>
        <v>0</v>
      </c>
      <c r="G23" s="98">
        <f t="shared" si="0"/>
        <v>0</v>
      </c>
      <c r="H23" s="183">
        <f>+ProyeccionKg20251094[[#This Row],[Proyección kilogramos 2025 Biosanitario  ]]+ProyeccionKg20251094[[#This Row],[Proyección kilogramos 2025 Cortopunzantes]]+ProyeccionKg20251094[[#This Row],[Proyección kilogramos 2025 Animales]]+ProyeccionKg20251094[[#This Row],[Proyección kilogramos 2025 Quimicos]]</f>
        <v>0</v>
      </c>
    </row>
    <row r="24" spans="2:15">
      <c r="B24" s="252"/>
      <c r="C24" s="53" t="s">
        <v>239</v>
      </c>
      <c r="D24" s="98">
        <f t="shared" si="0"/>
        <v>0</v>
      </c>
      <c r="E24" s="98">
        <f t="shared" si="0"/>
        <v>0</v>
      </c>
      <c r="F24" s="98">
        <f t="shared" si="0"/>
        <v>0</v>
      </c>
      <c r="G24" s="98">
        <f t="shared" si="0"/>
        <v>0</v>
      </c>
      <c r="H24" s="183">
        <f>+ProyeccionKg20251094[[#This Row],[Proyección kilogramos 2025 Biosanitario  ]]+ProyeccionKg20251094[[#This Row],[Proyección kilogramos 2025 Cortopunzantes]]+ProyeccionKg20251094[[#This Row],[Proyección kilogramos 2025 Animales]]+ProyeccionKg20251094[[#This Row],[Proyección kilogramos 2025 Quimicos]]</f>
        <v>0</v>
      </c>
    </row>
    <row r="25" spans="2:15">
      <c r="B25" s="252"/>
      <c r="C25" s="53" t="s">
        <v>240</v>
      </c>
      <c r="D25" s="98">
        <f t="shared" si="0"/>
        <v>0</v>
      </c>
      <c r="E25" s="98">
        <f t="shared" si="0"/>
        <v>0</v>
      </c>
      <c r="F25" s="98">
        <f t="shared" si="0"/>
        <v>0</v>
      </c>
      <c r="G25" s="98">
        <f t="shared" si="0"/>
        <v>0</v>
      </c>
      <c r="H25" s="183">
        <f>+ProyeccionKg20251094[[#This Row],[Proyección kilogramos 2025 Biosanitario  ]]+ProyeccionKg20251094[[#This Row],[Proyección kilogramos 2025 Cortopunzantes]]+ProyeccionKg20251094[[#This Row],[Proyección kilogramos 2025 Animales]]+ProyeccionKg20251094[[#This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+ProyeccionKg20251094[[#This Row],[Proyección kilogramos 2025 Biosanitario  ]]+ProyeccionKg20251094[[#This Row],[Proyección kilogramos 2025 Cortopunzantes]]+ProyeccionKg20251094[[#This Row],[Proyección kilogramos 2025 Animales]]+ProyeccionKg20251094[[#This Row],[Proyección kilogramos 2025 Quimicos]]</f>
        <v>0</v>
      </c>
    </row>
    <row r="27" spans="2:15" ht="18">
      <c r="C27" s="134" t="s">
        <v>326</v>
      </c>
      <c r="D27" s="135">
        <f>SUBTOTAL(109,ProyeccionKg20251094[[Proyección kilogramos 2025 Biosanitario  ]])</f>
        <v>179.69451931716083</v>
      </c>
      <c r="E27" s="135">
        <f>SUBTOTAL(109,ProyeccionKg20251094[Proyección kilogramos 2025 Cortopunzantes])</f>
        <v>179.69451931716083</v>
      </c>
      <c r="F27" s="135">
        <f>SUBTOTAL(109,ProyeccionKg20251094[Proyección kilogramos 2025 Animales])</f>
        <v>179.69451931716083</v>
      </c>
      <c r="G27" s="136">
        <f>SUBTOTAL(109,ProyeccionKg20251094[Proyección kilogramos 2025 Quimicos])</f>
        <v>179.69451931716083</v>
      </c>
      <c r="H27" s="135">
        <f>SUBTOTAL(109,ProyeccionKg20251094[[TOTAL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B22A0-C8AF-4C40-8409-156EB3DEDF75}">
  <dimension ref="B1:S42"/>
  <sheetViews>
    <sheetView topLeftCell="A16" workbookViewId="0">
      <selection sqref="A1:XFD1048576"/>
    </sheetView>
  </sheetViews>
  <sheetFormatPr baseColWidth="10" defaultColWidth="11.375" defaultRowHeight="15"/>
  <cols>
    <col min="1" max="1" width="11.375" style="51"/>
    <col min="2" max="2" width="23.125" style="51" customWidth="1"/>
    <col min="3" max="3" width="51" style="51" customWidth="1"/>
    <col min="4" max="4" width="31" style="51" customWidth="1"/>
    <col min="5" max="5" width="33.375" style="51" customWidth="1"/>
    <col min="6" max="6" width="30.625" style="51" customWidth="1"/>
    <col min="7" max="7" width="50.25" style="51" customWidth="1"/>
    <col min="8" max="8" width="52.125" style="51" customWidth="1"/>
    <col min="9" max="9" width="55.375" style="51" customWidth="1"/>
    <col min="10" max="10" width="47.25" style="51" customWidth="1"/>
    <col min="11" max="11" width="47.625" style="51" customWidth="1"/>
    <col min="12" max="12" width="23.25" style="51" customWidth="1"/>
    <col min="13" max="13" width="53.625" style="51" customWidth="1"/>
    <col min="14" max="14" width="26.875" style="51" customWidth="1"/>
    <col min="15" max="15" width="33.125" style="51" customWidth="1"/>
    <col min="16" max="16" width="32" style="51" customWidth="1"/>
    <col min="17" max="17" width="26.375" style="51" customWidth="1"/>
    <col min="18" max="18" width="26.125" style="51" customWidth="1"/>
    <col min="19" max="19" width="32.625" style="51" customWidth="1"/>
    <col min="20" max="20" width="23.25" style="51" customWidth="1"/>
    <col min="21" max="21" width="10.25" style="51" bestFit="1" customWidth="1"/>
    <col min="22" max="22" width="24.75" style="51" customWidth="1"/>
    <col min="23" max="23" width="23.75" style="51" customWidth="1"/>
    <col min="24" max="24" width="27.375" style="51" customWidth="1"/>
    <col min="25" max="25" width="24.375" style="51" customWidth="1"/>
    <col min="26" max="16384" width="11.375" style="51"/>
  </cols>
  <sheetData>
    <row r="1" spans="2:19" ht="45.75" thickBot="1">
      <c r="B1" s="238" t="s">
        <v>216</v>
      </c>
      <c r="C1" s="239"/>
      <c r="D1" s="239"/>
      <c r="E1" s="239"/>
      <c r="F1" s="239"/>
      <c r="G1" s="239"/>
      <c r="H1" s="240"/>
    </row>
    <row r="2" spans="2:19" ht="15.75" thickBot="1"/>
    <row r="3" spans="2:19" s="88" customFormat="1" ht="48" thickBot="1">
      <c r="B3" s="132" t="s">
        <v>165</v>
      </c>
      <c r="C3" s="67" t="s">
        <v>166</v>
      </c>
      <c r="D3" s="72" t="s">
        <v>342</v>
      </c>
      <c r="E3" s="72" t="s">
        <v>65</v>
      </c>
      <c r="F3" s="72" t="s">
        <v>72</v>
      </c>
      <c r="G3" s="72" t="s">
        <v>66</v>
      </c>
      <c r="H3" s="71" t="s">
        <v>343</v>
      </c>
      <c r="I3" s="71" t="s">
        <v>344</v>
      </c>
      <c r="J3" s="71" t="s">
        <v>345</v>
      </c>
      <c r="K3" s="71" t="s">
        <v>346</v>
      </c>
      <c r="L3" s="73" t="s">
        <v>327</v>
      </c>
      <c r="M3" s="73" t="s">
        <v>328</v>
      </c>
      <c r="N3" s="73" t="s">
        <v>329</v>
      </c>
      <c r="O3" s="73" t="s">
        <v>330</v>
      </c>
      <c r="P3" s="180" t="s">
        <v>200</v>
      </c>
      <c r="Q3" s="180" t="s">
        <v>199</v>
      </c>
      <c r="R3" s="180" t="s">
        <v>198</v>
      </c>
      <c r="S3" s="181" t="s">
        <v>197</v>
      </c>
    </row>
    <row r="4" spans="2:19" ht="15" customHeight="1">
      <c r="B4" s="251" t="s">
        <v>340</v>
      </c>
      <c r="C4" s="190" t="s">
        <v>341</v>
      </c>
      <c r="D4" s="191">
        <v>8000</v>
      </c>
      <c r="E4" s="191">
        <v>8000</v>
      </c>
      <c r="F4" s="191">
        <v>8000</v>
      </c>
      <c r="G4" s="191">
        <v>8000</v>
      </c>
      <c r="H4" s="191"/>
      <c r="I4" s="191"/>
      <c r="J4" s="191"/>
      <c r="K4" s="192"/>
      <c r="L4" s="192">
        <v>5356</v>
      </c>
      <c r="M4" s="192">
        <v>5356</v>
      </c>
      <c r="N4" s="192">
        <v>5356</v>
      </c>
      <c r="O4" s="192">
        <v>5356</v>
      </c>
      <c r="P4" s="191">
        <f>AVERAGE(COTIZACIONES2025296[[#This Row],[EDEPSA 
Valor Kg Biosanitario  ]],COTIZACIONES2025296[[#This Row],[
Valor Kg Biosanitario ]],COTIZACIONES2025296[[#This Row],[HISTORICO
2024 + IPC 2025 (3%)Biosanitario]])</f>
        <v>6678</v>
      </c>
      <c r="Q4" s="191">
        <f>AVERAGE(COTIZACIONES2025296[[#This Row],[EDEPSA 
Valor Kg Cortopunzantes]],COTIZACIONES2025296[[#This Row],[ 
Valor Kg Cortopunzantes]],COTIZACIONES2025296[[#This Row],[HISTORICO
2024  + IPC 2025 (3%) 
Cortopunzantes]])</f>
        <v>6678</v>
      </c>
      <c r="R4" s="191">
        <f>AVERAGE(COTIZACIONES2025296[[#This Row],[EDEPSA 
Valor Kg Animales]],COTIZACIONES2025296[[#This Row],[
Valor Kg Animales]],COTIZACIONES2025296[[#This Row],[HISTORICO
2024  + IPC 2025 (3%)Animales]])</f>
        <v>6678</v>
      </c>
      <c r="S4" s="193">
        <f>AVERAGE(COTIZACIONES2025296[[#This Row],[EDEPSA 
Valor Kg Quimicos]],COTIZACIONES2025296[[#This Row],[
Valor Kg Quimicos]],COTIZACIONES2025296[[#This Row],[HISTORICO
2024  + IPC 2025 (3%) Quimicos]])</f>
        <v>6678</v>
      </c>
    </row>
    <row r="5" spans="2:19" ht="18" customHeight="1">
      <c r="B5" s="252"/>
      <c r="C5" s="53" t="s">
        <v>2</v>
      </c>
      <c r="D5" s="54">
        <f>+'Cotizaciones Empresas'!K11</f>
        <v>8000</v>
      </c>
      <c r="E5" s="54">
        <f>+'Cotizaciones Empresas'!L11</f>
        <v>8000</v>
      </c>
      <c r="F5" s="54">
        <f>+'Cotizaciones Empresas'!M11</f>
        <v>8000</v>
      </c>
      <c r="G5" s="54">
        <f>+'Cotizaciones Empresas'!N11</f>
        <v>8000</v>
      </c>
      <c r="H5" s="54"/>
      <c r="I5" s="54"/>
      <c r="J5" s="54"/>
      <c r="K5" s="55"/>
      <c r="L5" s="55">
        <f>+'Cotizaciones Empresas'!BD11</f>
        <v>5356</v>
      </c>
      <c r="M5" s="55">
        <f>+'Cotizaciones Empresas'!BE11</f>
        <v>5356</v>
      </c>
      <c r="N5" s="55">
        <f>+'Cotizaciones Empresas'!BF11</f>
        <v>5356</v>
      </c>
      <c r="O5" s="55">
        <f>+'Cotizaciones Empresas'!BG11</f>
        <v>5356</v>
      </c>
      <c r="P5" s="70">
        <f>AVERAGE(COTIZACIONES2025296[[#This Row],[EDEPSA 
Valor Kg Biosanitario  ]],COTIZACIONES2025296[[#This Row],[
Valor Kg Biosanitario ]],COTIZACIONES2025296[[#This Row],[HISTORICO
2024 + IPC 2025 (3%)Biosanitario]])</f>
        <v>6678</v>
      </c>
      <c r="Q5" s="54">
        <f>AVERAGE(COTIZACIONES2025296[[#This Row],[EDEPSA 
Valor Kg Cortopunzantes]],COTIZACIONES2025296[[#This Row],[ 
Valor Kg Cortopunzantes]],COTIZACIONES2025296[[#This Row],[HISTORICO
2024  + IPC 2025 (3%) 
Cortopunzantes]])</f>
        <v>6678</v>
      </c>
      <c r="R5" s="54">
        <f>AVERAGE(COTIZACIONES2025296[[#This Row],[EDEPSA 
Valor Kg Animales]],COTIZACIONES2025296[[#This Row],[
Valor Kg Animales]],COTIZACIONES2025296[[#This Row],[HISTORICO
2024  + IPC 2025 (3%)Animales]])</f>
        <v>6678</v>
      </c>
      <c r="S5" s="194">
        <f>AVERAGE(COTIZACIONES2025296[[#This Row],[EDEPSA 
Valor Kg Quimicos]],COTIZACIONES2025296[[#This Row],[
Valor Kg Quimicos]],COTIZACIONES2025296[[#This Row],[HISTORICO
2024  + IPC 2025 (3%) Quimicos]])</f>
        <v>6678</v>
      </c>
    </row>
    <row r="6" spans="2:19" ht="15" customHeight="1">
      <c r="B6" s="252"/>
      <c r="C6" s="53" t="s">
        <v>239</v>
      </c>
      <c r="D6" s="54">
        <f>+'Cotizaciones Empresas'!K12</f>
        <v>8000</v>
      </c>
      <c r="E6" s="54">
        <f>+'Cotizaciones Empresas'!L12</f>
        <v>8000</v>
      </c>
      <c r="F6" s="54">
        <f>+'Cotizaciones Empresas'!M12</f>
        <v>8000</v>
      </c>
      <c r="G6" s="54">
        <f>+'Cotizaciones Empresas'!N12</f>
        <v>8000</v>
      </c>
      <c r="H6" s="54"/>
      <c r="I6" s="54"/>
      <c r="J6" s="54"/>
      <c r="K6" s="55"/>
      <c r="L6" s="55">
        <f>+'Cotizaciones Empresas'!BD12</f>
        <v>5356</v>
      </c>
      <c r="M6" s="55">
        <f>+'Cotizaciones Empresas'!BE12</f>
        <v>5356</v>
      </c>
      <c r="N6" s="55">
        <f>+'Cotizaciones Empresas'!BF12</f>
        <v>5356</v>
      </c>
      <c r="O6" s="55">
        <f>+'Cotizaciones Empresas'!BG12</f>
        <v>5356</v>
      </c>
      <c r="P6" s="70">
        <f>AVERAGE(COTIZACIONES2025296[[#This Row],[EDEPSA 
Valor Kg Biosanitario  ]],COTIZACIONES2025296[[#This Row],[
Valor Kg Biosanitario ]],COTIZACIONES2025296[[#This Row],[HISTORICO
2024 + IPC 2025 (3%)Biosanitario]])</f>
        <v>6678</v>
      </c>
      <c r="Q6" s="54">
        <f>AVERAGE(COTIZACIONES2025296[[#This Row],[EDEPSA 
Valor Kg Cortopunzantes]],COTIZACIONES2025296[[#This Row],[ 
Valor Kg Cortopunzantes]],COTIZACIONES2025296[[#This Row],[HISTORICO
2024  + IPC 2025 (3%) 
Cortopunzantes]])</f>
        <v>6678</v>
      </c>
      <c r="R6" s="54">
        <f>AVERAGE(COTIZACIONES2025296[[#This Row],[EDEPSA 
Valor Kg Animales]],COTIZACIONES2025296[[#This Row],[
Valor Kg Animales]],COTIZACIONES2025296[[#This Row],[HISTORICO
2024  + IPC 2025 (3%)Animales]])</f>
        <v>6678</v>
      </c>
      <c r="S6" s="194">
        <f>AVERAGE(COTIZACIONES2025296[[#This Row],[EDEPSA 
Valor Kg Quimicos]],COTIZACIONES2025296[[#This Row],[
Valor Kg Quimicos]],COTIZACIONES2025296[[#This Row],[HISTORICO
2024  + IPC 2025 (3%) Quimicos]])</f>
        <v>6678</v>
      </c>
    </row>
    <row r="7" spans="2:19" ht="15" customHeight="1">
      <c r="B7" s="252"/>
      <c r="C7" s="53" t="s">
        <v>240</v>
      </c>
      <c r="D7" s="54">
        <f>+'Cotizaciones Empresas'!K13</f>
        <v>8000</v>
      </c>
      <c r="E7" s="54">
        <f>+'Cotizaciones Empresas'!L13</f>
        <v>8000</v>
      </c>
      <c r="F7" s="54">
        <f>+'Cotizaciones Empresas'!M13</f>
        <v>8000</v>
      </c>
      <c r="G7" s="54">
        <f>+'Cotizaciones Empresas'!N13</f>
        <v>8000</v>
      </c>
      <c r="H7" s="54"/>
      <c r="I7" s="54"/>
      <c r="J7" s="54"/>
      <c r="K7" s="55"/>
      <c r="L7" s="55">
        <f>+'Cotizaciones Empresas'!BD13</f>
        <v>5356</v>
      </c>
      <c r="M7" s="55">
        <f>+'Cotizaciones Empresas'!BE13</f>
        <v>5356</v>
      </c>
      <c r="N7" s="55">
        <f>+'Cotizaciones Empresas'!BF13</f>
        <v>5356</v>
      </c>
      <c r="O7" s="55">
        <f>+'Cotizaciones Empresas'!BG13</f>
        <v>5356</v>
      </c>
      <c r="P7" s="70">
        <f>AVERAGE(COTIZACIONES2025296[[#This Row],[EDEPSA 
Valor Kg Biosanitario  ]],COTIZACIONES2025296[[#This Row],[
Valor Kg Biosanitario ]],COTIZACIONES2025296[[#This Row],[HISTORICO
2024 + IPC 2025 (3%)Biosanitario]])</f>
        <v>6678</v>
      </c>
      <c r="Q7" s="54">
        <f>AVERAGE(COTIZACIONES2025296[[#This Row],[EDEPSA 
Valor Kg Cortopunzantes]],COTIZACIONES2025296[[#This Row],[ 
Valor Kg Cortopunzantes]],COTIZACIONES2025296[[#This Row],[HISTORICO
2024  + IPC 2025 (3%) 
Cortopunzantes]])</f>
        <v>6678</v>
      </c>
      <c r="R7" s="54">
        <f>AVERAGE(COTIZACIONES2025296[[#This Row],[EDEPSA 
Valor Kg Animales]],COTIZACIONES2025296[[#This Row],[
Valor Kg Animales]],COTIZACIONES2025296[[#This Row],[HISTORICO
2024  + IPC 2025 (3%)Animales]])</f>
        <v>6678</v>
      </c>
      <c r="S7" s="194">
        <f>AVERAGE(COTIZACIONES2025296[[#This Row],[EDEPSA 
Valor Kg Quimicos]],COTIZACIONES2025296[[#This Row],[
Valor Kg Quimicos]],COTIZACIONES2025296[[#This Row],[HISTORICO
2024  + IPC 2025 (3%) Quimicos]])</f>
        <v>6678</v>
      </c>
    </row>
    <row r="8" spans="2:19" ht="15" customHeight="1" thickBot="1">
      <c r="B8" s="253"/>
      <c r="C8" s="133" t="s">
        <v>241</v>
      </c>
      <c r="D8" s="54">
        <f>+'Cotizaciones Empresas'!K14</f>
        <v>8000</v>
      </c>
      <c r="E8" s="54">
        <f>+'Cotizaciones Empresas'!L14</f>
        <v>8000</v>
      </c>
      <c r="F8" s="54">
        <f>+'Cotizaciones Empresas'!M14</f>
        <v>8000</v>
      </c>
      <c r="G8" s="54">
        <f>+'Cotizaciones Empresas'!N14</f>
        <v>8000</v>
      </c>
      <c r="H8" s="195"/>
      <c r="I8" s="195"/>
      <c r="J8" s="195"/>
      <c r="K8" s="196"/>
      <c r="L8" s="55">
        <f>+'Cotizaciones Empresas'!BD14</f>
        <v>5356</v>
      </c>
      <c r="M8" s="55">
        <f>+'Cotizaciones Empresas'!BE14</f>
        <v>5356</v>
      </c>
      <c r="N8" s="55">
        <f>+'Cotizaciones Empresas'!BF14</f>
        <v>5356</v>
      </c>
      <c r="O8" s="55">
        <f>+'Cotizaciones Empresas'!BG14</f>
        <v>5356</v>
      </c>
      <c r="P8" s="197">
        <f>AVERAGE(COTIZACIONES2025296[[#This Row],[EDEPSA 
Valor Kg Biosanitario  ]],COTIZACIONES2025296[[#This Row],[
Valor Kg Biosanitario ]],COTIZACIONES2025296[[#This Row],[HISTORICO
2024 + IPC 2025 (3%)Biosanitario]])</f>
        <v>6678</v>
      </c>
      <c r="Q8" s="195">
        <f>AVERAGE(COTIZACIONES2025296[[#This Row],[EDEPSA 
Valor Kg Cortopunzantes]],COTIZACIONES2025296[[#This Row],[ 
Valor Kg Cortopunzantes]],COTIZACIONES2025296[[#This Row],[HISTORICO
2024  + IPC 2025 (3%) 
Cortopunzantes]])</f>
        <v>6678</v>
      </c>
      <c r="R8" s="195">
        <f>AVERAGE(COTIZACIONES2025296[[#This Row],[EDEPSA 
Valor Kg Animales]],COTIZACIONES2025296[[#This Row],[
Valor Kg Animales]],COTIZACIONES2025296[[#This Row],[HISTORICO
2024  + IPC 2025 (3%)Animales]])</f>
        <v>6678</v>
      </c>
      <c r="S8" s="198">
        <f>AVERAGE(COTIZACIONES2025296[[#This Row],[EDEPSA 
Valor Kg Quimicos]],COTIZACIONES2025296[[#This Row],[
Valor Kg Quimicos]],COTIZACIONES2025296[[#This Row],[HISTORICO
2024  + IPC 2025 (3%) Quimicos]])</f>
        <v>6678</v>
      </c>
    </row>
    <row r="10" spans="2:19" ht="15.75" thickBot="1"/>
    <row r="11" spans="2:19" ht="30.75" thickBot="1">
      <c r="B11" s="241" t="s">
        <v>217</v>
      </c>
      <c r="C11" s="242"/>
      <c r="D11" s="243"/>
      <c r="F11" s="254" t="s">
        <v>227</v>
      </c>
      <c r="G11" s="246"/>
      <c r="H11" s="246"/>
      <c r="I11" s="246"/>
      <c r="J11" s="246"/>
      <c r="K11" s="247"/>
      <c r="O11" s="63"/>
    </row>
    <row r="12" spans="2:19" ht="16.5" thickBot="1">
      <c r="B12" s="66" t="s">
        <v>165</v>
      </c>
      <c r="C12" s="76" t="s">
        <v>166</v>
      </c>
      <c r="D12" s="142" t="s">
        <v>202</v>
      </c>
      <c r="E12" s="146" t="s">
        <v>201</v>
      </c>
      <c r="F12" s="202" t="s">
        <v>165</v>
      </c>
      <c r="G12" s="203" t="s">
        <v>166</v>
      </c>
      <c r="H12" s="204" t="s">
        <v>223</v>
      </c>
      <c r="I12" s="204" t="s">
        <v>224</v>
      </c>
      <c r="J12" s="204" t="s">
        <v>226</v>
      </c>
      <c r="K12" s="205" t="s">
        <v>225</v>
      </c>
      <c r="O12" s="63"/>
    </row>
    <row r="13" spans="2:19">
      <c r="B13" s="251" t="s">
        <v>340</v>
      </c>
      <c r="C13" s="190" t="s">
        <v>341</v>
      </c>
      <c r="D13" s="199">
        <v>4800000</v>
      </c>
      <c r="E13" s="147">
        <f>+PRESUPUSTO_2025497[[#This Row],[PRESUPUESTO 2025]]/4</f>
        <v>1200000</v>
      </c>
      <c r="F13" s="251" t="s">
        <v>340</v>
      </c>
      <c r="G13" s="190" t="s">
        <v>341</v>
      </c>
      <c r="H13" s="206">
        <f>+PRESUPUSTO_2025497[[#This Row],[Columna1]]</f>
        <v>1200000</v>
      </c>
      <c r="I13" s="206">
        <f>+PRESUPUSTO_2025497[[#This Row],[Columna1]]</f>
        <v>1200000</v>
      </c>
      <c r="J13" s="206">
        <f>+PRESUPUSTO_2025497[[#This Row],[Columna1]]</f>
        <v>1200000</v>
      </c>
      <c r="K13" s="207">
        <f>+PRESUPUSTO_2025497[[#This Row],[Columna1]]</f>
        <v>1200000</v>
      </c>
      <c r="O13" s="63"/>
    </row>
    <row r="14" spans="2:19">
      <c r="B14" s="252"/>
      <c r="C14" s="53" t="s">
        <v>2</v>
      </c>
      <c r="D14" s="200"/>
      <c r="E14" s="147">
        <f>+PRESUPUSTO_2025497[[#This Row],[PRESUPUESTO 2025]]/4</f>
        <v>0</v>
      </c>
      <c r="F14" s="252"/>
      <c r="G14" s="53" t="s">
        <v>2</v>
      </c>
      <c r="H14" s="97">
        <f>+PRESUPUSTO_2025497[[#This Row],[Columna1]]</f>
        <v>0</v>
      </c>
      <c r="I14" s="97">
        <f>+PRESUPUSTO_2025497[[#This Row],[Columna1]]</f>
        <v>0</v>
      </c>
      <c r="J14" s="97">
        <f>+PRESUPUSTO_2025497[[#This Row],[Columna1]]</f>
        <v>0</v>
      </c>
      <c r="K14" s="139">
        <f>+PRESUPUSTO_2025497[[#This Row],[Columna1]]</f>
        <v>0</v>
      </c>
      <c r="O14" s="63"/>
    </row>
    <row r="15" spans="2:19">
      <c r="B15" s="252"/>
      <c r="C15" s="53" t="s">
        <v>239</v>
      </c>
      <c r="D15" s="200"/>
      <c r="E15" s="147">
        <f>+PRESUPUSTO_2025497[[#This Row],[PRESUPUESTO 2025]]/3</f>
        <v>0</v>
      </c>
      <c r="F15" s="252"/>
      <c r="G15" s="53" t="s">
        <v>239</v>
      </c>
      <c r="H15" s="97">
        <f>+PRESUPUSTO_2025497[[#This Row],[Columna1]]</f>
        <v>0</v>
      </c>
      <c r="I15" s="97">
        <f>+PRESUPUSTO_2025497[[#This Row],[Columna1]]</f>
        <v>0</v>
      </c>
      <c r="J15" s="97">
        <v>0</v>
      </c>
      <c r="K15" s="139">
        <f>+PRESUPUSTO_2025497[[#This Row],[Columna1]]</f>
        <v>0</v>
      </c>
      <c r="O15" s="63"/>
    </row>
    <row r="16" spans="2:19">
      <c r="B16" s="252"/>
      <c r="C16" s="53" t="s">
        <v>240</v>
      </c>
      <c r="D16" s="200"/>
      <c r="E16" s="147">
        <f>+PRESUPUSTO_2025497[[#This Row],[PRESUPUESTO 2025]]/3</f>
        <v>0</v>
      </c>
      <c r="F16" s="252"/>
      <c r="G16" s="53" t="s">
        <v>240</v>
      </c>
      <c r="H16" s="97">
        <f>+PRESUPUSTO_2025497[[#This Row],[Columna1]]</f>
        <v>0</v>
      </c>
      <c r="I16" s="97">
        <f>+PRESUPUSTO_2025497[[#This Row],[Columna1]]</f>
        <v>0</v>
      </c>
      <c r="J16" s="97">
        <v>0</v>
      </c>
      <c r="K16" s="139">
        <f>+PRESUPUSTO_2025497[[#This Row],[Columna1]]</f>
        <v>0</v>
      </c>
      <c r="O16" s="63"/>
    </row>
    <row r="17" spans="2:15" ht="15.75" thickBot="1">
      <c r="B17" s="253"/>
      <c r="C17" s="133" t="s">
        <v>241</v>
      </c>
      <c r="D17" s="201"/>
      <c r="E17" s="147">
        <f>+PRESUPUSTO_2025497[[#This Row],[PRESUPUESTO 2025]]/3</f>
        <v>0</v>
      </c>
      <c r="F17" s="253"/>
      <c r="G17" s="133" t="s">
        <v>241</v>
      </c>
      <c r="H17" s="140">
        <f>+PRESUPUSTO_2025497[[#This Row],[Columna1]]</f>
        <v>0</v>
      </c>
      <c r="I17" s="140">
        <f>+PRESUPUSTO_2025497[[#This Row],[Columna1]]</f>
        <v>0</v>
      </c>
      <c r="J17" s="140">
        <v>0</v>
      </c>
      <c r="K17" s="141">
        <f>+PRESUPUSTO_2025497[[#This Row],[Columna1]]</f>
        <v>0</v>
      </c>
      <c r="O17" s="63"/>
    </row>
    <row r="18" spans="2:15" ht="21" thickBot="1">
      <c r="C18" s="208" t="s">
        <v>326</v>
      </c>
      <c r="D18" s="209">
        <f>SUBTOTAL(109,PRESUPUSTO_2025497[PRESUPUESTO 2025])</f>
        <v>4800000</v>
      </c>
      <c r="E18" s="147">
        <f>SUBTOTAL(109,PRESUPUSTO_2025497[Columna1])</f>
        <v>1200000</v>
      </c>
    </row>
    <row r="19" spans="2:15" ht="15.75" thickBot="1"/>
    <row r="20" spans="2:15" ht="30.75" thickBot="1">
      <c r="B20" s="248" t="s">
        <v>222</v>
      </c>
      <c r="C20" s="249"/>
      <c r="D20" s="249"/>
      <c r="E20" s="249"/>
      <c r="F20" s="249"/>
      <c r="G20" s="249"/>
      <c r="H20" s="250"/>
    </row>
    <row r="21" spans="2:15" ht="32.25" thickBot="1">
      <c r="B21" s="91" t="s">
        <v>165</v>
      </c>
      <c r="C21" s="89" t="s">
        <v>166</v>
      </c>
      <c r="D21" s="90" t="s">
        <v>218</v>
      </c>
      <c r="E21" s="90" t="s">
        <v>219</v>
      </c>
      <c r="F21" s="90" t="s">
        <v>220</v>
      </c>
      <c r="G21" s="93" t="s">
        <v>221</v>
      </c>
      <c r="H21" s="182" t="s">
        <v>228</v>
      </c>
    </row>
    <row r="22" spans="2:15">
      <c r="B22" s="251" t="s">
        <v>340</v>
      </c>
      <c r="C22" s="190" t="s">
        <v>341</v>
      </c>
      <c r="D22" s="125">
        <f t="shared" ref="D22:G26" si="0">+H13/P4</f>
        <v>179.69451931716083</v>
      </c>
      <c r="E22" s="125">
        <f t="shared" si="0"/>
        <v>179.69451931716083</v>
      </c>
      <c r="F22" s="125">
        <f t="shared" si="0"/>
        <v>179.69451931716083</v>
      </c>
      <c r="G22" s="125">
        <f t="shared" si="0"/>
        <v>179.69451931716083</v>
      </c>
      <c r="H22" s="126">
        <f>+ProyeccionKg20251098[[#This Row],[Proyección kilogramos 2025 Biosanitario  ]]+ProyeccionKg20251098[[#This Row],[Proyección kilogramos 2025 Cortopunzantes]]+ProyeccionKg20251098[[#This Row],[Proyección kilogramos 2025 Animales]]+ProyeccionKg20251098[[#This Row],[Proyección kilogramos 2025 Quimicos]]</f>
        <v>718.7780772686433</v>
      </c>
    </row>
    <row r="23" spans="2:15">
      <c r="B23" s="252"/>
      <c r="C23" s="53" t="s">
        <v>2</v>
      </c>
      <c r="D23" s="98">
        <f t="shared" si="0"/>
        <v>0</v>
      </c>
      <c r="E23" s="98">
        <f t="shared" si="0"/>
        <v>0</v>
      </c>
      <c r="F23" s="98">
        <f t="shared" si="0"/>
        <v>0</v>
      </c>
      <c r="G23" s="98">
        <f t="shared" si="0"/>
        <v>0</v>
      </c>
      <c r="H23" s="183">
        <f>+ProyeccionKg20251098[[#This Row],[Proyección kilogramos 2025 Biosanitario  ]]+ProyeccionKg20251098[[#This Row],[Proyección kilogramos 2025 Cortopunzantes]]+ProyeccionKg20251098[[#This Row],[Proyección kilogramos 2025 Animales]]+ProyeccionKg20251098[[#This Row],[Proyección kilogramos 2025 Quimicos]]</f>
        <v>0</v>
      </c>
    </row>
    <row r="24" spans="2:15">
      <c r="B24" s="252"/>
      <c r="C24" s="53" t="s">
        <v>239</v>
      </c>
      <c r="D24" s="98">
        <f t="shared" si="0"/>
        <v>0</v>
      </c>
      <c r="E24" s="98">
        <f t="shared" si="0"/>
        <v>0</v>
      </c>
      <c r="F24" s="98">
        <f t="shared" si="0"/>
        <v>0</v>
      </c>
      <c r="G24" s="98">
        <f t="shared" si="0"/>
        <v>0</v>
      </c>
      <c r="H24" s="183">
        <f>+ProyeccionKg20251098[[#This Row],[Proyección kilogramos 2025 Biosanitario  ]]+ProyeccionKg20251098[[#This Row],[Proyección kilogramos 2025 Cortopunzantes]]+ProyeccionKg20251098[[#This Row],[Proyección kilogramos 2025 Animales]]+ProyeccionKg20251098[[#This Row],[Proyección kilogramos 2025 Quimicos]]</f>
        <v>0</v>
      </c>
    </row>
    <row r="25" spans="2:15">
      <c r="B25" s="252"/>
      <c r="C25" s="53" t="s">
        <v>240</v>
      </c>
      <c r="D25" s="98">
        <f t="shared" si="0"/>
        <v>0</v>
      </c>
      <c r="E25" s="98">
        <f t="shared" si="0"/>
        <v>0</v>
      </c>
      <c r="F25" s="98">
        <f t="shared" si="0"/>
        <v>0</v>
      </c>
      <c r="G25" s="98">
        <f t="shared" si="0"/>
        <v>0</v>
      </c>
      <c r="H25" s="183">
        <f>+ProyeccionKg20251098[[#This Row],[Proyección kilogramos 2025 Biosanitario  ]]+ProyeccionKg20251098[[#This Row],[Proyección kilogramos 2025 Cortopunzantes]]+ProyeccionKg20251098[[#This Row],[Proyección kilogramos 2025 Animales]]+ProyeccionKg20251098[[#This Row],[Proyección kilogramos 2025 Quimicos]]</f>
        <v>0</v>
      </c>
    </row>
    <row r="26" spans="2:15" ht="15.75" thickBot="1">
      <c r="B26" s="253"/>
      <c r="C26" s="133" t="s">
        <v>241</v>
      </c>
      <c r="D26" s="130">
        <f t="shared" si="0"/>
        <v>0</v>
      </c>
      <c r="E26" s="130">
        <f t="shared" si="0"/>
        <v>0</v>
      </c>
      <c r="F26" s="130">
        <f t="shared" si="0"/>
        <v>0</v>
      </c>
      <c r="G26" s="130">
        <f t="shared" si="0"/>
        <v>0</v>
      </c>
      <c r="H26" s="184">
        <f>+ProyeccionKg20251098[[#This Row],[Proyección kilogramos 2025 Biosanitario  ]]+ProyeccionKg20251098[[#This Row],[Proyección kilogramos 2025 Cortopunzantes]]+ProyeccionKg20251098[[#This Row],[Proyección kilogramos 2025 Animales]]+ProyeccionKg20251098[[#This Row],[Proyección kilogramos 2025 Quimicos]]</f>
        <v>0</v>
      </c>
    </row>
    <row r="27" spans="2:15" ht="18">
      <c r="C27" s="134" t="s">
        <v>326</v>
      </c>
      <c r="D27" s="135">
        <f>SUBTOTAL(109,ProyeccionKg20251098[[Proyección kilogramos 2025 Biosanitario  ]])</f>
        <v>179.69451931716083</v>
      </c>
      <c r="E27" s="135">
        <f>SUBTOTAL(109,ProyeccionKg20251098[Proyección kilogramos 2025 Cortopunzantes])</f>
        <v>179.69451931716083</v>
      </c>
      <c r="F27" s="135">
        <f>SUBTOTAL(109,ProyeccionKg20251098[Proyección kilogramos 2025 Animales])</f>
        <v>179.69451931716083</v>
      </c>
      <c r="G27" s="136">
        <f>SUBTOTAL(109,ProyeccionKg20251098[Proyección kilogramos 2025 Quimicos])</f>
        <v>179.69451931716083</v>
      </c>
      <c r="H27" s="135">
        <f>SUBTOTAL(109,ProyeccionKg20251098[[TOTAL DE KILOGRAMOS ]])</f>
        <v>718.7780772686433</v>
      </c>
    </row>
    <row r="29" spans="2:15" ht="15.75" thickBot="1"/>
    <row r="30" spans="2:15" ht="16.5" thickBot="1">
      <c r="B30" s="226" t="s">
        <v>135</v>
      </c>
      <c r="C30" s="227"/>
      <c r="D30" s="227"/>
      <c r="E30" s="227"/>
      <c r="F30" s="227"/>
      <c r="G30" s="227"/>
      <c r="H30" s="227"/>
      <c r="I30" s="228"/>
    </row>
    <row r="31" spans="2:15" ht="15.75">
      <c r="B31" s="216" t="s">
        <v>163</v>
      </c>
      <c r="C31" s="212" t="s">
        <v>19</v>
      </c>
      <c r="D31" s="214" t="s">
        <v>136</v>
      </c>
      <c r="E31" s="222" t="s">
        <v>137</v>
      </c>
      <c r="F31" s="212"/>
      <c r="G31" s="212"/>
      <c r="H31" s="212"/>
      <c r="I31" s="214"/>
    </row>
    <row r="32" spans="2:15" ht="16.5" thickBot="1">
      <c r="B32" s="223"/>
      <c r="C32" s="224"/>
      <c r="D32" s="225"/>
      <c r="E32" s="113" t="s">
        <v>158</v>
      </c>
      <c r="F32" s="107" t="s">
        <v>159</v>
      </c>
      <c r="G32" s="107" t="s">
        <v>160</v>
      </c>
      <c r="H32" s="107" t="s">
        <v>161</v>
      </c>
      <c r="I32" s="108" t="s">
        <v>228</v>
      </c>
    </row>
    <row r="33" spans="2:9" ht="15.75" customHeight="1" thickBot="1">
      <c r="B33" s="132" t="s">
        <v>340</v>
      </c>
      <c r="C33" s="185" t="s">
        <v>341</v>
      </c>
      <c r="D33" s="186" t="s">
        <v>229</v>
      </c>
      <c r="E33" s="187">
        <f>+D22</f>
        <v>179.69451931716083</v>
      </c>
      <c r="F33" s="188">
        <f>+E22</f>
        <v>179.69451931716083</v>
      </c>
      <c r="G33" s="188">
        <f>+F22</f>
        <v>179.69451931716083</v>
      </c>
      <c r="H33" s="188">
        <f>+G22</f>
        <v>179.69451931716083</v>
      </c>
      <c r="I33" s="189">
        <f>+H22</f>
        <v>718.7780772686433</v>
      </c>
    </row>
    <row r="34" spans="2:9">
      <c r="B34" s="52"/>
      <c r="C34" s="52"/>
      <c r="D34" s="52"/>
      <c r="E34" s="61"/>
      <c r="F34" s="61"/>
      <c r="G34" s="61"/>
      <c r="H34" s="61"/>
      <c r="I34" s="61"/>
    </row>
    <row r="35" spans="2:9" ht="15.75" thickBot="1">
      <c r="B35" s="52"/>
      <c r="C35" s="52"/>
      <c r="D35" s="52"/>
      <c r="E35" s="52"/>
      <c r="F35" s="52"/>
      <c r="G35" s="52"/>
      <c r="H35" s="52"/>
      <c r="I35" s="52"/>
    </row>
    <row r="36" spans="2:9" ht="16.5" thickBot="1">
      <c r="B36" s="219" t="s">
        <v>141</v>
      </c>
      <c r="C36" s="220"/>
      <c r="D36" s="220"/>
      <c r="E36" s="220"/>
      <c r="F36" s="220"/>
      <c r="G36" s="220"/>
      <c r="H36" s="220"/>
      <c r="I36" s="221"/>
    </row>
    <row r="37" spans="2:9" ht="15.75">
      <c r="B37" s="216" t="s">
        <v>0</v>
      </c>
      <c r="C37" s="212" t="s">
        <v>19</v>
      </c>
      <c r="D37" s="214" t="s">
        <v>136</v>
      </c>
      <c r="E37" s="222" t="s">
        <v>137</v>
      </c>
      <c r="F37" s="212"/>
      <c r="G37" s="212"/>
      <c r="H37" s="212"/>
      <c r="I37" s="214"/>
    </row>
    <row r="38" spans="2:9" ht="16.5" thickBot="1">
      <c r="B38" s="217"/>
      <c r="C38" s="213"/>
      <c r="D38" s="215"/>
      <c r="E38" s="123" t="s">
        <v>158</v>
      </c>
      <c r="F38" s="69" t="s">
        <v>164</v>
      </c>
      <c r="G38" s="69" t="s">
        <v>195</v>
      </c>
      <c r="H38" s="69" t="s">
        <v>196</v>
      </c>
      <c r="I38" s="117" t="s">
        <v>228</v>
      </c>
    </row>
    <row r="39" spans="2:9">
      <c r="B39" s="216" t="s">
        <v>340</v>
      </c>
      <c r="C39" s="112" t="s">
        <v>2</v>
      </c>
      <c r="D39" s="118" t="s">
        <v>229</v>
      </c>
      <c r="E39" s="124">
        <f>+D23</f>
        <v>0</v>
      </c>
      <c r="F39" s="125">
        <f t="shared" ref="F39:I42" si="1">+E23</f>
        <v>0</v>
      </c>
      <c r="G39" s="125">
        <f t="shared" si="1"/>
        <v>0</v>
      </c>
      <c r="H39" s="125">
        <f t="shared" si="1"/>
        <v>0</v>
      </c>
      <c r="I39" s="126">
        <f t="shared" si="1"/>
        <v>0</v>
      </c>
    </row>
    <row r="40" spans="2:9">
      <c r="B40" s="218"/>
      <c r="C40" s="74" t="s">
        <v>239</v>
      </c>
      <c r="D40" s="119" t="s">
        <v>229</v>
      </c>
      <c r="E40" s="127">
        <f t="shared" ref="E40:G42" si="2">+D24</f>
        <v>0</v>
      </c>
      <c r="F40" s="98">
        <f t="shared" si="2"/>
        <v>0</v>
      </c>
      <c r="G40" s="98">
        <f t="shared" si="2"/>
        <v>0</v>
      </c>
      <c r="H40" s="98">
        <f t="shared" si="1"/>
        <v>0</v>
      </c>
      <c r="I40" s="128">
        <f t="shared" si="1"/>
        <v>0</v>
      </c>
    </row>
    <row r="41" spans="2:9">
      <c r="B41" s="218"/>
      <c r="C41" s="74" t="s">
        <v>240</v>
      </c>
      <c r="D41" s="119" t="s">
        <v>229</v>
      </c>
      <c r="E41" s="127">
        <f t="shared" si="2"/>
        <v>0</v>
      </c>
      <c r="F41" s="98">
        <f t="shared" si="2"/>
        <v>0</v>
      </c>
      <c r="G41" s="98">
        <f t="shared" si="2"/>
        <v>0</v>
      </c>
      <c r="H41" s="98">
        <f t="shared" si="1"/>
        <v>0</v>
      </c>
      <c r="I41" s="128">
        <f t="shared" si="1"/>
        <v>0</v>
      </c>
    </row>
    <row r="42" spans="2:9" ht="15.75" thickBot="1">
      <c r="B42" s="217"/>
      <c r="C42" s="75" t="s">
        <v>241</v>
      </c>
      <c r="D42" s="120" t="s">
        <v>229</v>
      </c>
      <c r="E42" s="129">
        <f t="shared" si="2"/>
        <v>0</v>
      </c>
      <c r="F42" s="130">
        <f t="shared" si="2"/>
        <v>0</v>
      </c>
      <c r="G42" s="130">
        <f t="shared" si="2"/>
        <v>0</v>
      </c>
      <c r="H42" s="130">
        <f t="shared" si="1"/>
        <v>0</v>
      </c>
      <c r="I42" s="131">
        <f t="shared" si="1"/>
        <v>0</v>
      </c>
    </row>
  </sheetData>
  <mergeCells count="19">
    <mergeCell ref="B37:B38"/>
    <mergeCell ref="C37:C38"/>
    <mergeCell ref="D37:D38"/>
    <mergeCell ref="E37:I37"/>
    <mergeCell ref="B39:B42"/>
    <mergeCell ref="B1:H1"/>
    <mergeCell ref="C31:C32"/>
    <mergeCell ref="D31:D32"/>
    <mergeCell ref="E31:I31"/>
    <mergeCell ref="B4:B8"/>
    <mergeCell ref="B11:D11"/>
    <mergeCell ref="F11:K11"/>
    <mergeCell ref="B13:B17"/>
    <mergeCell ref="F13:F17"/>
    <mergeCell ref="B36:I36"/>
    <mergeCell ref="B20:H20"/>
    <mergeCell ref="B22:B26"/>
    <mergeCell ref="B30:I30"/>
    <mergeCell ref="B31:B32"/>
  </mergeCells>
  <pageMargins left="0.7" right="0.7" top="0.75" bottom="0.75" header="0.3" footer="0.3"/>
  <tableParts count="4">
    <tablePart r:id="rId1"/>
    <tablePart r:id="rId2"/>
    <tablePart r:id="rId3"/>
    <tablePart r:id="rId4"/>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B68A-1AC0-4F92-AE6A-F1551304584D}">
  <dimension ref="A1:D13"/>
  <sheetViews>
    <sheetView workbookViewId="0">
      <selection sqref="A1:A13"/>
    </sheetView>
  </sheetViews>
  <sheetFormatPr baseColWidth="10" defaultRowHeight="14.25"/>
  <cols>
    <col min="1" max="1" width="36.375" bestFit="1" customWidth="1"/>
    <col min="2" max="2" width="37.375" bestFit="1" customWidth="1"/>
    <col min="3" max="3" width="35.75" bestFit="1" customWidth="1"/>
  </cols>
  <sheetData>
    <row r="1" spans="1:4" ht="15">
      <c r="A1" s="13" t="s">
        <v>52</v>
      </c>
      <c r="B1" s="7" t="s">
        <v>24</v>
      </c>
      <c r="C1" s="7" t="s">
        <v>40</v>
      </c>
      <c r="D1" s="6"/>
    </row>
    <row r="2" spans="1:4" ht="15">
      <c r="A2" s="14" t="s">
        <v>41</v>
      </c>
      <c r="B2" s="7" t="s">
        <v>25</v>
      </c>
      <c r="C2" s="15" t="s">
        <v>44</v>
      </c>
      <c r="D2" s="5"/>
    </row>
    <row r="3" spans="1:4" ht="15">
      <c r="A3" s="14" t="s">
        <v>42</v>
      </c>
      <c r="B3" s="8" t="s">
        <v>26</v>
      </c>
      <c r="C3" s="8"/>
      <c r="D3" s="5"/>
    </row>
    <row r="4" spans="1:4" ht="15">
      <c r="A4" s="14" t="s">
        <v>43</v>
      </c>
      <c r="B4" s="9" t="s">
        <v>27</v>
      </c>
      <c r="C4" s="8" t="s">
        <v>45</v>
      </c>
      <c r="D4" s="5"/>
    </row>
    <row r="5" spans="1:4" ht="15">
      <c r="A5" s="14" t="s">
        <v>53</v>
      </c>
      <c r="B5" s="10" t="s">
        <v>28</v>
      </c>
      <c r="C5" s="8"/>
      <c r="D5" s="5"/>
    </row>
    <row r="6" spans="1:4" ht="15">
      <c r="A6" s="14" t="s">
        <v>46</v>
      </c>
      <c r="B6" s="10" t="s">
        <v>29</v>
      </c>
      <c r="C6" s="8"/>
      <c r="D6" s="5"/>
    </row>
    <row r="7" spans="1:4" ht="15">
      <c r="A7" s="14" t="s">
        <v>47</v>
      </c>
      <c r="B7" s="8" t="s">
        <v>30</v>
      </c>
      <c r="C7" s="10" t="s">
        <v>48</v>
      </c>
      <c r="D7" s="5"/>
    </row>
    <row r="8" spans="1:4" ht="15">
      <c r="A8" s="14" t="s">
        <v>54</v>
      </c>
      <c r="B8" s="10" t="s">
        <v>31</v>
      </c>
      <c r="C8" s="8"/>
      <c r="D8" s="5"/>
    </row>
    <row r="9" spans="1:4" ht="15">
      <c r="A9" s="14" t="s">
        <v>49</v>
      </c>
      <c r="B9" s="8" t="s">
        <v>32</v>
      </c>
      <c r="C9" s="8" t="s">
        <v>35</v>
      </c>
      <c r="D9" s="5"/>
    </row>
    <row r="10" spans="1:4" ht="15">
      <c r="A10" s="14" t="s">
        <v>50</v>
      </c>
      <c r="B10" s="8" t="s">
        <v>33</v>
      </c>
      <c r="C10" s="8"/>
      <c r="D10" s="5"/>
    </row>
    <row r="11" spans="1:4" ht="15">
      <c r="A11" s="14" t="s">
        <v>55</v>
      </c>
      <c r="B11" t="s">
        <v>34</v>
      </c>
      <c r="C11" s="9" t="s">
        <v>36</v>
      </c>
      <c r="D11" s="5"/>
    </row>
    <row r="12" spans="1:4" ht="15">
      <c r="A12" s="14" t="s">
        <v>56</v>
      </c>
      <c r="B12" s="10" t="s">
        <v>37</v>
      </c>
      <c r="C12" s="8"/>
      <c r="D12" s="5"/>
    </row>
    <row r="13" spans="1:4" ht="15">
      <c r="A13" s="14" t="s">
        <v>51</v>
      </c>
      <c r="B13" s="11" t="s">
        <v>38</v>
      </c>
      <c r="C13" s="12" t="s">
        <v>39</v>
      </c>
      <c r="D13" s="5"/>
    </row>
  </sheetData>
  <hyperlinks>
    <hyperlink ref="C2" r:id="rId1" xr:uid="{1098974E-2F32-48E5-86C0-3A062D74A0C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vt:i4>
      </vt:variant>
    </vt:vector>
  </HeadingPairs>
  <TitlesOfParts>
    <vt:vector size="17" baseType="lpstr">
      <vt:lpstr>Cotizaciones Empresas</vt:lpstr>
      <vt:lpstr>D.P. 2025 SAD, SPA &amp; SPF</vt:lpstr>
      <vt:lpstr>Cundinamarca</vt:lpstr>
      <vt:lpstr>ARAUCA</vt:lpstr>
      <vt:lpstr>ARMENIA</vt:lpstr>
      <vt:lpstr>BARRANCABERMEJA</vt:lpstr>
      <vt:lpstr>BELLO</vt:lpstr>
      <vt:lpstr>CUCUTA</vt:lpstr>
      <vt:lpstr>IBAGUE</vt:lpstr>
      <vt:lpstr>LA DORADA</vt:lpstr>
      <vt:lpstr>MAGDALENA</vt:lpstr>
      <vt:lpstr>NEIVA</vt:lpstr>
      <vt:lpstr>POPAYAN</vt:lpstr>
      <vt:lpstr>VALLE DEL CAUCA</vt:lpstr>
      <vt:lpstr>YOPAL</vt:lpstr>
      <vt:lpstr>Empresas</vt:lpstr>
      <vt:lpstr>EMRESPEL2025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Andres Bello Moreno</dc:creator>
  <cp:lastModifiedBy>USUARIO</cp:lastModifiedBy>
  <dcterms:created xsi:type="dcterms:W3CDTF">2024-12-09T14:24:59Z</dcterms:created>
  <dcterms:modified xsi:type="dcterms:W3CDTF">2025-07-08T02:08:05Z</dcterms:modified>
</cp:coreProperties>
</file>